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always" codeName="ThisWorkbook" defaultThemeVersion="124226"/>
  <bookViews>
    <workbookView xWindow="0" yWindow="0" windowWidth="24240" windowHeight="12300" firstSheet="5" activeTab="5"/>
  </bookViews>
  <sheets>
    <sheet name="Welcome tab" sheetId="12" state="hidden" r:id="rId1"/>
    <sheet name="Sheet1" sheetId="33" state="hidden" r:id="rId2"/>
    <sheet name="Stope rasta" sheetId="29" state="hidden" r:id="rId3"/>
    <sheet name="Korekcije" sheetId="28" state="hidden" r:id="rId4"/>
    <sheet name="Sheet2" sheetId="34" state="hidden" r:id="rId5"/>
    <sheet name="Cental Budget" sheetId="10" r:id="rId6"/>
    <sheet name="Local Government_int" sheetId="31" r:id="rId7"/>
    <sheet name="Central budget fiskalna" sheetId="37" state="hidden" r:id="rId8"/>
    <sheet name="Razlika" sheetId="39" state="hidden" r:id="rId9"/>
    <sheet name="Central_sanacioni" sheetId="35" state="hidden" r:id="rId10"/>
    <sheet name="Razlika prihodi " sheetId="36" state="hidden" r:id="rId11"/>
    <sheet name="Public expenditure_int" sheetId="32" r:id="rId12"/>
    <sheet name="MasterSheet" sheetId="13" state="hidden" r:id="rId13"/>
  </sheets>
  <externalReferences>
    <externalReference r:id="rId14"/>
    <externalReference r:id="rId15"/>
    <externalReference r:id="rId16"/>
  </externalReferences>
  <definedNames>
    <definedName name="_ftn1" localSheetId="11">'Public expenditure_int'!$Z$58</definedName>
    <definedName name="_ftn2" localSheetId="11">'Public expenditure_int'!$Z$59</definedName>
    <definedName name="_ftnref1" localSheetId="11">'Public expenditure_int'!$Z$33</definedName>
    <definedName name="_ftnref2" localSheetId="11">'Public expenditure_int'!$Z$52</definedName>
    <definedName name="_iva1" localSheetId="5" hidden="1">{#N/A,#N/A,FALSE,"CB";#N/A,#N/A,FALSE,"CMB";#N/A,#N/A,FALSE,"NBFI"}</definedName>
    <definedName name="_iva1" localSheetId="6" hidden="1">{#N/A,#N/A,FALSE,"CB";#N/A,#N/A,FALSE,"CMB";#N/A,#N/A,FALSE,"NBFI"}</definedName>
    <definedName name="_iva1" localSheetId="11" hidden="1">{#N/A,#N/A,FALSE,"CB";#N/A,#N/A,FALSE,"CMB";#N/A,#N/A,FALSE,"NBFI"}</definedName>
    <definedName name="_iva1" hidden="1">{#N/A,#N/A,FALSE,"CB";#N/A,#N/A,FALSE,"CMB";#N/A,#N/A,FALSE,"NBFI"}</definedName>
    <definedName name="_iva2" localSheetId="5" hidden="1">{#N/A,#N/A,FALSE,"CB";#N/A,#N/A,FALSE,"CMB";#N/A,#N/A,FALSE,"BSYS";#N/A,#N/A,FALSE,"NBFI";#N/A,#N/A,FALSE,"FSYS"}</definedName>
    <definedName name="_iva2" localSheetId="6" hidden="1">{#N/A,#N/A,FALSE,"CB";#N/A,#N/A,FALSE,"CMB";#N/A,#N/A,FALSE,"BSYS";#N/A,#N/A,FALSE,"NBFI";#N/A,#N/A,FALSE,"FSYS"}</definedName>
    <definedName name="_iva2" localSheetId="11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11" hidden="1">{#N/A,#N/A,FALSE,"CB";#N/A,#N/A,FALSE,"CMB";#N/A,#N/A,FALSE,"NBFI"}</definedName>
    <definedName name="chart4" hidden="1">{#N/A,#N/A,FALSE,"CB";#N/A,#N/A,FALSE,"CMB";#N/A,#N/A,FALSE,"NBFI"}</definedName>
    <definedName name="ChartA" localSheetId="5" hidden="1">{#N/A,#N/A,FALSE,"CB";#N/A,#N/A,FALSE,"CMB";#N/A,#N/A,FALSE,"NBFI"}</definedName>
    <definedName name="ChartA" localSheetId="6" hidden="1">{#N/A,#N/A,FALSE,"CB";#N/A,#N/A,FALSE,"CMB";#N/A,#N/A,FALSE,"NBFI"}</definedName>
    <definedName name="ChartA" localSheetId="11" hidden="1">{#N/A,#N/A,FALSE,"CB";#N/A,#N/A,FALSE,"CMB";#N/A,#N/A,FALSE,"NBFI"}</definedName>
    <definedName name="ChartA" hidden="1">{#N/A,#N/A,FALSE,"CB";#N/A,#N/A,FALSE,"CMB";#N/A,#N/A,FALSE,"NBFI"}</definedName>
    <definedName name="Chartvel" localSheetId="5" hidden="1">{#N/A,#N/A,FALSE,"CB";#N/A,#N/A,FALSE,"CMB";#N/A,#N/A,FALSE,"BSYS";#N/A,#N/A,FALSE,"NBFI";#N/A,#N/A,FALSE,"FSYS"}</definedName>
    <definedName name="Chartvel" localSheetId="6" hidden="1">{#N/A,#N/A,FALSE,"CB";#N/A,#N/A,FALSE,"CMB";#N/A,#N/A,FALSE,"BSYS";#N/A,#N/A,FALSE,"NBFI";#N/A,#N/A,FALSE,"FSYS"}</definedName>
    <definedName name="Chartvel" localSheetId="11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DE" localSheetId="5" hidden="1">{#N/A,#N/A,FALSE,"CREDIT"}</definedName>
    <definedName name="DE" localSheetId="6" hidden="1">{#N/A,#N/A,FALSE,"CREDIT"}</definedName>
    <definedName name="DE" localSheetId="11" hidden="1">{#N/A,#N/A,FALSE,"CREDIT"}</definedName>
    <definedName name="DE" hidden="1">{#N/A,#N/A,FALSE,"CREDIT"}</definedName>
    <definedName name="E" localSheetId="5" hidden="1">{#N/A,#N/A,FALSE,"DEPO"}</definedName>
    <definedName name="E" localSheetId="6" hidden="1">{#N/A,#N/A,FALSE,"DEPO"}</definedName>
    <definedName name="E" localSheetId="11" hidden="1">{#N/A,#N/A,FALSE,"DEPO"}</definedName>
    <definedName name="E" hidden="1">{#N/A,#N/A,FALSE,"DEPO"}</definedName>
    <definedName name="EEE" localSheetId="5" hidden="1">{#N/A,#N/A,FALSE,"EXCISE"}</definedName>
    <definedName name="EEE" localSheetId="6" hidden="1">{#N/A,#N/A,FALSE,"EXCISE"}</definedName>
    <definedName name="EEE" localSheetId="11" hidden="1">{#N/A,#N/A,FALSE,"EXCISE"}</definedName>
    <definedName name="EEE" hidden="1">{#N/A,#N/A,FALSE,"EXCISE"}</definedName>
    <definedName name="F" localSheetId="5" hidden="1">{#N/A,#N/A,FALSE,"CB";#N/A,#N/A,FALSE,"CMB";#N/A,#N/A,FALSE,"NBFI"}</definedName>
    <definedName name="F" localSheetId="6" hidden="1">{#N/A,#N/A,FALSE,"CB";#N/A,#N/A,FALSE,"CMB";#N/A,#N/A,FALSE,"NBFI"}</definedName>
    <definedName name="F" localSheetId="11" hidden="1">{#N/A,#N/A,FALSE,"CB";#N/A,#N/A,FALSE,"CMB";#N/A,#N/A,FALSE,"NBFI"}</definedName>
    <definedName name="F" hidden="1">{#N/A,#N/A,FALSE,"CB";#N/A,#N/A,FALSE,"CMB";#N/A,#N/A,FALSE,"NBFI"}</definedName>
    <definedName name="FFF" localSheetId="5" hidden="1">{#N/A,#N/A,FALSE,"CB";#N/A,#N/A,FALSE,"CMB";#N/A,#N/A,FALSE,"BSYS";#N/A,#N/A,FALSE,"NBFI";#N/A,#N/A,FALSE,"FSYS"}</definedName>
    <definedName name="FFF" localSheetId="6" hidden="1">{#N/A,#N/A,FALSE,"CB";#N/A,#N/A,FALSE,"CMB";#N/A,#N/A,FALSE,"BSYS";#N/A,#N/A,FALSE,"NBFI";#N/A,#N/A,FALSE,"FSYS"}</definedName>
    <definedName name="FFF" localSheetId="11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H" localSheetId="5" hidden="1">{#N/A,#N/A,FALSE,"BANKS"}</definedName>
    <definedName name="H" localSheetId="6" hidden="1">{#N/A,#N/A,FALSE,"BANKS"}</definedName>
    <definedName name="H" localSheetId="11" hidden="1">{#N/A,#N/A,FALSE,"BANKS"}</definedName>
    <definedName name="H" hidden="1">{#N/A,#N/A,FALSE,"BANKS"}</definedName>
    <definedName name="hello" localSheetId="5" hidden="1">{#N/A,#N/A,FALSE,"CB";#N/A,#N/A,FALSE,"CMB";#N/A,#N/A,FALSE,"BSYS";#N/A,#N/A,FALSE,"NBFI";#N/A,#N/A,FALSE,"FSYS"}</definedName>
    <definedName name="hello" localSheetId="6" hidden="1">{#N/A,#N/A,FALSE,"CB";#N/A,#N/A,FALSE,"CMB";#N/A,#N/A,FALSE,"BSYS";#N/A,#N/A,FALSE,"NBFI";#N/A,#N/A,FALSE,"FSYS"}</definedName>
    <definedName name="hello" localSheetId="11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va" localSheetId="5" hidden="1">{#N/A,#N/A,FALSE,"CB";#N/A,#N/A,FALSE,"CMB";#N/A,#N/A,FALSE,"NBFI"}</definedName>
    <definedName name="iva" localSheetId="6" hidden="1">{#N/A,#N/A,FALSE,"CB";#N/A,#N/A,FALSE,"CMB";#N/A,#N/A,FALSE,"NBFI"}</definedName>
    <definedName name="iva" localSheetId="11" hidden="1">{#N/A,#N/A,FALSE,"CB";#N/A,#N/A,FALSE,"CMB";#N/A,#N/A,FALSE,"NBFI"}</definedName>
    <definedName name="iva" hidden="1">{#N/A,#N/A,FALSE,"CB";#N/A,#N/A,FALSE,"CMB";#N/A,#N/A,FALSE,"NBFI"}</definedName>
    <definedName name="jan" localSheetId="5" hidden="1">{#N/A,#N/A,FALSE,"CB";#N/A,#N/A,FALSE,"CMB";#N/A,#N/A,FALSE,"NBFI"}</definedName>
    <definedName name="jan" localSheetId="6" hidden="1">{#N/A,#N/A,FALSE,"CB";#N/A,#N/A,FALSE,"CMB";#N/A,#N/A,FALSE,"NBFI"}</definedName>
    <definedName name="jan" localSheetId="11" hidden="1">{#N/A,#N/A,FALSE,"CB";#N/A,#N/A,FALSE,"CMB";#N/A,#N/A,FALSE,"NBFI"}</definedName>
    <definedName name="jan" hidden="1">{#N/A,#N/A,FALSE,"CB";#N/A,#N/A,FALSE,"CMB";#N/A,#N/A,FALSE,"NBFI"}</definedName>
    <definedName name="_xlnm.Print_Area" localSheetId="1">Sheet1!$A$1:$K$50</definedName>
    <definedName name="qqq" localSheetId="5" hidden="1">{#N/A,#N/A,FALSE,"EXTRABUDGT"}</definedName>
    <definedName name="qqq" localSheetId="6" hidden="1">{#N/A,#N/A,FALSE,"EXTRABUDGT"}</definedName>
    <definedName name="qqq" localSheetId="11" hidden="1">{#N/A,#N/A,FALSE,"EXTRABUDGT"}</definedName>
    <definedName name="qqq" hidden="1">{#N/A,#N/A,FALSE,"EXTRABUDGT"}</definedName>
    <definedName name="wrn.BANKS." localSheetId="5" hidden="1">{#N/A,#N/A,FALSE,"BANKS"}</definedName>
    <definedName name="wrn.BANKS." localSheetId="6" hidden="1">{#N/A,#N/A,FALSE,"BANKS"}</definedName>
    <definedName name="wrn.BANKS." localSheetId="11" hidden="1">{#N/A,#N/A,FALSE,"BANKS"}</definedName>
    <definedName name="wrn.BANKS." hidden="1">{#N/A,#N/A,FALSE,"BANKS"}</definedName>
    <definedName name="wrn.BOP." localSheetId="5" hidden="1">{#N/A,#N/A,FALSE,"BOP"}</definedName>
    <definedName name="wrn.BOP." localSheetId="6" hidden="1">{#N/A,#N/A,FALSE,"BOP"}</definedName>
    <definedName name="wrn.BOP." localSheetId="11" hidden="1">{#N/A,#N/A,FALSE,"BOP"}</definedName>
    <definedName name="wrn.BOP." hidden="1">{#N/A,#N/A,FALSE,"BOP"}</definedName>
    <definedName name="wrn.CREDIT." localSheetId="5" hidden="1">{#N/A,#N/A,FALSE,"CREDIT"}</definedName>
    <definedName name="wrn.CREDIT." localSheetId="6" hidden="1">{#N/A,#N/A,FALSE,"CREDIT"}</definedName>
    <definedName name="wrn.CREDIT." localSheetId="11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localSheetId="6" hidden="1">{#N/A,#N/A,FALSE,"DEBTSVC"}</definedName>
    <definedName name="wrn.DEBTSVC." localSheetId="11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localSheetId="6" hidden="1">{#N/A,#N/A,FALSE,"DEPO"}</definedName>
    <definedName name="wrn.DEPO." localSheetId="11" hidden="1">{#N/A,#N/A,FALSE,"DEPO"}</definedName>
    <definedName name="wrn.DEPO." hidden="1">{#N/A,#N/A,FALSE,"DEPO"}</definedName>
    <definedName name="wrn.EXCISE." localSheetId="5" hidden="1">{#N/A,#N/A,FALSE,"EXCISE"}</definedName>
    <definedName name="wrn.EXCISE." localSheetId="6" hidden="1">{#N/A,#N/A,FALSE,"EXCISE"}</definedName>
    <definedName name="wrn.EXCISE." localSheetId="11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localSheetId="6" hidden="1">{#N/A,#N/A,FALSE,"EXRATE"}</definedName>
    <definedName name="wrn.EXRATE." localSheetId="11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localSheetId="6" hidden="1">{#N/A,#N/A,FALSE,"EXTDEBT"}</definedName>
    <definedName name="wrn.EXTDEBT." localSheetId="11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localSheetId="6" hidden="1">{#N/A,#N/A,FALSE,"EXTRABUDGT"}</definedName>
    <definedName name="wrn.EXTRABUDGT." localSheetId="11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localSheetId="6" hidden="1">{#N/A,#N/A,FALSE,"EXTRABUDGT2"}</definedName>
    <definedName name="wrn.EXTRABUDGT2." localSheetId="11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localSheetId="6" hidden="1">{#N/A,#N/A,FALSE,"GDP_ORIGIN";#N/A,#N/A,FALSE,"EMP_POP"}</definedName>
    <definedName name="wrn.GDP." localSheetId="11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localSheetId="6" hidden="1">{#N/A,#N/A,FALSE,"GGOVT"}</definedName>
    <definedName name="wrn.GGOVT." localSheetId="11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localSheetId="6" hidden="1">{#N/A,#N/A,FALSE,"GGOVT2"}</definedName>
    <definedName name="wrn.GGOVT2." localSheetId="11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localSheetId="6" hidden="1">{#N/A,#N/A,FALSE,"GGOVT%"}</definedName>
    <definedName name="wrn.GGOVTPC." localSheetId="11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localSheetId="6" hidden="1">{#N/A,#N/A,FALSE,"INCOMETX"}</definedName>
    <definedName name="wrn.INCOMETX." localSheetId="11" hidden="1">{#N/A,#N/A,FALSE,"INCOMETX"}</definedName>
    <definedName name="wrn.INCOMETX." hidden="1">{#N/A,#N/A,FALSE,"INCOMETX"}</definedName>
    <definedName name="wrn.INTERST." localSheetId="5" hidden="1">{#N/A,#N/A,FALSE,"INTERST"}</definedName>
    <definedName name="wrn.INTERST." localSheetId="6" hidden="1">{#N/A,#N/A,FALSE,"INTERST"}</definedName>
    <definedName name="wrn.INTERST." localSheetId="11" hidden="1">{#N/A,#N/A,FALSE,"INTERST"}</definedName>
    <definedName name="wrn.INTERST." hidden="1">{#N/A,#N/A,FALSE,"INTERST"}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11" hidden="1">{#N/A,#N/A,FALSE,"CB";#N/A,#N/A,FALSE,"CMB";#N/A,#N/A,FALSE,"NBFI"}</definedName>
    <definedName name="wrn.MIT." hidden="1">{#N/A,#N/A,FALSE,"CB";#N/A,#N/A,FALSE,"CMB";#N/A,#N/A,FALSE,"NBFI"}</definedName>
    <definedName name="wrn.MS." localSheetId="5" hidden="1">{#N/A,#N/A,FALSE,"MS"}</definedName>
    <definedName name="wrn.MS." localSheetId="6" hidden="1">{#N/A,#N/A,FALSE,"MS"}</definedName>
    <definedName name="wrn.MS." localSheetId="11" hidden="1">{#N/A,#N/A,FALSE,"MS"}</definedName>
    <definedName name="wrn.MS." hidden="1">{#N/A,#N/A,FALSE,"MS"}</definedName>
    <definedName name="wrn.NBG." localSheetId="5" hidden="1">{#N/A,#N/A,FALSE,"NBG"}</definedName>
    <definedName name="wrn.NBG." localSheetId="6" hidden="1">{#N/A,#N/A,FALSE,"NBG"}</definedName>
    <definedName name="wrn.NBG." localSheetId="11" hidden="1">{#N/A,#N/A,FALSE,"NBG"}</definedName>
    <definedName name="wrn.NBG." hidden="1">{#N/A,#N/A,FALSE,"NBG"}</definedName>
    <definedName name="wrn.PCPI." localSheetId="5" hidden="1">{#N/A,#N/A,FALSE,"PCPI"}</definedName>
    <definedName name="wrn.PCPI." localSheetId="6" hidden="1">{#N/A,#N/A,FALSE,"PCPI"}</definedName>
    <definedName name="wrn.PCPI." localSheetId="11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localSheetId="6" hidden="1">{#N/A,#N/A,FALSE,"PENSION"}</definedName>
    <definedName name="wrn.PENSION." localSheetId="11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localSheetId="6" hidden="1">{#N/A,#N/A,FALSE,"PRUDENT"}</definedName>
    <definedName name="wrn.PRUDENT." localSheetId="11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localSheetId="6" hidden="1">{#N/A,#N/A,FALSE,"PUBLEXP"}</definedName>
    <definedName name="wrn.PUBLEXP." localSheetId="11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6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localSheetId="6" hidden="1">{#N/A,#N/A,FALSE,"REVSHARE"}</definedName>
    <definedName name="wrn.REVSHARE." localSheetId="11" hidden="1">{#N/A,#N/A,FALSE,"REVSHARE"}</definedName>
    <definedName name="wrn.REVSHARE." hidden="1">{#N/A,#N/A,FALSE,"REVSHARE"}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hidden="1">{#N/A,#N/A,FALSE,"SRFSYS";#N/A,#N/A,FALSE,"SRBSYS"}</definedName>
    <definedName name="wrn.STATE." localSheetId="5" hidden="1">{#N/A,#N/A,FALSE,"STATE"}</definedName>
    <definedName name="wrn.STATE." localSheetId="6" hidden="1">{#N/A,#N/A,FALSE,"STATE"}</definedName>
    <definedName name="wrn.STATE." localSheetId="11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localSheetId="6" hidden="1">{#N/A,#N/A,FALSE,"TAXARREARS"}</definedName>
    <definedName name="wrn.TAXARREARS." localSheetId="11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localSheetId="6" hidden="1">{#N/A,#N/A,FALSE,"TAXPAYRS"}</definedName>
    <definedName name="wrn.TAXPAYRS." localSheetId="11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localSheetId="6" hidden="1">{#N/A,#N/A,FALSE,"TRADE"}</definedName>
    <definedName name="wrn.TRADE." localSheetId="11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localSheetId="6" hidden="1">{#N/A,#N/A,FALSE,"TRANPORT"}</definedName>
    <definedName name="wrn.TRANSPORT." localSheetId="11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localSheetId="6" hidden="1">{#N/A,#N/A,FALSE,"EMP_POP";#N/A,#N/A,FALSE,"UNEMPL"}</definedName>
    <definedName name="wrn.UNEMPL." localSheetId="11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localSheetId="6" hidden="1">{#N/A,#N/A,FALSE,"WAGES"}</definedName>
    <definedName name="wrn.WAGES." localSheetId="11" hidden="1">{#N/A,#N/A,FALSE,"WAGES"}</definedName>
    <definedName name="wrn.WAGES." hidden="1">{#N/A,#N/A,FALSE,"WAGES"}</definedName>
    <definedName name="yyy" localSheetId="5" hidden="1">{#N/A,#N/A,FALSE,"MS"}</definedName>
    <definedName name="yyy" localSheetId="6" hidden="1">{#N/A,#N/A,FALSE,"MS"}</definedName>
    <definedName name="yyy" localSheetId="11" hidden="1">{#N/A,#N/A,FALSE,"MS"}</definedName>
    <definedName name="yyy" hidden="1">{#N/A,#N/A,FALSE,"MS"}</definedName>
    <definedName name="yyyyy" localSheetId="5" hidden="1">{#N/A,#N/A,FALSE,"INTERST"}</definedName>
    <definedName name="yyyyy" localSheetId="6" hidden="1">{#N/A,#N/A,FALSE,"INTERST"}</definedName>
    <definedName name="yyyyy" localSheetId="11" hidden="1">{#N/A,#N/A,FALSE,"INTERST"}</definedName>
    <definedName name="yyyyy" hidden="1">{#N/A,#N/A,FALSE,"INTERST"}</definedName>
    <definedName name="Z_05AB59A7_9F04_4F70_A17E_8EF60EF35C7C_.wvu.PrintArea" localSheetId="5" hidden="1">'Cental Budget'!$B$12:$O$96</definedName>
    <definedName name="Z_5F444141_AB98_4370_9413_F1F0A45DC16B_.wvu.Cols" localSheetId="11" hidden="1">'Public expenditure_int'!$AB:$AD</definedName>
    <definedName name="Z_5F444141_AB98_4370_9413_F1F0A45DC16B_.wvu.Rows" localSheetId="11" hidden="1">'Public expenditure_int'!$61:$61,'Public expenditure_int'!$65:$65,'Public expenditure_int'!$58:$58,'Public expenditure_int'!#REF!,'Public expenditure_int'!$80:$80</definedName>
    <definedName name="Z_636A372C_EE02_4B23_8381_E3299ADF8816_.wvu.Cols" localSheetId="5" hidden="1">'Cental Budget'!#REF!</definedName>
    <definedName name="Z_7AC1CC92_093E_4DA9_98F8_470D5521A68C_.wvu.Rows" localSheetId="5" hidden="1">'Cental Budget'!$50:$54,'Cental Budget'!$64:$68,'Cental Budget'!$70:$74,'Cental Budget'!$89:$89</definedName>
    <definedName name="Z_A32CDCC2_9D7B_41FA_91EC_562A88521235_.wvu.Cols" localSheetId="5" hidden="1">'Cental Budget'!#REF!,'Cental Budget'!#REF!</definedName>
    <definedName name="Z_A4D59F75_8091_4878_A19C_E6F7EFCC98D0_.wvu.Cols" localSheetId="11" hidden="1">'Public expenditure_int'!$D:$D,'Public expenditure_int'!#REF!,'Public expenditure_int'!#REF!,'Public expenditure_int'!#REF!,'Public expenditure_int'!#REF!,'Public expenditure_int'!#REF!,'Public expenditure_int'!#REF!,'Public expenditure_int'!#REF!</definedName>
    <definedName name="Z_E484E83A_8AE1_4ACE_A5D4_7D98A52A9B4B_.wvu.Cols" localSheetId="11" hidden="1">'Public expenditure_int'!$AB:$AD</definedName>
    <definedName name="Z_E484E83A_8AE1_4ACE_A5D4_7D98A52A9B4B_.wvu.Rows" localSheetId="11" hidden="1">'Public expenditure_int'!$61:$61,'Public expenditure_int'!$65:$65,'Public expenditure_int'!$58:$58,'Public expenditure_int'!#REF!,'Public expenditure_int'!$80:$80</definedName>
    <definedName name="Z_F37FAB72_D883_4CEB_A5EC_0FA851AD2DC3_.wvu.Cols" localSheetId="5" hidden="1">'Cental Budget'!#REF!</definedName>
  </definedNames>
  <calcPr calcId="125725" refMode="R1C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Z92" i="10"/>
  <c r="Z96"/>
  <c r="C85" l="1"/>
  <c r="C82"/>
  <c r="F46" i="28" l="1"/>
  <c r="H19" l="1"/>
  <c r="G19"/>
  <c r="F19"/>
  <c r="H20"/>
  <c r="W37"/>
  <c r="F20" l="1"/>
  <c r="F17"/>
  <c r="G24"/>
  <c r="G25"/>
  <c r="H25"/>
  <c r="G26"/>
  <c r="H26"/>
  <c r="G27"/>
  <c r="H27"/>
  <c r="F35"/>
  <c r="V9" i="31" l="1"/>
  <c r="V9" i="32"/>
  <c r="H20" i="29" l="1"/>
  <c r="I20"/>
  <c r="G20"/>
  <c r="P14" i="28" l="1"/>
  <c r="H24" s="1"/>
  <c r="I21" i="29"/>
  <c r="H21"/>
  <c r="G21"/>
  <c r="M25" i="28" l="1"/>
  <c r="N25"/>
  <c r="O25"/>
  <c r="P25"/>
  <c r="H32" i="29" l="1"/>
  <c r="G32"/>
  <c r="O34" i="28" l="1"/>
  <c r="N33"/>
  <c r="F16" s="1"/>
  <c r="N32"/>
  <c r="F27" s="1"/>
  <c r="N31"/>
  <c r="F26" s="1"/>
  <c r="N30"/>
  <c r="F25" s="1"/>
  <c r="N29"/>
  <c r="F24" s="1"/>
  <c r="E29" l="1"/>
  <c r="F29"/>
  <c r="G29"/>
  <c r="H29"/>
  <c r="D29"/>
  <c r="F21" i="29" l="1"/>
  <c r="F18"/>
  <c r="G18"/>
  <c r="H18"/>
  <c r="I18"/>
  <c r="E46" i="28" l="1"/>
  <c r="L33" l="1"/>
  <c r="L32"/>
  <c r="L31"/>
  <c r="L30"/>
  <c r="L29"/>
  <c r="AA30"/>
  <c r="AC30" s="1"/>
  <c r="AA31"/>
  <c r="AC31" s="1"/>
  <c r="AA32"/>
  <c r="AC32" s="1"/>
  <c r="AA33"/>
  <c r="AC33" s="1"/>
  <c r="AA29"/>
  <c r="AC29" s="1"/>
  <c r="S24" l="1"/>
  <c r="Y24" s="1"/>
  <c r="S23"/>
  <c r="Y23" s="1"/>
  <c r="S22"/>
  <c r="S21"/>
  <c r="Y21" s="1"/>
  <c r="S20"/>
  <c r="S18"/>
  <c r="Y18" s="1"/>
  <c r="S17"/>
  <c r="Y17" s="1"/>
  <c r="S16"/>
  <c r="S15"/>
  <c r="Y15" s="1"/>
  <c r="S14"/>
  <c r="Y22"/>
  <c r="Y20"/>
  <c r="S19" l="1"/>
  <c r="Y16"/>
  <c r="K51" i="39" l="1"/>
  <c r="K52"/>
  <c r="K53"/>
  <c r="K54"/>
  <c r="K55"/>
  <c r="K56"/>
  <c r="K57"/>
  <c r="K58"/>
  <c r="K59"/>
  <c r="K60"/>
  <c r="K61"/>
  <c r="K62"/>
  <c r="K63"/>
  <c r="K64"/>
  <c r="K67"/>
  <c r="K69"/>
  <c r="K70"/>
  <c r="K71"/>
  <c r="K72"/>
  <c r="K73"/>
  <c r="K74"/>
  <c r="K75"/>
  <c r="K76"/>
  <c r="K77"/>
  <c r="K78"/>
  <c r="K79"/>
  <c r="K80"/>
  <c r="K81"/>
  <c r="K82"/>
  <c r="K83"/>
  <c r="K88"/>
  <c r="K89"/>
  <c r="K90"/>
  <c r="K93"/>
  <c r="K95"/>
  <c r="J51"/>
  <c r="J52"/>
  <c r="J53"/>
  <c r="J54"/>
  <c r="J55"/>
  <c r="J56"/>
  <c r="J57"/>
  <c r="J58"/>
  <c r="J59"/>
  <c r="J60"/>
  <c r="J61"/>
  <c r="J62"/>
  <c r="J63"/>
  <c r="J64"/>
  <c r="J67"/>
  <c r="J69"/>
  <c r="J70"/>
  <c r="J71"/>
  <c r="J72"/>
  <c r="J73"/>
  <c r="J74"/>
  <c r="J75"/>
  <c r="J76"/>
  <c r="J77"/>
  <c r="J78"/>
  <c r="J79"/>
  <c r="J80"/>
  <c r="J81"/>
  <c r="J82"/>
  <c r="J83"/>
  <c r="J88"/>
  <c r="J89"/>
  <c r="J90"/>
  <c r="J93"/>
  <c r="J95"/>
  <c r="I51"/>
  <c r="I52"/>
  <c r="I53"/>
  <c r="I54"/>
  <c r="I55"/>
  <c r="I56"/>
  <c r="I57"/>
  <c r="I58"/>
  <c r="I59"/>
  <c r="I60"/>
  <c r="I61"/>
  <c r="I62"/>
  <c r="I63"/>
  <c r="I64"/>
  <c r="I67"/>
  <c r="I69"/>
  <c r="I70"/>
  <c r="I71"/>
  <c r="I72"/>
  <c r="I73"/>
  <c r="I74"/>
  <c r="I75"/>
  <c r="I76"/>
  <c r="I77"/>
  <c r="I78"/>
  <c r="I79"/>
  <c r="I80"/>
  <c r="I81"/>
  <c r="I82"/>
  <c r="I83"/>
  <c r="I88"/>
  <c r="I89"/>
  <c r="I90"/>
  <c r="I93"/>
  <c r="I95"/>
  <c r="H51"/>
  <c r="H52"/>
  <c r="H53"/>
  <c r="H54"/>
  <c r="H55"/>
  <c r="H56"/>
  <c r="H57"/>
  <c r="H58"/>
  <c r="H59"/>
  <c r="H60"/>
  <c r="H61"/>
  <c r="H62"/>
  <c r="H63"/>
  <c r="H64"/>
  <c r="H67"/>
  <c r="H69"/>
  <c r="H70"/>
  <c r="H71"/>
  <c r="H72"/>
  <c r="H73"/>
  <c r="H74"/>
  <c r="H75"/>
  <c r="H76"/>
  <c r="H77"/>
  <c r="H78"/>
  <c r="H79"/>
  <c r="H80"/>
  <c r="H81"/>
  <c r="H82"/>
  <c r="H83"/>
  <c r="H88"/>
  <c r="H89"/>
  <c r="H90"/>
  <c r="H93"/>
  <c r="H95"/>
  <c r="G51"/>
  <c r="G52"/>
  <c r="G53"/>
  <c r="G54"/>
  <c r="G55"/>
  <c r="G56"/>
  <c r="G57"/>
  <c r="G58"/>
  <c r="G59"/>
  <c r="G60"/>
  <c r="G61"/>
  <c r="G62"/>
  <c r="G63"/>
  <c r="G64"/>
  <c r="G67"/>
  <c r="G69"/>
  <c r="G70"/>
  <c r="G71"/>
  <c r="G72"/>
  <c r="G73"/>
  <c r="G74"/>
  <c r="G75"/>
  <c r="G76"/>
  <c r="G77"/>
  <c r="G78"/>
  <c r="G79"/>
  <c r="G80"/>
  <c r="G81"/>
  <c r="G82"/>
  <c r="G83"/>
  <c r="G88"/>
  <c r="G89"/>
  <c r="G90"/>
  <c r="G93"/>
  <c r="G95"/>
  <c r="F51"/>
  <c r="F52"/>
  <c r="F53"/>
  <c r="F54"/>
  <c r="F55"/>
  <c r="F56"/>
  <c r="F57"/>
  <c r="F58"/>
  <c r="F59"/>
  <c r="F60"/>
  <c r="F61"/>
  <c r="F62"/>
  <c r="F63"/>
  <c r="F64"/>
  <c r="F67"/>
  <c r="F69"/>
  <c r="F70"/>
  <c r="F71"/>
  <c r="F72"/>
  <c r="F73"/>
  <c r="F74"/>
  <c r="F75"/>
  <c r="F76"/>
  <c r="F77"/>
  <c r="F78"/>
  <c r="F79"/>
  <c r="F80"/>
  <c r="F81"/>
  <c r="F82"/>
  <c r="F83"/>
  <c r="F88"/>
  <c r="F89"/>
  <c r="F90"/>
  <c r="F93"/>
  <c r="F95"/>
  <c r="E51"/>
  <c r="E52"/>
  <c r="E53"/>
  <c r="E54"/>
  <c r="E55"/>
  <c r="E56"/>
  <c r="E57"/>
  <c r="E58"/>
  <c r="E59"/>
  <c r="E60"/>
  <c r="E61"/>
  <c r="E62"/>
  <c r="E63"/>
  <c r="E64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8"/>
  <c r="E89"/>
  <c r="E90"/>
  <c r="E93"/>
  <c r="E94"/>
  <c r="E95"/>
  <c r="D51"/>
  <c r="D52"/>
  <c r="D53"/>
  <c r="D54"/>
  <c r="D55"/>
  <c r="D56"/>
  <c r="D57"/>
  <c r="D58"/>
  <c r="D59"/>
  <c r="D60"/>
  <c r="D61"/>
  <c r="D62"/>
  <c r="D63"/>
  <c r="D64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8"/>
  <c r="D89"/>
  <c r="D90"/>
  <c r="D93"/>
  <c r="D94"/>
  <c r="D95"/>
  <c r="I7" i="10" l="1"/>
  <c r="H8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D16"/>
  <c r="E16" s="1"/>
  <c r="F16"/>
  <c r="H16"/>
  <c r="I16" s="1"/>
  <c r="J16"/>
  <c r="L16"/>
  <c r="N16"/>
  <c r="P16"/>
  <c r="Q16" s="1"/>
  <c r="R16"/>
  <c r="T16"/>
  <c r="U16" s="1"/>
  <c r="V16"/>
  <c r="E17"/>
  <c r="G17"/>
  <c r="I17"/>
  <c r="K17"/>
  <c r="M17"/>
  <c r="O17"/>
  <c r="Q17"/>
  <c r="S17"/>
  <c r="U17"/>
  <c r="W17"/>
  <c r="E18"/>
  <c r="G18"/>
  <c r="I18"/>
  <c r="K18"/>
  <c r="M18"/>
  <c r="O18"/>
  <c r="Q18"/>
  <c r="S18"/>
  <c r="U18"/>
  <c r="W18"/>
  <c r="E19"/>
  <c r="G19"/>
  <c r="I19"/>
  <c r="K19"/>
  <c r="M19"/>
  <c r="O19"/>
  <c r="Q19"/>
  <c r="S19"/>
  <c r="U19"/>
  <c r="W19"/>
  <c r="E20"/>
  <c r="G20"/>
  <c r="I20"/>
  <c r="K20"/>
  <c r="M20"/>
  <c r="O20"/>
  <c r="Q20"/>
  <c r="S20"/>
  <c r="U20"/>
  <c r="W20"/>
  <c r="E21"/>
  <c r="G21"/>
  <c r="I21"/>
  <c r="K21"/>
  <c r="M21"/>
  <c r="O21"/>
  <c r="Q21"/>
  <c r="S21"/>
  <c r="U21"/>
  <c r="W21"/>
  <c r="E22"/>
  <c r="G22"/>
  <c r="I22"/>
  <c r="K22"/>
  <c r="M22"/>
  <c r="O22"/>
  <c r="Q22"/>
  <c r="S22"/>
  <c r="U22"/>
  <c r="W22"/>
  <c r="E23"/>
  <c r="G23"/>
  <c r="I23"/>
  <c r="K23"/>
  <c r="M23"/>
  <c r="O23"/>
  <c r="Q23"/>
  <c r="S23"/>
  <c r="U23"/>
  <c r="W23"/>
  <c r="D24"/>
  <c r="E24" s="1"/>
  <c r="F24"/>
  <c r="G24" s="1"/>
  <c r="H24"/>
  <c r="I24" s="1"/>
  <c r="J24"/>
  <c r="K24" s="1"/>
  <c r="L24"/>
  <c r="M24" s="1"/>
  <c r="N24"/>
  <c r="O24" s="1"/>
  <c r="P24"/>
  <c r="Q24" s="1"/>
  <c r="R24"/>
  <c r="S24" s="1"/>
  <c r="T24"/>
  <c r="U24" s="1"/>
  <c r="V24"/>
  <c r="W24" s="1"/>
  <c r="E25"/>
  <c r="G25"/>
  <c r="I25"/>
  <c r="K25"/>
  <c r="M25"/>
  <c r="O25"/>
  <c r="Q25"/>
  <c r="S25"/>
  <c r="U25"/>
  <c r="W25"/>
  <c r="E26"/>
  <c r="G26"/>
  <c r="I26"/>
  <c r="K26"/>
  <c r="M26"/>
  <c r="O26"/>
  <c r="Q26"/>
  <c r="S26"/>
  <c r="U26"/>
  <c r="W26"/>
  <c r="E27"/>
  <c r="G27"/>
  <c r="I27"/>
  <c r="K27"/>
  <c r="M27"/>
  <c r="O27"/>
  <c r="Q27"/>
  <c r="S27"/>
  <c r="U27"/>
  <c r="W27"/>
  <c r="E28"/>
  <c r="G28"/>
  <c r="I28"/>
  <c r="K28"/>
  <c r="M28"/>
  <c r="O28"/>
  <c r="Q28"/>
  <c r="S28"/>
  <c r="U28"/>
  <c r="W28"/>
  <c r="D29"/>
  <c r="E29" s="1"/>
  <c r="F29"/>
  <c r="G29" s="1"/>
  <c r="H29"/>
  <c r="I29" s="1"/>
  <c r="J29"/>
  <c r="K29" s="1"/>
  <c r="L29"/>
  <c r="M29" s="1"/>
  <c r="N29"/>
  <c r="O29" s="1"/>
  <c r="P29"/>
  <c r="Q29" s="1"/>
  <c r="R29"/>
  <c r="S29" s="1"/>
  <c r="T29"/>
  <c r="U29" s="1"/>
  <c r="V29"/>
  <c r="W29" s="1"/>
  <c r="E30"/>
  <c r="G30"/>
  <c r="I30"/>
  <c r="K30"/>
  <c r="M30"/>
  <c r="O30"/>
  <c r="Q30"/>
  <c r="S30"/>
  <c r="U30"/>
  <c r="W30"/>
  <c r="E31"/>
  <c r="G31"/>
  <c r="I31"/>
  <c r="K31"/>
  <c r="M31"/>
  <c r="O31"/>
  <c r="Q31"/>
  <c r="S31"/>
  <c r="U31"/>
  <c r="W31"/>
  <c r="E32"/>
  <c r="G32"/>
  <c r="I32"/>
  <c r="K32"/>
  <c r="M32"/>
  <c r="O32"/>
  <c r="Q32"/>
  <c r="S32"/>
  <c r="U32"/>
  <c r="W32"/>
  <c r="E33"/>
  <c r="G33"/>
  <c r="I33"/>
  <c r="K33"/>
  <c r="M33"/>
  <c r="O33"/>
  <c r="Q33"/>
  <c r="S33"/>
  <c r="U33"/>
  <c r="W33"/>
  <c r="D34"/>
  <c r="E34" s="1"/>
  <c r="F34"/>
  <c r="G34" s="1"/>
  <c r="H34"/>
  <c r="I34" s="1"/>
  <c r="J34"/>
  <c r="K34" s="1"/>
  <c r="L34"/>
  <c r="M34" s="1"/>
  <c r="N34"/>
  <c r="O34" s="1"/>
  <c r="P34"/>
  <c r="Q34" s="1"/>
  <c r="R34"/>
  <c r="S34" s="1"/>
  <c r="T34"/>
  <c r="U34" s="1"/>
  <c r="V34"/>
  <c r="W34" s="1"/>
  <c r="E35"/>
  <c r="G35"/>
  <c r="I35"/>
  <c r="K35"/>
  <c r="M35"/>
  <c r="O35"/>
  <c r="Q35"/>
  <c r="S35"/>
  <c r="U35"/>
  <c r="W35"/>
  <c r="E36"/>
  <c r="G36"/>
  <c r="I36"/>
  <c r="K36"/>
  <c r="M36"/>
  <c r="O36"/>
  <c r="Q36"/>
  <c r="S36"/>
  <c r="U36"/>
  <c r="W36"/>
  <c r="E37"/>
  <c r="G37"/>
  <c r="I37"/>
  <c r="K37"/>
  <c r="M37"/>
  <c r="O37"/>
  <c r="Q37"/>
  <c r="S37"/>
  <c r="U37"/>
  <c r="W37"/>
  <c r="E38"/>
  <c r="G38"/>
  <c r="I38"/>
  <c r="K38"/>
  <c r="M38"/>
  <c r="O38"/>
  <c r="Q38"/>
  <c r="S38"/>
  <c r="U38"/>
  <c r="W38"/>
  <c r="E39"/>
  <c r="G39"/>
  <c r="I39"/>
  <c r="K39"/>
  <c r="M39"/>
  <c r="O39"/>
  <c r="Q39"/>
  <c r="S39"/>
  <c r="U39"/>
  <c r="W39"/>
  <c r="E40"/>
  <c r="G40"/>
  <c r="I40"/>
  <c r="K40"/>
  <c r="M40"/>
  <c r="O40"/>
  <c r="Q40"/>
  <c r="S40"/>
  <c r="U40"/>
  <c r="W40"/>
  <c r="D41"/>
  <c r="E41" s="1"/>
  <c r="F41"/>
  <c r="G41" s="1"/>
  <c r="H41"/>
  <c r="I41" s="1"/>
  <c r="J41"/>
  <c r="K41" s="1"/>
  <c r="L41"/>
  <c r="M41" s="1"/>
  <c r="N41"/>
  <c r="O41" s="1"/>
  <c r="P41"/>
  <c r="Q41" s="1"/>
  <c r="R41"/>
  <c r="S41" s="1"/>
  <c r="T41"/>
  <c r="U41" s="1"/>
  <c r="V41"/>
  <c r="W41" s="1"/>
  <c r="E42"/>
  <c r="G42"/>
  <c r="I42"/>
  <c r="K42"/>
  <c r="M42"/>
  <c r="O42"/>
  <c r="Q42"/>
  <c r="S42"/>
  <c r="U42"/>
  <c r="W42"/>
  <c r="E43"/>
  <c r="G43"/>
  <c r="I43"/>
  <c r="K43"/>
  <c r="M43"/>
  <c r="O43"/>
  <c r="Q43"/>
  <c r="S43"/>
  <c r="U43"/>
  <c r="W43"/>
  <c r="E44"/>
  <c r="G44"/>
  <c r="I44"/>
  <c r="K44"/>
  <c r="M44"/>
  <c r="O44"/>
  <c r="Q44"/>
  <c r="S44"/>
  <c r="U44"/>
  <c r="W44"/>
  <c r="E45"/>
  <c r="G45"/>
  <c r="I45"/>
  <c r="K45"/>
  <c r="M45"/>
  <c r="O45"/>
  <c r="Q45"/>
  <c r="S45"/>
  <c r="U45"/>
  <c r="W45"/>
  <c r="E46"/>
  <c r="G46"/>
  <c r="I46"/>
  <c r="K46"/>
  <c r="M46"/>
  <c r="O46"/>
  <c r="Q46"/>
  <c r="S46"/>
  <c r="U46"/>
  <c r="W46"/>
  <c r="E47"/>
  <c r="G47"/>
  <c r="I47"/>
  <c r="K47"/>
  <c r="M47"/>
  <c r="O47"/>
  <c r="Q47"/>
  <c r="S47"/>
  <c r="U47"/>
  <c r="W47"/>
  <c r="R50"/>
  <c r="T50"/>
  <c r="T48" s="1"/>
  <c r="V50"/>
  <c r="W50" s="1"/>
  <c r="D51"/>
  <c r="F51"/>
  <c r="H51"/>
  <c r="J51"/>
  <c r="L51"/>
  <c r="N51"/>
  <c r="P51"/>
  <c r="S51"/>
  <c r="U51"/>
  <c r="W51"/>
  <c r="E52"/>
  <c r="G52"/>
  <c r="I52"/>
  <c r="K52"/>
  <c r="M52"/>
  <c r="O52"/>
  <c r="Q52"/>
  <c r="S52"/>
  <c r="U52"/>
  <c r="W52"/>
  <c r="E53"/>
  <c r="G53"/>
  <c r="I53"/>
  <c r="K53"/>
  <c r="M53"/>
  <c r="O53"/>
  <c r="Q53"/>
  <c r="S53"/>
  <c r="U53"/>
  <c r="W53"/>
  <c r="E54"/>
  <c r="G54"/>
  <c r="I54"/>
  <c r="K54"/>
  <c r="M54"/>
  <c r="O54"/>
  <c r="Q54"/>
  <c r="S54"/>
  <c r="U54"/>
  <c r="W54"/>
  <c r="E55"/>
  <c r="G55"/>
  <c r="I55"/>
  <c r="K55"/>
  <c r="M55"/>
  <c r="O55"/>
  <c r="Q55"/>
  <c r="S55"/>
  <c r="U55"/>
  <c r="W55"/>
  <c r="E56"/>
  <c r="G56"/>
  <c r="I56"/>
  <c r="K56"/>
  <c r="M56"/>
  <c r="O56"/>
  <c r="Q56"/>
  <c r="S56"/>
  <c r="U56"/>
  <c r="W56"/>
  <c r="E57"/>
  <c r="G57"/>
  <c r="I57"/>
  <c r="K57"/>
  <c r="M57"/>
  <c r="O57"/>
  <c r="Q57"/>
  <c r="S57"/>
  <c r="U57"/>
  <c r="W57"/>
  <c r="E58"/>
  <c r="G58"/>
  <c r="I58"/>
  <c r="K58"/>
  <c r="M58"/>
  <c r="O58"/>
  <c r="Q58"/>
  <c r="S58"/>
  <c r="U58"/>
  <c r="W58"/>
  <c r="E59"/>
  <c r="G59"/>
  <c r="I59"/>
  <c r="K59"/>
  <c r="M59"/>
  <c r="O59"/>
  <c r="Q59"/>
  <c r="S59"/>
  <c r="U59"/>
  <c r="W59"/>
  <c r="E60"/>
  <c r="G60"/>
  <c r="I60"/>
  <c r="K60"/>
  <c r="M60"/>
  <c r="O60"/>
  <c r="Q60"/>
  <c r="S60"/>
  <c r="U60"/>
  <c r="W60"/>
  <c r="E61"/>
  <c r="G61"/>
  <c r="I61"/>
  <c r="K61"/>
  <c r="M61"/>
  <c r="O61"/>
  <c r="Q61"/>
  <c r="S61"/>
  <c r="U61"/>
  <c r="W61"/>
  <c r="E62"/>
  <c r="G62"/>
  <c r="I62"/>
  <c r="K62"/>
  <c r="M62"/>
  <c r="O62"/>
  <c r="Q62"/>
  <c r="S62"/>
  <c r="U62"/>
  <c r="W62"/>
  <c r="E63"/>
  <c r="G63"/>
  <c r="I63"/>
  <c r="K63"/>
  <c r="M63"/>
  <c r="O63"/>
  <c r="Q63"/>
  <c r="S63"/>
  <c r="U63"/>
  <c r="W63"/>
  <c r="E64"/>
  <c r="G64"/>
  <c r="I64"/>
  <c r="K64"/>
  <c r="M64"/>
  <c r="O64"/>
  <c r="Q64"/>
  <c r="S64"/>
  <c r="U64"/>
  <c r="W64"/>
  <c r="D65"/>
  <c r="E65" s="1"/>
  <c r="F65"/>
  <c r="G65" s="1"/>
  <c r="H65"/>
  <c r="I65" s="1"/>
  <c r="J65"/>
  <c r="K65" s="1"/>
  <c r="L65"/>
  <c r="M65" s="1"/>
  <c r="N65"/>
  <c r="O65" s="1"/>
  <c r="P65"/>
  <c r="Q65" s="1"/>
  <c r="R65"/>
  <c r="S65" s="1"/>
  <c r="U65"/>
  <c r="V65"/>
  <c r="W65" s="1"/>
  <c r="E66"/>
  <c r="G66"/>
  <c r="I66"/>
  <c r="K66"/>
  <c r="M66"/>
  <c r="O66"/>
  <c r="Q66"/>
  <c r="S66"/>
  <c r="U66"/>
  <c r="W66"/>
  <c r="E67"/>
  <c r="G67"/>
  <c r="I67"/>
  <c r="K67"/>
  <c r="M67"/>
  <c r="O67"/>
  <c r="Q67"/>
  <c r="S67"/>
  <c r="U67"/>
  <c r="W67"/>
  <c r="E68"/>
  <c r="G68"/>
  <c r="I68"/>
  <c r="K68"/>
  <c r="M68"/>
  <c r="O68"/>
  <c r="Q68"/>
  <c r="S68"/>
  <c r="U68"/>
  <c r="W68"/>
  <c r="E69"/>
  <c r="G69"/>
  <c r="I69"/>
  <c r="K69"/>
  <c r="M69"/>
  <c r="O69"/>
  <c r="Q69"/>
  <c r="S69"/>
  <c r="U69"/>
  <c r="W69"/>
  <c r="E70"/>
  <c r="G70"/>
  <c r="I70"/>
  <c r="K70"/>
  <c r="M70"/>
  <c r="O70"/>
  <c r="Q70"/>
  <c r="S70"/>
  <c r="U70"/>
  <c r="W70"/>
  <c r="D71"/>
  <c r="E71" s="1"/>
  <c r="F71"/>
  <c r="G71" s="1"/>
  <c r="H71"/>
  <c r="I71" s="1"/>
  <c r="J71"/>
  <c r="K71" s="1"/>
  <c r="L71"/>
  <c r="M71" s="1"/>
  <c r="N71"/>
  <c r="O71" s="1"/>
  <c r="P71"/>
  <c r="Q71" s="1"/>
  <c r="R71"/>
  <c r="S71" s="1"/>
  <c r="U71"/>
  <c r="W71"/>
  <c r="E72"/>
  <c r="G72"/>
  <c r="I72"/>
  <c r="K72"/>
  <c r="M72"/>
  <c r="O72"/>
  <c r="Q72"/>
  <c r="S72"/>
  <c r="U72"/>
  <c r="W72"/>
  <c r="E73"/>
  <c r="G73"/>
  <c r="I73"/>
  <c r="K73"/>
  <c r="M73"/>
  <c r="O73"/>
  <c r="Q73"/>
  <c r="S73"/>
  <c r="U73"/>
  <c r="W73"/>
  <c r="E74"/>
  <c r="G74"/>
  <c r="I74"/>
  <c r="K74"/>
  <c r="M74"/>
  <c r="O74"/>
  <c r="Q74"/>
  <c r="S74"/>
  <c r="U74"/>
  <c r="W74"/>
  <c r="E75"/>
  <c r="G75"/>
  <c r="I75"/>
  <c r="K75"/>
  <c r="M75"/>
  <c r="O75"/>
  <c r="Q75"/>
  <c r="S75"/>
  <c r="U75"/>
  <c r="W75"/>
  <c r="E76"/>
  <c r="G76"/>
  <c r="I76"/>
  <c r="K76"/>
  <c r="M76"/>
  <c r="O76"/>
  <c r="Q76"/>
  <c r="S76"/>
  <c r="U76"/>
  <c r="W76"/>
  <c r="E77"/>
  <c r="G77"/>
  <c r="I77"/>
  <c r="K77"/>
  <c r="M77"/>
  <c r="O77"/>
  <c r="Q77"/>
  <c r="S77"/>
  <c r="U77"/>
  <c r="W77"/>
  <c r="E78"/>
  <c r="G78"/>
  <c r="I78"/>
  <c r="K78"/>
  <c r="M78"/>
  <c r="O78"/>
  <c r="Q78"/>
  <c r="S78"/>
  <c r="U78"/>
  <c r="W78"/>
  <c r="E79"/>
  <c r="G79"/>
  <c r="I79"/>
  <c r="K79"/>
  <c r="M79"/>
  <c r="O79"/>
  <c r="Q79"/>
  <c r="S79"/>
  <c r="U79"/>
  <c r="W79"/>
  <c r="E80"/>
  <c r="G80"/>
  <c r="I80"/>
  <c r="K80"/>
  <c r="M80"/>
  <c r="O80"/>
  <c r="Q80"/>
  <c r="S80"/>
  <c r="U80"/>
  <c r="W80"/>
  <c r="E81"/>
  <c r="G81"/>
  <c r="I81"/>
  <c r="K81"/>
  <c r="M81"/>
  <c r="O81"/>
  <c r="Q81"/>
  <c r="S81"/>
  <c r="U81"/>
  <c r="W81"/>
  <c r="E82"/>
  <c r="G82"/>
  <c r="I82"/>
  <c r="K82"/>
  <c r="M82"/>
  <c r="O82"/>
  <c r="Q82"/>
  <c r="S82"/>
  <c r="U82"/>
  <c r="W82"/>
  <c r="E83"/>
  <c r="G83"/>
  <c r="I83"/>
  <c r="K83"/>
  <c r="M83"/>
  <c r="O83"/>
  <c r="Q83"/>
  <c r="S83"/>
  <c r="U83"/>
  <c r="W83"/>
  <c r="D87"/>
  <c r="E87" s="1"/>
  <c r="F87"/>
  <c r="G87" s="1"/>
  <c r="H87"/>
  <c r="I87" s="1"/>
  <c r="J87"/>
  <c r="K87" s="1"/>
  <c r="L87"/>
  <c r="M87" s="1"/>
  <c r="N87"/>
  <c r="O87" s="1"/>
  <c r="P87"/>
  <c r="Q87" s="1"/>
  <c r="R87"/>
  <c r="S87" s="1"/>
  <c r="U87"/>
  <c r="V87"/>
  <c r="W87" s="1"/>
  <c r="E88"/>
  <c r="G88"/>
  <c r="I88"/>
  <c r="K88"/>
  <c r="M88"/>
  <c r="O88"/>
  <c r="Q88"/>
  <c r="S88"/>
  <c r="U88"/>
  <c r="W88"/>
  <c r="E89"/>
  <c r="G89"/>
  <c r="I89"/>
  <c r="K89"/>
  <c r="M89"/>
  <c r="O89"/>
  <c r="Q89"/>
  <c r="S89"/>
  <c r="U89"/>
  <c r="W89"/>
  <c r="E90"/>
  <c r="G90"/>
  <c r="I90"/>
  <c r="K90"/>
  <c r="M90"/>
  <c r="O90"/>
  <c r="Q90"/>
  <c r="S90"/>
  <c r="U90"/>
  <c r="W90"/>
  <c r="D92"/>
  <c r="E92" s="1"/>
  <c r="F92"/>
  <c r="G92" s="1"/>
  <c r="H92"/>
  <c r="I92" s="1"/>
  <c r="J92"/>
  <c r="K92" s="1"/>
  <c r="L92"/>
  <c r="M92" s="1"/>
  <c r="N92"/>
  <c r="O92" s="1"/>
  <c r="P92"/>
  <c r="Q92" s="1"/>
  <c r="R92"/>
  <c r="S92" s="1"/>
  <c r="T92"/>
  <c r="U92" s="1"/>
  <c r="V92"/>
  <c r="W92" s="1"/>
  <c r="E93"/>
  <c r="G93"/>
  <c r="I93"/>
  <c r="K93"/>
  <c r="M93"/>
  <c r="O93"/>
  <c r="Q93"/>
  <c r="S93"/>
  <c r="U93"/>
  <c r="W93"/>
  <c r="E94"/>
  <c r="G94"/>
  <c r="I94"/>
  <c r="K94"/>
  <c r="M94"/>
  <c r="O94"/>
  <c r="Q94"/>
  <c r="S94"/>
  <c r="U94"/>
  <c r="W94"/>
  <c r="E95"/>
  <c r="G95"/>
  <c r="I95"/>
  <c r="K95"/>
  <c r="M95"/>
  <c r="O95"/>
  <c r="Q95"/>
  <c r="S95"/>
  <c r="U95"/>
  <c r="W95"/>
  <c r="E96"/>
  <c r="G96"/>
  <c r="I96"/>
  <c r="K96"/>
  <c r="M96"/>
  <c r="O96"/>
  <c r="Q96"/>
  <c r="S96"/>
  <c r="U96"/>
  <c r="W96"/>
  <c r="P50" l="1"/>
  <c r="N50"/>
  <c r="O50" s="1"/>
  <c r="F50"/>
  <c r="F48" s="1"/>
  <c r="H50"/>
  <c r="H48" s="1"/>
  <c r="L50"/>
  <c r="L36" i="32"/>
  <c r="D50" i="10"/>
  <c r="D48" s="1"/>
  <c r="R15"/>
  <c r="S15" s="1"/>
  <c r="J50"/>
  <c r="J36" i="32"/>
  <c r="O51" i="10"/>
  <c r="R48"/>
  <c r="R49" s="1"/>
  <c r="S49" s="1"/>
  <c r="G51"/>
  <c r="S50"/>
  <c r="V15"/>
  <c r="L15"/>
  <c r="M15" s="1"/>
  <c r="F15"/>
  <c r="P15"/>
  <c r="Q15" s="1"/>
  <c r="J15"/>
  <c r="K15" s="1"/>
  <c r="V48"/>
  <c r="V49" s="1"/>
  <c r="W49" s="1"/>
  <c r="T15"/>
  <c r="U15" s="1"/>
  <c r="N15"/>
  <c r="O15" s="1"/>
  <c r="D15"/>
  <c r="E15" s="1"/>
  <c r="K51"/>
  <c r="M16"/>
  <c r="H15"/>
  <c r="I15" s="1"/>
  <c r="L48"/>
  <c r="M50"/>
  <c r="N48"/>
  <c r="P48"/>
  <c r="Q50"/>
  <c r="T49"/>
  <c r="U49" s="1"/>
  <c r="U48"/>
  <c r="K50"/>
  <c r="J48"/>
  <c r="G15"/>
  <c r="Q51"/>
  <c r="M51"/>
  <c r="I51"/>
  <c r="E51"/>
  <c r="U50"/>
  <c r="W16"/>
  <c r="S16"/>
  <c r="O16"/>
  <c r="K16"/>
  <c r="G16"/>
  <c r="E50" l="1"/>
  <c r="S48"/>
  <c r="G50"/>
  <c r="I50"/>
  <c r="W48"/>
  <c r="V84"/>
  <c r="V85" s="1"/>
  <c r="L84"/>
  <c r="L86" s="1"/>
  <c r="M86" s="1"/>
  <c r="W15"/>
  <c r="J84"/>
  <c r="J91" s="1"/>
  <c r="K91" s="1"/>
  <c r="R84"/>
  <c r="R85" s="1"/>
  <c r="F84"/>
  <c r="F86" s="1"/>
  <c r="G86" s="1"/>
  <c r="T84"/>
  <c r="T85" s="1"/>
  <c r="P84"/>
  <c r="P86" s="1"/>
  <c r="Q86" s="1"/>
  <c r="H84"/>
  <c r="H86" s="1"/>
  <c r="I86" s="1"/>
  <c r="N84"/>
  <c r="N86" s="1"/>
  <c r="O86" s="1"/>
  <c r="G48"/>
  <c r="F49"/>
  <c r="G49" s="1"/>
  <c r="K48"/>
  <c r="J49"/>
  <c r="K49" s="1"/>
  <c r="N49"/>
  <c r="O49" s="1"/>
  <c r="O48"/>
  <c r="D49"/>
  <c r="E49" s="1"/>
  <c r="E48"/>
  <c r="P49"/>
  <c r="Q49" s="1"/>
  <c r="Q48"/>
  <c r="H49"/>
  <c r="I49" s="1"/>
  <c r="I48"/>
  <c r="D84"/>
  <c r="L49"/>
  <c r="M49" s="1"/>
  <c r="M48"/>
  <c r="M84" l="1"/>
  <c r="G84"/>
  <c r="L91"/>
  <c r="M91" s="1"/>
  <c r="F91"/>
  <c r="G91" s="1"/>
  <c r="O84"/>
  <c r="N91"/>
  <c r="O91" s="1"/>
  <c r="W84"/>
  <c r="J86"/>
  <c r="K86" s="1"/>
  <c r="U84"/>
  <c r="S84"/>
  <c r="Q84"/>
  <c r="K84"/>
  <c r="P91"/>
  <c r="Q91" s="1"/>
  <c r="I84"/>
  <c r="H91"/>
  <c r="I91" s="1"/>
  <c r="T86"/>
  <c r="U86" s="1"/>
  <c r="U85"/>
  <c r="T91"/>
  <c r="U91" s="1"/>
  <c r="D86"/>
  <c r="E86" s="1"/>
  <c r="D91"/>
  <c r="E91" s="1"/>
  <c r="E84"/>
  <c r="S85"/>
  <c r="R86"/>
  <c r="S86" s="1"/>
  <c r="R91"/>
  <c r="S91" s="1"/>
  <c r="V86"/>
  <c r="W86" s="1"/>
  <c r="W85"/>
  <c r="V91"/>
  <c r="W91" s="1"/>
  <c r="Z36" i="32"/>
  <c r="Z44"/>
  <c r="Z53"/>
  <c r="Z58"/>
  <c r="Z59"/>
  <c r="G68" i="39" l="1"/>
  <c r="F68"/>
  <c r="E27" i="28"/>
  <c r="D27"/>
  <c r="E26"/>
  <c r="D26"/>
  <c r="E25"/>
  <c r="D25"/>
  <c r="E24"/>
  <c r="U56"/>
  <c r="V56"/>
  <c r="T56"/>
  <c r="S56"/>
  <c r="Z54"/>
  <c r="Y45"/>
  <c r="Z44" s="1"/>
  <c r="Z53" s="1"/>
  <c r="Z41" i="31"/>
  <c r="Z20"/>
  <c r="Z21"/>
  <c r="Z22"/>
  <c r="Z23"/>
  <c r="Z24"/>
  <c r="Z26"/>
  <c r="Z27"/>
  <c r="Z28"/>
  <c r="Z29"/>
  <c r="Z30"/>
  <c r="Z31"/>
  <c r="Z32"/>
  <c r="Z33"/>
  <c r="Z34"/>
  <c r="Z36"/>
  <c r="Z37"/>
  <c r="Z38"/>
  <c r="Z39"/>
  <c r="Z40"/>
  <c r="H68" i="39" l="1"/>
  <c r="I68"/>
  <c r="Z42" i="28"/>
  <c r="Z51" s="1"/>
  <c r="Z41"/>
  <c r="Z50" s="1"/>
  <c r="Z43"/>
  <c r="Z52" s="1"/>
  <c r="F66" i="39" l="1"/>
  <c r="G66"/>
  <c r="K68"/>
  <c r="J68"/>
  <c r="Z66" i="31"/>
  <c r="Z67"/>
  <c r="Z68"/>
  <c r="Z69"/>
  <c r="Z70"/>
  <c r="Z54" i="32"/>
  <c r="Z52" s="1"/>
  <c r="Z57"/>
  <c r="Z61" i="31"/>
  <c r="Z62"/>
  <c r="Z63"/>
  <c r="Z64"/>
  <c r="Z47"/>
  <c r="Z48"/>
  <c r="Z49"/>
  <c r="Z50"/>
  <c r="Z51"/>
  <c r="Z37" i="32"/>
  <c r="Z41"/>
  <c r="Z40" l="1"/>
  <c r="Z38"/>
  <c r="Z42"/>
  <c r="Z50"/>
  <c r="Z48"/>
  <c r="Z55"/>
  <c r="Z39"/>
  <c r="Z43"/>
  <c r="Z46"/>
  <c r="Z49"/>
  <c r="Z47"/>
  <c r="I66" i="39"/>
  <c r="H66"/>
  <c r="Z35" i="32" l="1"/>
  <c r="Z45"/>
  <c r="J66" i="39"/>
  <c r="K66"/>
  <c r="E16" i="28"/>
  <c r="G16"/>
  <c r="H16"/>
  <c r="E17"/>
  <c r="G17"/>
  <c r="H17"/>
  <c r="D16"/>
  <c r="T48"/>
  <c r="V48"/>
  <c r="U48"/>
  <c r="S48"/>
  <c r="E35" l="1"/>
  <c r="G35"/>
  <c r="H35"/>
  <c r="D35"/>
  <c r="E22"/>
  <c r="F22"/>
  <c r="G22"/>
  <c r="H22"/>
  <c r="D22"/>
  <c r="E20"/>
  <c r="G20"/>
  <c r="D20"/>
  <c r="E19"/>
  <c r="D19"/>
  <c r="E18"/>
  <c r="F18"/>
  <c r="G18"/>
  <c r="H18"/>
  <c r="D18"/>
  <c r="D17"/>
  <c r="T37"/>
  <c r="T11" s="1"/>
  <c r="U37"/>
  <c r="U11" s="1"/>
  <c r="V37"/>
  <c r="V11" s="1"/>
  <c r="S37"/>
  <c r="F10" i="34"/>
  <c r="C10"/>
  <c r="C16" s="1"/>
  <c r="D12" l="1"/>
  <c r="F12" s="1"/>
  <c r="D11"/>
  <c r="F11" s="1"/>
  <c r="D9"/>
  <c r="F9" s="1"/>
  <c r="D7"/>
  <c r="F7" s="1"/>
  <c r="D8"/>
  <c r="F8" s="1"/>
  <c r="D13"/>
  <c r="F13" s="1"/>
  <c r="D6"/>
  <c r="F6" s="1"/>
  <c r="D5"/>
  <c r="D14"/>
  <c r="F14" s="1"/>
  <c r="D15"/>
  <c r="F15" s="1"/>
  <c r="F5" l="1"/>
  <c r="F16" s="1"/>
  <c r="D16"/>
  <c r="M43" i="28"/>
  <c r="N43"/>
  <c r="O43"/>
  <c r="O11" s="1"/>
  <c r="P43"/>
  <c r="P11" s="1"/>
  <c r="L43"/>
  <c r="D22" i="33" l="1"/>
  <c r="E13"/>
  <c r="F13"/>
  <c r="G13"/>
  <c r="H13"/>
  <c r="D13"/>
  <c r="I6"/>
  <c r="K6"/>
  <c r="I7"/>
  <c r="I9"/>
  <c r="I10"/>
  <c r="I11"/>
  <c r="I16"/>
  <c r="I17"/>
  <c r="I18"/>
  <c r="I19"/>
  <c r="I20"/>
  <c r="E22"/>
  <c r="E24" s="1"/>
  <c r="E26" s="1"/>
  <c r="F22"/>
  <c r="G22"/>
  <c r="H22"/>
  <c r="G24" l="1"/>
  <c r="G26" s="1"/>
  <c r="H24"/>
  <c r="H26" s="1"/>
  <c r="F24"/>
  <c r="F26" s="1"/>
  <c r="I13"/>
  <c r="D24"/>
  <c r="D26" s="1"/>
  <c r="E33" i="28"/>
  <c r="F33"/>
  <c r="G33"/>
  <c r="H33"/>
  <c r="G23"/>
  <c r="H23"/>
  <c r="D33"/>
  <c r="N34"/>
  <c r="N11" s="1"/>
  <c r="M34"/>
  <c r="M11" s="1"/>
  <c r="L55"/>
  <c r="L34"/>
  <c r="L19"/>
  <c r="L25" s="1"/>
  <c r="H40"/>
  <c r="G40"/>
  <c r="H28"/>
  <c r="G28"/>
  <c r="F46" i="29"/>
  <c r="G46"/>
  <c r="H46"/>
  <c r="I46"/>
  <c r="E46"/>
  <c r="F45"/>
  <c r="G45"/>
  <c r="H45"/>
  <c r="I45"/>
  <c r="E45"/>
  <c r="F44"/>
  <c r="G44"/>
  <c r="H44"/>
  <c r="I44"/>
  <c r="E44"/>
  <c r="F43"/>
  <c r="G43"/>
  <c r="H43"/>
  <c r="I43"/>
  <c r="E43"/>
  <c r="F42"/>
  <c r="G42"/>
  <c r="H42"/>
  <c r="I42"/>
  <c r="E42"/>
  <c r="F40"/>
  <c r="G40"/>
  <c r="H40"/>
  <c r="I40"/>
  <c r="E40"/>
  <c r="F39"/>
  <c r="G39"/>
  <c r="H39"/>
  <c r="I39"/>
  <c r="E39"/>
  <c r="F38"/>
  <c r="G38"/>
  <c r="H38"/>
  <c r="I38"/>
  <c r="E38"/>
  <c r="F37"/>
  <c r="G37"/>
  <c r="H37"/>
  <c r="I37"/>
  <c r="E37"/>
  <c r="F36"/>
  <c r="G36"/>
  <c r="H36"/>
  <c r="I36"/>
  <c r="E36"/>
  <c r="F35"/>
  <c r="G35"/>
  <c r="H35"/>
  <c r="I35"/>
  <c r="E35"/>
  <c r="F33"/>
  <c r="G33"/>
  <c r="H33"/>
  <c r="I33"/>
  <c r="E33"/>
  <c r="E32"/>
  <c r="F32"/>
  <c r="I32"/>
  <c r="F31"/>
  <c r="G31"/>
  <c r="H31"/>
  <c r="I31"/>
  <c r="E31"/>
  <c r="F30"/>
  <c r="G30"/>
  <c r="H30"/>
  <c r="I30"/>
  <c r="E30"/>
  <c r="F28"/>
  <c r="G28"/>
  <c r="H28"/>
  <c r="I28"/>
  <c r="E28"/>
  <c r="F27"/>
  <c r="G27"/>
  <c r="H27"/>
  <c r="I27"/>
  <c r="E27"/>
  <c r="F26"/>
  <c r="G26"/>
  <c r="H26"/>
  <c r="I26"/>
  <c r="E26"/>
  <c r="F25"/>
  <c r="G25"/>
  <c r="H25"/>
  <c r="I25"/>
  <c r="E25"/>
  <c r="F23"/>
  <c r="G23"/>
  <c r="H23"/>
  <c r="I23"/>
  <c r="E23"/>
  <c r="F22"/>
  <c r="G22"/>
  <c r="H22"/>
  <c r="I22"/>
  <c r="E22"/>
  <c r="E21"/>
  <c r="F20"/>
  <c r="E20"/>
  <c r="F19"/>
  <c r="G19"/>
  <c r="H19"/>
  <c r="I19"/>
  <c r="E19"/>
  <c r="E18"/>
  <c r="F17"/>
  <c r="G17"/>
  <c r="H17"/>
  <c r="I17"/>
  <c r="E17"/>
  <c r="I34"/>
  <c r="H34"/>
  <c r="X72" i="32"/>
  <c r="Z73"/>
  <c r="Z72"/>
  <c r="Z71"/>
  <c r="Z70"/>
  <c r="Z67"/>
  <c r="Z66"/>
  <c r="Z65"/>
  <c r="Z60"/>
  <c r="Z33" s="1"/>
  <c r="X73"/>
  <c r="X71"/>
  <c r="X70"/>
  <c r="X66"/>
  <c r="X67"/>
  <c r="X65"/>
  <c r="X60"/>
  <c r="X59"/>
  <c r="X58"/>
  <c r="X57"/>
  <c r="X55"/>
  <c r="X54"/>
  <c r="X53"/>
  <c r="X47"/>
  <c r="X48"/>
  <c r="X49"/>
  <c r="X50"/>
  <c r="X46"/>
  <c r="X44"/>
  <c r="X38"/>
  <c r="X39"/>
  <c r="X40"/>
  <c r="X41"/>
  <c r="X42"/>
  <c r="X43"/>
  <c r="X37"/>
  <c r="X36"/>
  <c r="Y51" i="10"/>
  <c r="Y52"/>
  <c r="Y53"/>
  <c r="Y54"/>
  <c r="Y55"/>
  <c r="Y56"/>
  <c r="Y57"/>
  <c r="Y58"/>
  <c r="Y59"/>
  <c r="Y60"/>
  <c r="Y61"/>
  <c r="Y62"/>
  <c r="Y63"/>
  <c r="Y64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8"/>
  <c r="Y89"/>
  <c r="Y90"/>
  <c r="Y93"/>
  <c r="Y94"/>
  <c r="Y95"/>
  <c r="Z87"/>
  <c r="Z65"/>
  <c r="X87"/>
  <c r="Y87" s="1"/>
  <c r="X65"/>
  <c r="Y65" s="1"/>
  <c r="X50"/>
  <c r="Y50" s="1"/>
  <c r="Z50"/>
  <c r="Z21" i="32"/>
  <c r="X32"/>
  <c r="X31"/>
  <c r="X27"/>
  <c r="X26"/>
  <c r="X25"/>
  <c r="X24"/>
  <c r="X22"/>
  <c r="X21"/>
  <c r="X20"/>
  <c r="X19"/>
  <c r="X18"/>
  <c r="X17"/>
  <c r="X16"/>
  <c r="X15"/>
  <c r="Z9"/>
  <c r="AA9"/>
  <c r="X9"/>
  <c r="Y9"/>
  <c r="V15"/>
  <c r="V16"/>
  <c r="V17"/>
  <c r="V18"/>
  <c r="V19"/>
  <c r="V20"/>
  <c r="V21"/>
  <c r="V22"/>
  <c r="V24"/>
  <c r="V25"/>
  <c r="V26"/>
  <c r="V27"/>
  <c r="V28"/>
  <c r="V29"/>
  <c r="V30"/>
  <c r="V31"/>
  <c r="V32"/>
  <c r="V36"/>
  <c r="V37"/>
  <c r="V38"/>
  <c r="V39"/>
  <c r="V40"/>
  <c r="V41"/>
  <c r="V42"/>
  <c r="V43"/>
  <c r="V44"/>
  <c r="V46"/>
  <c r="V47"/>
  <c r="V48"/>
  <c r="V49"/>
  <c r="V50"/>
  <c r="V53"/>
  <c r="V54"/>
  <c r="V55"/>
  <c r="V57"/>
  <c r="V58"/>
  <c r="V60"/>
  <c r="V59"/>
  <c r="T15"/>
  <c r="T16"/>
  <c r="T17"/>
  <c r="T18"/>
  <c r="T19"/>
  <c r="T20"/>
  <c r="T21"/>
  <c r="T22"/>
  <c r="T24"/>
  <c r="T25"/>
  <c r="T26"/>
  <c r="T27"/>
  <c r="T28"/>
  <c r="T29"/>
  <c r="T30"/>
  <c r="T31"/>
  <c r="T32"/>
  <c r="T36"/>
  <c r="T37"/>
  <c r="T38"/>
  <c r="T39"/>
  <c r="T40"/>
  <c r="T41"/>
  <c r="T42"/>
  <c r="T43"/>
  <c r="T44"/>
  <c r="T46"/>
  <c r="T47"/>
  <c r="T48"/>
  <c r="T49"/>
  <c r="T50"/>
  <c r="T53"/>
  <c r="T54"/>
  <c r="T55"/>
  <c r="T57"/>
  <c r="T58"/>
  <c r="T60"/>
  <c r="T59"/>
  <c r="T9"/>
  <c r="R15"/>
  <c r="R16"/>
  <c r="R17"/>
  <c r="R18"/>
  <c r="R19"/>
  <c r="R20"/>
  <c r="R21"/>
  <c r="R22"/>
  <c r="R24"/>
  <c r="R25"/>
  <c r="R26"/>
  <c r="R27"/>
  <c r="R28"/>
  <c r="R29"/>
  <c r="R30"/>
  <c r="R31"/>
  <c r="R32"/>
  <c r="R36"/>
  <c r="R37"/>
  <c r="R38"/>
  <c r="R39"/>
  <c r="R40"/>
  <c r="R41"/>
  <c r="R42"/>
  <c r="R43"/>
  <c r="R44"/>
  <c r="R46"/>
  <c r="R47"/>
  <c r="R48"/>
  <c r="R49"/>
  <c r="R50"/>
  <c r="R53"/>
  <c r="R54"/>
  <c r="R55"/>
  <c r="R57"/>
  <c r="R58"/>
  <c r="R60"/>
  <c r="R59"/>
  <c r="R9"/>
  <c r="P40"/>
  <c r="P79" s="1"/>
  <c r="P9"/>
  <c r="N40"/>
  <c r="N79" s="1"/>
  <c r="N9"/>
  <c r="L40"/>
  <c r="L9"/>
  <c r="J40"/>
  <c r="J9"/>
  <c r="H40"/>
  <c r="H79" s="1"/>
  <c r="H9"/>
  <c r="F40"/>
  <c r="F79" s="1"/>
  <c r="F9"/>
  <c r="D40"/>
  <c r="D79" s="1"/>
  <c r="D9"/>
  <c r="P15"/>
  <c r="P16"/>
  <c r="P17"/>
  <c r="P18"/>
  <c r="P19"/>
  <c r="P20"/>
  <c r="P21"/>
  <c r="P22"/>
  <c r="Q22" s="1"/>
  <c r="P24"/>
  <c r="P25"/>
  <c r="P26"/>
  <c r="P27"/>
  <c r="Q27" s="1"/>
  <c r="P28"/>
  <c r="P29"/>
  <c r="P30"/>
  <c r="P31"/>
  <c r="Q31" s="1"/>
  <c r="P37"/>
  <c r="P38"/>
  <c r="P39"/>
  <c r="P41"/>
  <c r="P42"/>
  <c r="P43"/>
  <c r="P44"/>
  <c r="P46"/>
  <c r="P47"/>
  <c r="P48"/>
  <c r="P49"/>
  <c r="P50"/>
  <c r="P53"/>
  <c r="P54"/>
  <c r="P55"/>
  <c r="P57"/>
  <c r="P58"/>
  <c r="P59"/>
  <c r="P60"/>
  <c r="N15"/>
  <c r="N16"/>
  <c r="N17"/>
  <c r="N18"/>
  <c r="N19"/>
  <c r="N20"/>
  <c r="N21"/>
  <c r="N22"/>
  <c r="N24"/>
  <c r="N25"/>
  <c r="N26"/>
  <c r="N27"/>
  <c r="N28"/>
  <c r="N29"/>
  <c r="N30"/>
  <c r="N31"/>
  <c r="N37"/>
  <c r="N38"/>
  <c r="N39"/>
  <c r="N41"/>
  <c r="N42"/>
  <c r="N43"/>
  <c r="N44"/>
  <c r="N46"/>
  <c r="N47"/>
  <c r="N48"/>
  <c r="N49"/>
  <c r="N50"/>
  <c r="N53"/>
  <c r="N54"/>
  <c r="N55"/>
  <c r="N57"/>
  <c r="N58"/>
  <c r="N59"/>
  <c r="N60"/>
  <c r="L15"/>
  <c r="L16"/>
  <c r="L17"/>
  <c r="L18"/>
  <c r="L19"/>
  <c r="L20"/>
  <c r="L21"/>
  <c r="L22"/>
  <c r="L24"/>
  <c r="L25"/>
  <c r="L26"/>
  <c r="L27"/>
  <c r="L28"/>
  <c r="L29"/>
  <c r="L30"/>
  <c r="L31"/>
  <c r="L37"/>
  <c r="L38"/>
  <c r="L39"/>
  <c r="L41"/>
  <c r="L42"/>
  <c r="L43"/>
  <c r="L44"/>
  <c r="L46"/>
  <c r="L47"/>
  <c r="L48"/>
  <c r="L49"/>
  <c r="L50"/>
  <c r="L53"/>
  <c r="L54"/>
  <c r="L55"/>
  <c r="L57"/>
  <c r="L58"/>
  <c r="L59"/>
  <c r="L60"/>
  <c r="J15"/>
  <c r="J16"/>
  <c r="J17"/>
  <c r="J18"/>
  <c r="J19"/>
  <c r="J20"/>
  <c r="J21"/>
  <c r="J22"/>
  <c r="J24"/>
  <c r="J25"/>
  <c r="J26"/>
  <c r="J27"/>
  <c r="J28"/>
  <c r="J29"/>
  <c r="J30"/>
  <c r="J31"/>
  <c r="J37"/>
  <c r="K37" s="1"/>
  <c r="J38"/>
  <c r="J39"/>
  <c r="J41"/>
  <c r="J42"/>
  <c r="K42" s="1"/>
  <c r="J43"/>
  <c r="J44"/>
  <c r="J46"/>
  <c r="J47"/>
  <c r="K47" s="1"/>
  <c r="J48"/>
  <c r="J49"/>
  <c r="J50"/>
  <c r="J53"/>
  <c r="K53" s="1"/>
  <c r="J54"/>
  <c r="J55"/>
  <c r="J57"/>
  <c r="J58"/>
  <c r="K58" s="1"/>
  <c r="J59"/>
  <c r="J60"/>
  <c r="H15"/>
  <c r="H16"/>
  <c r="H17"/>
  <c r="H18"/>
  <c r="H19"/>
  <c r="H20"/>
  <c r="H21"/>
  <c r="H22"/>
  <c r="H24"/>
  <c r="H25"/>
  <c r="H26"/>
  <c r="H27"/>
  <c r="H28"/>
  <c r="H29"/>
  <c r="H30"/>
  <c r="H31"/>
  <c r="H37"/>
  <c r="H38"/>
  <c r="H39"/>
  <c r="H41"/>
  <c r="H42"/>
  <c r="H43"/>
  <c r="H44"/>
  <c r="H46"/>
  <c r="H47"/>
  <c r="H48"/>
  <c r="H49"/>
  <c r="H50"/>
  <c r="H53"/>
  <c r="H54"/>
  <c r="H55"/>
  <c r="H57"/>
  <c r="H58"/>
  <c r="H59"/>
  <c r="H60"/>
  <c r="F15"/>
  <c r="F16"/>
  <c r="F17"/>
  <c r="F18"/>
  <c r="F19"/>
  <c r="F20"/>
  <c r="F21"/>
  <c r="F22"/>
  <c r="F24"/>
  <c r="F25"/>
  <c r="F26"/>
  <c r="F27"/>
  <c r="F28"/>
  <c r="F29"/>
  <c r="F30"/>
  <c r="F31"/>
  <c r="F37"/>
  <c r="F38"/>
  <c r="F39"/>
  <c r="F41"/>
  <c r="F42"/>
  <c r="F43"/>
  <c r="F44"/>
  <c r="F46"/>
  <c r="F47"/>
  <c r="F48"/>
  <c r="F49"/>
  <c r="F50"/>
  <c r="F53"/>
  <c r="F54"/>
  <c r="F55"/>
  <c r="F57"/>
  <c r="F58"/>
  <c r="F59"/>
  <c r="F60"/>
  <c r="D15"/>
  <c r="D16"/>
  <c r="D17"/>
  <c r="D18"/>
  <c r="D19"/>
  <c r="D20"/>
  <c r="D21"/>
  <c r="D22"/>
  <c r="D24"/>
  <c r="D25"/>
  <c r="D26"/>
  <c r="D27"/>
  <c r="D28"/>
  <c r="D29"/>
  <c r="D30"/>
  <c r="D31"/>
  <c r="D37"/>
  <c r="D38"/>
  <c r="D39"/>
  <c r="D41"/>
  <c r="D42"/>
  <c r="D43"/>
  <c r="D44"/>
  <c r="D46"/>
  <c r="D47"/>
  <c r="D48"/>
  <c r="D49"/>
  <c r="D50"/>
  <c r="D53"/>
  <c r="D54"/>
  <c r="D55"/>
  <c r="D57"/>
  <c r="D58"/>
  <c r="D59"/>
  <c r="D60"/>
  <c r="C75"/>
  <c r="V74"/>
  <c r="T74"/>
  <c r="R74"/>
  <c r="P74"/>
  <c r="N74"/>
  <c r="L74"/>
  <c r="J74"/>
  <c r="H74"/>
  <c r="D74"/>
  <c r="C74"/>
  <c r="V73"/>
  <c r="T73"/>
  <c r="R73"/>
  <c r="P73"/>
  <c r="N73"/>
  <c r="L73"/>
  <c r="J73"/>
  <c r="H73"/>
  <c r="F73"/>
  <c r="D73"/>
  <c r="V72"/>
  <c r="T72"/>
  <c r="R72"/>
  <c r="P72"/>
  <c r="N72"/>
  <c r="L72"/>
  <c r="J72"/>
  <c r="H72"/>
  <c r="F72"/>
  <c r="D72"/>
  <c r="C72"/>
  <c r="V71"/>
  <c r="T71"/>
  <c r="R71"/>
  <c r="P71"/>
  <c r="N71"/>
  <c r="L71"/>
  <c r="J71"/>
  <c r="H71"/>
  <c r="F71"/>
  <c r="D71"/>
  <c r="C71"/>
  <c r="V70"/>
  <c r="T70"/>
  <c r="R70"/>
  <c r="P70"/>
  <c r="N70"/>
  <c r="L70"/>
  <c r="J70"/>
  <c r="H70"/>
  <c r="F70"/>
  <c r="D70"/>
  <c r="C70"/>
  <c r="P32"/>
  <c r="N32"/>
  <c r="L32"/>
  <c r="J32"/>
  <c r="H32"/>
  <c r="F32"/>
  <c r="D32"/>
  <c r="C69"/>
  <c r="V65"/>
  <c r="V66"/>
  <c r="T65"/>
  <c r="T66"/>
  <c r="T67"/>
  <c r="R65"/>
  <c r="R66"/>
  <c r="R67"/>
  <c r="P65"/>
  <c r="P66"/>
  <c r="P67"/>
  <c r="N65"/>
  <c r="N66"/>
  <c r="N67"/>
  <c r="L61"/>
  <c r="L65"/>
  <c r="L66"/>
  <c r="L67"/>
  <c r="J61"/>
  <c r="J65"/>
  <c r="J66"/>
  <c r="J67"/>
  <c r="H61"/>
  <c r="H65"/>
  <c r="H66"/>
  <c r="H67"/>
  <c r="F65"/>
  <c r="F66"/>
  <c r="F67"/>
  <c r="D65"/>
  <c r="D66"/>
  <c r="D67"/>
  <c r="C68"/>
  <c r="C67"/>
  <c r="C66"/>
  <c r="C65"/>
  <c r="C64"/>
  <c r="N63"/>
  <c r="L63"/>
  <c r="J63"/>
  <c r="H63"/>
  <c r="C63"/>
  <c r="C61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1"/>
  <c r="Q9"/>
  <c r="O9"/>
  <c r="M9"/>
  <c r="K9"/>
  <c r="I9"/>
  <c r="G9"/>
  <c r="E9"/>
  <c r="C9"/>
  <c r="Z9" i="31"/>
  <c r="X9"/>
  <c r="Y61" s="1"/>
  <c r="X59"/>
  <c r="Z59"/>
  <c r="T9"/>
  <c r="U46" s="1"/>
  <c r="X15"/>
  <c r="X14" s="1"/>
  <c r="W74"/>
  <c r="Z15"/>
  <c r="Z14" s="1"/>
  <c r="Z45"/>
  <c r="Z80"/>
  <c r="X45"/>
  <c r="X80"/>
  <c r="C91"/>
  <c r="R9"/>
  <c r="S49" s="1"/>
  <c r="P90"/>
  <c r="P9"/>
  <c r="Q73" s="1"/>
  <c r="N90"/>
  <c r="N9"/>
  <c r="O48" s="1"/>
  <c r="L9"/>
  <c r="M89" s="1"/>
  <c r="J9"/>
  <c r="K67" s="1"/>
  <c r="H9"/>
  <c r="I89" s="1"/>
  <c r="H15"/>
  <c r="H19"/>
  <c r="H25"/>
  <c r="H35"/>
  <c r="H46"/>
  <c r="H59"/>
  <c r="H65"/>
  <c r="F9"/>
  <c r="G22" s="1"/>
  <c r="D9"/>
  <c r="C90"/>
  <c r="N89"/>
  <c r="C89"/>
  <c r="C87"/>
  <c r="C86"/>
  <c r="V85"/>
  <c r="T85"/>
  <c r="R85"/>
  <c r="P85"/>
  <c r="N85"/>
  <c r="L85"/>
  <c r="J85"/>
  <c r="H85"/>
  <c r="F85"/>
  <c r="D85"/>
  <c r="C85"/>
  <c r="V15"/>
  <c r="V45"/>
  <c r="V65"/>
  <c r="V80"/>
  <c r="T14"/>
  <c r="T45"/>
  <c r="T80"/>
  <c r="R15"/>
  <c r="R46"/>
  <c r="R45" s="1"/>
  <c r="R65"/>
  <c r="R80"/>
  <c r="S80" s="1"/>
  <c r="P15"/>
  <c r="P19"/>
  <c r="P25"/>
  <c r="P35"/>
  <c r="P46"/>
  <c r="P59"/>
  <c r="P65"/>
  <c r="P80"/>
  <c r="N15"/>
  <c r="N19"/>
  <c r="N25"/>
  <c r="N35"/>
  <c r="N46"/>
  <c r="N59"/>
  <c r="N65"/>
  <c r="N80"/>
  <c r="O80" s="1"/>
  <c r="L15"/>
  <c r="M15" s="1"/>
  <c r="L19"/>
  <c r="L25"/>
  <c r="L35"/>
  <c r="L45"/>
  <c r="M45" s="1"/>
  <c r="L59"/>
  <c r="L65"/>
  <c r="L80"/>
  <c r="J15"/>
  <c r="J19"/>
  <c r="J25"/>
  <c r="J35"/>
  <c r="J45"/>
  <c r="J59"/>
  <c r="J65"/>
  <c r="J80"/>
  <c r="H80"/>
  <c r="F15"/>
  <c r="F19"/>
  <c r="F25"/>
  <c r="F35"/>
  <c r="F46"/>
  <c r="F59"/>
  <c r="F65"/>
  <c r="F80"/>
  <c r="D15"/>
  <c r="D19"/>
  <c r="D25"/>
  <c r="D35"/>
  <c r="D46"/>
  <c r="D59"/>
  <c r="D65"/>
  <c r="D80"/>
  <c r="C84"/>
  <c r="C83"/>
  <c r="C82"/>
  <c r="C81"/>
  <c r="C80"/>
  <c r="C79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2"/>
  <c r="C9"/>
  <c r="E28" i="28"/>
  <c r="E40"/>
  <c r="F28"/>
  <c r="F40"/>
  <c r="D40"/>
  <c r="D28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AA51" i="10"/>
  <c r="AA52"/>
  <c r="AA53"/>
  <c r="AA54"/>
  <c r="AA55"/>
  <c r="AA56"/>
  <c r="AA57"/>
  <c r="AA58"/>
  <c r="AA59"/>
  <c r="AA60"/>
  <c r="AA61"/>
  <c r="AA62"/>
  <c r="AA63"/>
  <c r="AA64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8"/>
  <c r="AA89"/>
  <c r="AA90"/>
  <c r="AA93"/>
  <c r="AA94"/>
  <c r="AA95"/>
  <c r="D23" i="29"/>
  <c r="D24"/>
  <c r="D25"/>
  <c r="D26"/>
  <c r="D28"/>
  <c r="D29"/>
  <c r="D31"/>
  <c r="D33"/>
  <c r="D34"/>
  <c r="D35"/>
  <c r="D36"/>
  <c r="D37"/>
  <c r="D38"/>
  <c r="D40"/>
  <c r="D41"/>
  <c r="D42"/>
  <c r="D45"/>
  <c r="D15"/>
  <c r="D17"/>
  <c r="D18"/>
  <c r="D19"/>
  <c r="D20"/>
  <c r="D21"/>
  <c r="F34"/>
  <c r="E34"/>
  <c r="C43"/>
  <c r="C42"/>
  <c r="C41"/>
  <c r="C40"/>
  <c r="C39"/>
  <c r="C38"/>
  <c r="C37"/>
  <c r="C36"/>
  <c r="C35"/>
  <c r="G34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F13"/>
  <c r="G13" s="1"/>
  <c r="H13" s="1"/>
  <c r="I13" s="1"/>
  <c r="C13"/>
  <c r="X41" i="10"/>
  <c r="Y41" s="1"/>
  <c r="X34"/>
  <c r="X29"/>
  <c r="X28" i="32" s="1"/>
  <c r="X24" i="10"/>
  <c r="Y24" s="1"/>
  <c r="X16"/>
  <c r="Y16" s="1"/>
  <c r="Y17"/>
  <c r="Y18"/>
  <c r="Y19"/>
  <c r="Y20"/>
  <c r="Y21"/>
  <c r="Y22"/>
  <c r="Y23"/>
  <c r="Y25"/>
  <c r="Y26"/>
  <c r="Y27"/>
  <c r="Y28"/>
  <c r="Y30"/>
  <c r="Y31"/>
  <c r="Y32"/>
  <c r="Y33"/>
  <c r="Y35"/>
  <c r="Y36"/>
  <c r="Y37"/>
  <c r="Y38"/>
  <c r="Y39"/>
  <c r="Y40"/>
  <c r="Y42"/>
  <c r="Y43"/>
  <c r="Y44"/>
  <c r="Y45"/>
  <c r="Y46"/>
  <c r="Y47"/>
  <c r="C72"/>
  <c r="C73"/>
  <c r="C74"/>
  <c r="C75"/>
  <c r="C77"/>
  <c r="C11"/>
  <c r="C97"/>
  <c r="C96"/>
  <c r="C95"/>
  <c r="C94"/>
  <c r="C93"/>
  <c r="C92"/>
  <c r="C91"/>
  <c r="C90"/>
  <c r="C89"/>
  <c r="C88"/>
  <c r="C87"/>
  <c r="C86"/>
  <c r="C84"/>
  <c r="C83"/>
  <c r="C81"/>
  <c r="C80"/>
  <c r="C79"/>
  <c r="C78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K39" i="12"/>
  <c r="K34"/>
  <c r="K33"/>
  <c r="K32"/>
  <c r="K31"/>
  <c r="K29"/>
  <c r="K28"/>
  <c r="K27"/>
  <c r="K26"/>
  <c r="K24"/>
  <c r="K22"/>
  <c r="K21"/>
  <c r="K19"/>
  <c r="K18"/>
  <c r="I9"/>
  <c r="J8"/>
  <c r="B3"/>
  <c r="O26"/>
  <c r="O27" s="1"/>
  <c r="O29"/>
  <c r="S56" i="32" l="1"/>
  <c r="E56"/>
  <c r="G85" i="31"/>
  <c r="D45"/>
  <c r="D36" i="32"/>
  <c r="F45" i="31"/>
  <c r="G45" s="1"/>
  <c r="F36" i="32"/>
  <c r="H45" i="31"/>
  <c r="H36" i="32"/>
  <c r="N45" i="31"/>
  <c r="O45" s="1"/>
  <c r="N36" i="32"/>
  <c r="P45" i="31"/>
  <c r="P36" i="32"/>
  <c r="AA19" i="31"/>
  <c r="Y59"/>
  <c r="E18" i="32"/>
  <c r="I71"/>
  <c r="G29"/>
  <c r="G25"/>
  <c r="G20"/>
  <c r="G16"/>
  <c r="O29"/>
  <c r="O25"/>
  <c r="O20"/>
  <c r="O16"/>
  <c r="G58"/>
  <c r="G53"/>
  <c r="G47"/>
  <c r="G42"/>
  <c r="G37"/>
  <c r="O58"/>
  <c r="O53"/>
  <c r="O47"/>
  <c r="O42"/>
  <c r="O37"/>
  <c r="K63"/>
  <c r="G66"/>
  <c r="K32"/>
  <c r="O72"/>
  <c r="K73"/>
  <c r="S73"/>
  <c r="I39"/>
  <c r="K29"/>
  <c r="K25"/>
  <c r="K20"/>
  <c r="K16"/>
  <c r="K62" i="31"/>
  <c r="X43"/>
  <c r="Y43" s="1"/>
  <c r="U62"/>
  <c r="Y53"/>
  <c r="Y41"/>
  <c r="K87" i="39"/>
  <c r="J87"/>
  <c r="Y40" i="31"/>
  <c r="D47" i="39"/>
  <c r="E47"/>
  <c r="E37" i="36"/>
  <c r="H47" i="39"/>
  <c r="I47"/>
  <c r="Y20" i="31"/>
  <c r="I87" i="39"/>
  <c r="H87"/>
  <c r="V64" i="32"/>
  <c r="W64" s="1"/>
  <c r="J47" i="39"/>
  <c r="K47"/>
  <c r="J50"/>
  <c r="K50"/>
  <c r="H50"/>
  <c r="I50"/>
  <c r="G87"/>
  <c r="F87"/>
  <c r="D35"/>
  <c r="E35"/>
  <c r="C29" i="36"/>
  <c r="E39" i="39"/>
  <c r="D39"/>
  <c r="C34" i="36"/>
  <c r="D44" i="39"/>
  <c r="E44"/>
  <c r="C30" i="36"/>
  <c r="D40" i="39"/>
  <c r="E40"/>
  <c r="C35" i="36"/>
  <c r="E45" i="39"/>
  <c r="D45"/>
  <c r="E22"/>
  <c r="D22"/>
  <c r="D32"/>
  <c r="E32"/>
  <c r="E37"/>
  <c r="D37"/>
  <c r="E42"/>
  <c r="D42"/>
  <c r="E46"/>
  <c r="D46"/>
  <c r="C28" i="36"/>
  <c r="E38" i="39"/>
  <c r="D38"/>
  <c r="D43"/>
  <c r="E43"/>
  <c r="G50"/>
  <c r="F50"/>
  <c r="F47"/>
  <c r="G47"/>
  <c r="AA87" i="10"/>
  <c r="E87" i="39"/>
  <c r="D87"/>
  <c r="K65"/>
  <c r="J65"/>
  <c r="G65"/>
  <c r="F65"/>
  <c r="AA65" i="10"/>
  <c r="D65" i="39"/>
  <c r="E65"/>
  <c r="I65"/>
  <c r="H65"/>
  <c r="AA50" i="10"/>
  <c r="D50" i="39"/>
  <c r="E50"/>
  <c r="L11" i="28"/>
  <c r="E28" i="39"/>
  <c r="D28"/>
  <c r="C16" i="36"/>
  <c r="D26" i="39"/>
  <c r="E26"/>
  <c r="C17" i="36"/>
  <c r="E27" i="39"/>
  <c r="D27"/>
  <c r="D19"/>
  <c r="E19"/>
  <c r="E33"/>
  <c r="D33"/>
  <c r="E30"/>
  <c r="D30"/>
  <c r="D31"/>
  <c r="E31"/>
  <c r="U74" i="31"/>
  <c r="U40"/>
  <c r="U14"/>
  <c r="I68"/>
  <c r="Y28"/>
  <c r="Y81"/>
  <c r="AA59" i="32"/>
  <c r="AA50"/>
  <c r="AA56"/>
  <c r="AA57"/>
  <c r="AA47"/>
  <c r="AA49"/>
  <c r="AA58"/>
  <c r="AA37"/>
  <c r="AA42"/>
  <c r="AA54"/>
  <c r="AA36"/>
  <c r="AA43"/>
  <c r="AA40"/>
  <c r="AA55"/>
  <c r="AA39"/>
  <c r="AA53"/>
  <c r="AA44"/>
  <c r="AA41"/>
  <c r="AA35"/>
  <c r="AA38"/>
  <c r="AA52"/>
  <c r="AA48"/>
  <c r="AA51"/>
  <c r="AA46"/>
  <c r="AA45"/>
  <c r="AA33"/>
  <c r="Z34"/>
  <c r="AA34" s="1"/>
  <c r="Y55" i="31"/>
  <c r="Y67"/>
  <c r="Y65"/>
  <c r="Y76"/>
  <c r="Y38"/>
  <c r="Y57"/>
  <c r="Y36"/>
  <c r="Y30"/>
  <c r="W83"/>
  <c r="S58"/>
  <c r="G59"/>
  <c r="W67"/>
  <c r="O81"/>
  <c r="S88"/>
  <c r="G26"/>
  <c r="U17" i="32"/>
  <c r="Y87" i="31"/>
  <c r="Y37"/>
  <c r="Y83"/>
  <c r="Y66"/>
  <c r="Y17"/>
  <c r="Y75"/>
  <c r="O70"/>
  <c r="S29"/>
  <c r="W73"/>
  <c r="Y48"/>
  <c r="I54" i="32"/>
  <c r="Y54" i="31"/>
  <c r="Y56"/>
  <c r="Y26"/>
  <c r="Y27"/>
  <c r="Y50"/>
  <c r="Y88"/>
  <c r="Y90"/>
  <c r="S72"/>
  <c r="Y80"/>
  <c r="K45"/>
  <c r="Q59"/>
  <c r="K66" i="32"/>
  <c r="O69" i="31"/>
  <c r="S24"/>
  <c r="O54"/>
  <c r="W54"/>
  <c r="S21"/>
  <c r="W35"/>
  <c r="O29"/>
  <c r="Q65" i="32"/>
  <c r="S41" i="31"/>
  <c r="S76"/>
  <c r="S57"/>
  <c r="O32"/>
  <c r="O59"/>
  <c r="S23"/>
  <c r="W63"/>
  <c r="S89"/>
  <c r="O30"/>
  <c r="S62"/>
  <c r="S31"/>
  <c r="O16"/>
  <c r="O88"/>
  <c r="S28"/>
  <c r="O35"/>
  <c r="O27"/>
  <c r="S35"/>
  <c r="S71"/>
  <c r="O23"/>
  <c r="O28"/>
  <c r="I38" i="32"/>
  <c r="G76" i="31"/>
  <c r="G19"/>
  <c r="G42"/>
  <c r="I20"/>
  <c r="I33"/>
  <c r="G70"/>
  <c r="U16"/>
  <c r="Q75"/>
  <c r="K55"/>
  <c r="Q58"/>
  <c r="H64" i="32"/>
  <c r="H68" s="1"/>
  <c r="I68" s="1"/>
  <c r="L64"/>
  <c r="M64" s="1"/>
  <c r="I58"/>
  <c r="I53"/>
  <c r="U53"/>
  <c r="U42"/>
  <c r="W57"/>
  <c r="W31"/>
  <c r="W27"/>
  <c r="I24" i="31"/>
  <c r="G49"/>
  <c r="I47"/>
  <c r="G55"/>
  <c r="Q57"/>
  <c r="Q29" i="32"/>
  <c r="Z17"/>
  <c r="AA17" s="1"/>
  <c r="C9" i="36"/>
  <c r="AA28" i="10"/>
  <c r="C18" i="36"/>
  <c r="C23"/>
  <c r="AA43" i="10"/>
  <c r="C33" i="36"/>
  <c r="F37"/>
  <c r="AA47" i="10"/>
  <c r="C37" i="36"/>
  <c r="AA30" i="10"/>
  <c r="C20" i="36"/>
  <c r="C25"/>
  <c r="D37"/>
  <c r="AA31" i="10"/>
  <c r="C21" i="36"/>
  <c r="Z20" i="32"/>
  <c r="AA20" s="1"/>
  <c r="C12" i="36"/>
  <c r="AA32" i="10"/>
  <c r="C22" i="36"/>
  <c r="C27"/>
  <c r="C32"/>
  <c r="AA46" i="10"/>
  <c r="C36" i="36"/>
  <c r="E26" i="31"/>
  <c r="E85"/>
  <c r="M63"/>
  <c r="M37"/>
  <c r="G43" i="32"/>
  <c r="G59"/>
  <c r="G56"/>
  <c r="K48"/>
  <c r="S51"/>
  <c r="S47"/>
  <c r="U57"/>
  <c r="U51"/>
  <c r="U38"/>
  <c r="U31"/>
  <c r="U27"/>
  <c r="U22"/>
  <c r="U18"/>
  <c r="W56"/>
  <c r="W24"/>
  <c r="W51"/>
  <c r="M18" i="31"/>
  <c r="M76"/>
  <c r="G22" i="32"/>
  <c r="S60"/>
  <c r="O66" i="31"/>
  <c r="O67"/>
  <c r="O56"/>
  <c r="O24"/>
  <c r="O39"/>
  <c r="O55"/>
  <c r="O19"/>
  <c r="O89"/>
  <c r="O40"/>
  <c r="O21"/>
  <c r="O87"/>
  <c r="O37"/>
  <c r="O20"/>
  <c r="O51"/>
  <c r="O74"/>
  <c r="O76"/>
  <c r="O42"/>
  <c r="O61"/>
  <c r="O68"/>
  <c r="O36"/>
  <c r="O18"/>
  <c r="S40"/>
  <c r="S83"/>
  <c r="S60"/>
  <c r="S61"/>
  <c r="S39"/>
  <c r="S22"/>
  <c r="S75"/>
  <c r="S67"/>
  <c r="S53"/>
  <c r="S33"/>
  <c r="S18"/>
  <c r="S63"/>
  <c r="S86"/>
  <c r="S32"/>
  <c r="W87"/>
  <c r="W72"/>
  <c r="W55"/>
  <c r="W71"/>
  <c r="W57"/>
  <c r="W59"/>
  <c r="W76"/>
  <c r="W68"/>
  <c r="W66"/>
  <c r="W69"/>
  <c r="W82"/>
  <c r="O60"/>
  <c r="O52"/>
  <c r="S26"/>
  <c r="S51"/>
  <c r="S68"/>
  <c r="S87"/>
  <c r="S37"/>
  <c r="S66"/>
  <c r="O18" i="32"/>
  <c r="O50" i="31"/>
  <c r="O17"/>
  <c r="O63"/>
  <c r="S38"/>
  <c r="S82"/>
  <c r="W61"/>
  <c r="U58" i="32"/>
  <c r="W88" i="31"/>
  <c r="M87"/>
  <c r="O38"/>
  <c r="O49"/>
  <c r="S27"/>
  <c r="S54"/>
  <c r="S70"/>
  <c r="S20"/>
  <c r="S47"/>
  <c r="S69"/>
  <c r="O22"/>
  <c r="O72"/>
  <c r="O26"/>
  <c r="O62"/>
  <c r="O33"/>
  <c r="O86"/>
  <c r="S81"/>
  <c r="W65"/>
  <c r="W70"/>
  <c r="K26" i="32"/>
  <c r="W53" i="31"/>
  <c r="W56"/>
  <c r="G32" i="32"/>
  <c r="G73"/>
  <c r="O73"/>
  <c r="W73"/>
  <c r="K74"/>
  <c r="S74"/>
  <c r="G44"/>
  <c r="G39"/>
  <c r="K55"/>
  <c r="K49"/>
  <c r="K44"/>
  <c r="K39"/>
  <c r="K18"/>
  <c r="O31"/>
  <c r="O22"/>
  <c r="W49"/>
  <c r="I17"/>
  <c r="I62" i="31"/>
  <c r="I76"/>
  <c r="G68"/>
  <c r="G38"/>
  <c r="Y41" i="32"/>
  <c r="I43"/>
  <c r="I26"/>
  <c r="G74"/>
  <c r="U72"/>
  <c r="U28"/>
  <c r="G40"/>
  <c r="G79" s="1"/>
  <c r="W67"/>
  <c r="K56"/>
  <c r="K16" i="31"/>
  <c r="K19"/>
  <c r="K89"/>
  <c r="Q21"/>
  <c r="Q24"/>
  <c r="U76"/>
  <c r="U65"/>
  <c r="U37"/>
  <c r="U31"/>
  <c r="U81"/>
  <c r="I48" i="32"/>
  <c r="G26"/>
  <c r="W17"/>
  <c r="S64" i="31"/>
  <c r="S73"/>
  <c r="S30"/>
  <c r="S90"/>
  <c r="W36"/>
  <c r="W51"/>
  <c r="W45"/>
  <c r="W26"/>
  <c r="W18"/>
  <c r="W86"/>
  <c r="W81"/>
  <c r="W58"/>
  <c r="W46"/>
  <c r="W40"/>
  <c r="W38"/>
  <c r="W21"/>
  <c r="W19"/>
  <c r="O15"/>
  <c r="Q45"/>
  <c r="Q15"/>
  <c r="W80"/>
  <c r="K85"/>
  <c r="W65" i="32"/>
  <c r="K71"/>
  <c r="U74"/>
  <c r="G54"/>
  <c r="G48"/>
  <c r="G38"/>
  <c r="G30"/>
  <c r="G17"/>
  <c r="K54"/>
  <c r="K21"/>
  <c r="O59"/>
  <c r="O54"/>
  <c r="O43"/>
  <c r="O30"/>
  <c r="O26"/>
  <c r="O25" i="31"/>
  <c r="S65"/>
  <c r="O85"/>
  <c r="M63" i="32"/>
  <c r="P64"/>
  <c r="Q64" s="1"/>
  <c r="S66"/>
  <c r="U70"/>
  <c r="F69"/>
  <c r="G69" s="1"/>
  <c r="O71"/>
  <c r="U73"/>
  <c r="E51"/>
  <c r="D35"/>
  <c r="E35" s="1"/>
  <c r="D23"/>
  <c r="E23" s="1"/>
  <c r="G57"/>
  <c r="G50"/>
  <c r="G46"/>
  <c r="G41"/>
  <c r="G28"/>
  <c r="G24"/>
  <c r="G19"/>
  <c r="G15"/>
  <c r="I57"/>
  <c r="I50"/>
  <c r="I46"/>
  <c r="H14"/>
  <c r="I14" s="1"/>
  <c r="K57"/>
  <c r="K51"/>
  <c r="K50"/>
  <c r="K46"/>
  <c r="K41"/>
  <c r="K28"/>
  <c r="K24"/>
  <c r="K19"/>
  <c r="K15"/>
  <c r="M46"/>
  <c r="M19"/>
  <c r="O57"/>
  <c r="O51"/>
  <c r="O50"/>
  <c r="O46"/>
  <c r="O41"/>
  <c r="O28"/>
  <c r="O24"/>
  <c r="O19"/>
  <c r="O15"/>
  <c r="Q36"/>
  <c r="Q19"/>
  <c r="P14"/>
  <c r="Q14" s="1"/>
  <c r="O40"/>
  <c r="O79" s="1"/>
  <c r="S41"/>
  <c r="R14"/>
  <c r="S14" s="1"/>
  <c r="U55"/>
  <c r="U50"/>
  <c r="T14"/>
  <c r="U14" s="1"/>
  <c r="W59"/>
  <c r="W46"/>
  <c r="W41"/>
  <c r="W30"/>
  <c r="W21"/>
  <c r="AA23" i="31"/>
  <c r="AA82"/>
  <c r="Z31" i="32"/>
  <c r="AA31" s="1"/>
  <c r="Y86" i="31"/>
  <c r="Y22"/>
  <c r="Y21"/>
  <c r="Y24"/>
  <c r="Y74"/>
  <c r="Y25"/>
  <c r="Y31"/>
  <c r="Y34"/>
  <c r="Y49"/>
  <c r="Y68"/>
  <c r="Y51"/>
  <c r="Y42"/>
  <c r="Y19"/>
  <c r="Y47"/>
  <c r="Y29"/>
  <c r="Y62"/>
  <c r="Y14"/>
  <c r="Y70"/>
  <c r="Y69"/>
  <c r="Y72"/>
  <c r="Y58"/>
  <c r="Y60"/>
  <c r="Y39"/>
  <c r="Y82"/>
  <c r="Y18"/>
  <c r="Y33"/>
  <c r="Y52"/>
  <c r="Y63"/>
  <c r="Y73"/>
  <c r="Y71"/>
  <c r="Y16"/>
  <c r="Y32"/>
  <c r="Y16" i="32"/>
  <c r="G15" i="31"/>
  <c r="G31"/>
  <c r="G62"/>
  <c r="I54"/>
  <c r="I90"/>
  <c r="I29"/>
  <c r="I74"/>
  <c r="I58"/>
  <c r="I16"/>
  <c r="I22"/>
  <c r="G87"/>
  <c r="G52"/>
  <c r="G40"/>
  <c r="G63"/>
  <c r="G71"/>
  <c r="G66"/>
  <c r="G74"/>
  <c r="I31"/>
  <c r="S54" i="32"/>
  <c r="S40"/>
  <c r="S29"/>
  <c r="S25"/>
  <c r="U44"/>
  <c r="U36"/>
  <c r="U25"/>
  <c r="U20"/>
  <c r="U16"/>
  <c r="W44"/>
  <c r="W36"/>
  <c r="W29"/>
  <c r="W25"/>
  <c r="W20"/>
  <c r="W16"/>
  <c r="H69"/>
  <c r="I69" s="1"/>
  <c r="G86" i="31"/>
  <c r="G82"/>
  <c r="G54"/>
  <c r="V69" i="32"/>
  <c r="W69" s="1"/>
  <c r="G69" i="31"/>
  <c r="I45"/>
  <c r="I46"/>
  <c r="I63"/>
  <c r="I21"/>
  <c r="I81"/>
  <c r="I50"/>
  <c r="I67"/>
  <c r="G18"/>
  <c r="G39"/>
  <c r="G37"/>
  <c r="G23"/>
  <c r="G21"/>
  <c r="G16"/>
  <c r="I30"/>
  <c r="G88"/>
  <c r="G51"/>
  <c r="G80"/>
  <c r="G35"/>
  <c r="I80"/>
  <c r="S85"/>
  <c r="Y45"/>
  <c r="S58" i="32"/>
  <c r="S53"/>
  <c r="S43"/>
  <c r="S32"/>
  <c r="S28"/>
  <c r="U48"/>
  <c r="U43"/>
  <c r="U32"/>
  <c r="U24"/>
  <c r="U15"/>
  <c r="W53"/>
  <c r="W48"/>
  <c r="W39"/>
  <c r="W32"/>
  <c r="W19"/>
  <c r="X52"/>
  <c r="Y52" s="1"/>
  <c r="D45"/>
  <c r="E45" s="1"/>
  <c r="Y15" i="31"/>
  <c r="H45" i="32"/>
  <c r="I45" s="1"/>
  <c r="G29" i="31"/>
  <c r="G34"/>
  <c r="I85"/>
  <c r="I28"/>
  <c r="I55"/>
  <c r="I18"/>
  <c r="I69"/>
  <c r="I40"/>
  <c r="I41"/>
  <c r="G57"/>
  <c r="G56"/>
  <c r="G48"/>
  <c r="G17"/>
  <c r="G89"/>
  <c r="G81"/>
  <c r="I52"/>
  <c r="G64"/>
  <c r="Y53" i="32"/>
  <c r="X30"/>
  <c r="Y30" s="1"/>
  <c r="N45"/>
  <c r="O45" s="1"/>
  <c r="M81" i="31"/>
  <c r="E59"/>
  <c r="AA35"/>
  <c r="E42"/>
  <c r="E65"/>
  <c r="E25"/>
  <c r="M85"/>
  <c r="M61" i="32"/>
  <c r="Q72"/>
  <c r="V45"/>
  <c r="W45" s="1"/>
  <c r="M65" i="31"/>
  <c r="M17"/>
  <c r="M36"/>
  <c r="M16"/>
  <c r="W20"/>
  <c r="W27"/>
  <c r="E29"/>
  <c r="O31"/>
  <c r="W37"/>
  <c r="W39"/>
  <c r="O47"/>
  <c r="W50"/>
  <c r="W52"/>
  <c r="O64"/>
  <c r="O65"/>
  <c r="J64" i="32"/>
  <c r="J68" s="1"/>
  <c r="K68" s="1"/>
  <c r="I73"/>
  <c r="E59"/>
  <c r="E54"/>
  <c r="E48"/>
  <c r="E43"/>
  <c r="E38"/>
  <c r="E30"/>
  <c r="E26"/>
  <c r="E21"/>
  <c r="G51"/>
  <c r="I59"/>
  <c r="I21"/>
  <c r="J23"/>
  <c r="K23" s="1"/>
  <c r="M59"/>
  <c r="M54"/>
  <c r="M30"/>
  <c r="Y49"/>
  <c r="M32" i="31"/>
  <c r="M86"/>
  <c r="M48"/>
  <c r="M34"/>
  <c r="AA29"/>
  <c r="I15" i="32"/>
  <c r="O46" i="31"/>
  <c r="M80"/>
  <c r="M55"/>
  <c r="M60"/>
  <c r="M52"/>
  <c r="AA81"/>
  <c r="AA70"/>
  <c r="Z48" i="10"/>
  <c r="M23" i="31"/>
  <c r="M21"/>
  <c r="M20"/>
  <c r="M69"/>
  <c r="M62"/>
  <c r="E71"/>
  <c r="AA22"/>
  <c r="S19"/>
  <c r="W34"/>
  <c r="O41"/>
  <c r="S46"/>
  <c r="S55"/>
  <c r="I65"/>
  <c r="I25"/>
  <c r="U30" i="32"/>
  <c r="Q72" i="31"/>
  <c r="Q87"/>
  <c r="Q33"/>
  <c r="Q51"/>
  <c r="Q67"/>
  <c r="Q16"/>
  <c r="Q32"/>
  <c r="Q50"/>
  <c r="Q66"/>
  <c r="Q74"/>
  <c r="Q48"/>
  <c r="Q82"/>
  <c r="Q31"/>
  <c r="Q52"/>
  <c r="Q27"/>
  <c r="Q83"/>
  <c r="Q26"/>
  <c r="Q22"/>
  <c r="Q17"/>
  <c r="Q37"/>
  <c r="Q55"/>
  <c r="Q71"/>
  <c r="Q20"/>
  <c r="Q36"/>
  <c r="Q54"/>
  <c r="Q70"/>
  <c r="Q81"/>
  <c r="Q64"/>
  <c r="Q38"/>
  <c r="Q86"/>
  <c r="Q39"/>
  <c r="Q42"/>
  <c r="Q53"/>
  <c r="U28"/>
  <c r="U59"/>
  <c r="U21"/>
  <c r="U73"/>
  <c r="Q19"/>
  <c r="Q23"/>
  <c r="Q56"/>
  <c r="K26"/>
  <c r="K86"/>
  <c r="K35"/>
  <c r="K66"/>
  <c r="K80"/>
  <c r="K64"/>
  <c r="Q65"/>
  <c r="Q76"/>
  <c r="Q40"/>
  <c r="Q41"/>
  <c r="U49"/>
  <c r="U51"/>
  <c r="K54"/>
  <c r="U58"/>
  <c r="Q68"/>
  <c r="U70"/>
  <c r="I56" i="32"/>
  <c r="I20"/>
  <c r="V52"/>
  <c r="W52" s="1"/>
  <c r="W54"/>
  <c r="Z64"/>
  <c r="AA64" s="1"/>
  <c r="U30" i="31"/>
  <c r="U60"/>
  <c r="U23"/>
  <c r="U82"/>
  <c r="Q34"/>
  <c r="Q60"/>
  <c r="K21"/>
  <c r="K60"/>
  <c r="K17"/>
  <c r="K50"/>
  <c r="K90"/>
  <c r="K33"/>
  <c r="Q88"/>
  <c r="Q62"/>
  <c r="Q28"/>
  <c r="Q63"/>
  <c r="Q29"/>
  <c r="Q18"/>
  <c r="U29"/>
  <c r="U33"/>
  <c r="U35"/>
  <c r="U41"/>
  <c r="U47"/>
  <c r="U53"/>
  <c r="U54"/>
  <c r="U68"/>
  <c r="K59"/>
  <c r="V14"/>
  <c r="W14" s="1"/>
  <c r="W15"/>
  <c r="Q85"/>
  <c r="Q89"/>
  <c r="G27"/>
  <c r="G25"/>
  <c r="G36"/>
  <c r="G61"/>
  <c r="G47"/>
  <c r="G60"/>
  <c r="G72"/>
  <c r="G20"/>
  <c r="G28"/>
  <c r="G41"/>
  <c r="G32"/>
  <c r="G58"/>
  <c r="G33"/>
  <c r="G53"/>
  <c r="G30"/>
  <c r="G24"/>
  <c r="G90"/>
  <c r="G75"/>
  <c r="G65"/>
  <c r="G67"/>
  <c r="G50"/>
  <c r="I57"/>
  <c r="I15"/>
  <c r="I61"/>
  <c r="X29" i="32"/>
  <c r="Y29" s="1"/>
  <c r="Y34" i="10"/>
  <c r="R14" i="31"/>
  <c r="S14" s="1"/>
  <c r="S15"/>
  <c r="K52"/>
  <c r="K34"/>
  <c r="K75"/>
  <c r="K71"/>
  <c r="K49"/>
  <c r="K18"/>
  <c r="K46"/>
  <c r="K57"/>
  <c r="K39"/>
  <c r="K36"/>
  <c r="K51"/>
  <c r="K24"/>
  <c r="K82"/>
  <c r="K37"/>
  <c r="K32"/>
  <c r="K61"/>
  <c r="K53"/>
  <c r="K40"/>
  <c r="K68"/>
  <c r="K63"/>
  <c r="U88"/>
  <c r="U71"/>
  <c r="U69"/>
  <c r="U66"/>
  <c r="U57"/>
  <c r="U26"/>
  <c r="U22"/>
  <c r="U85"/>
  <c r="U52"/>
  <c r="U34"/>
  <c r="U87"/>
  <c r="U64"/>
  <c r="U56"/>
  <c r="U38"/>
  <c r="U25"/>
  <c r="U15"/>
  <c r="U75"/>
  <c r="U67"/>
  <c r="U61"/>
  <c r="U39"/>
  <c r="U27"/>
  <c r="U24"/>
  <c r="U18"/>
  <c r="U90"/>
  <c r="U50"/>
  <c r="U32"/>
  <c r="U83"/>
  <c r="U63"/>
  <c r="U55"/>
  <c r="U36"/>
  <c r="U19"/>
  <c r="U17"/>
  <c r="U48"/>
  <c r="U80"/>
  <c r="U42"/>
  <c r="Q61"/>
  <c r="Q49"/>
  <c r="Q30"/>
  <c r="U89"/>
  <c r="X15" i="10"/>
  <c r="Y15" s="1"/>
  <c r="K69" i="31"/>
  <c r="K25"/>
  <c r="K20"/>
  <c r="K42"/>
  <c r="K27"/>
  <c r="K29"/>
  <c r="Q69"/>
  <c r="Q46"/>
  <c r="Q47"/>
  <c r="U20"/>
  <c r="U72"/>
  <c r="Q80"/>
  <c r="Q35"/>
  <c r="Q90"/>
  <c r="Q25"/>
  <c r="E25" i="32"/>
  <c r="E19"/>
  <c r="E46"/>
  <c r="E41"/>
  <c r="E50"/>
  <c r="E28"/>
  <c r="E67"/>
  <c r="E22"/>
  <c r="E16"/>
  <c r="E32"/>
  <c r="E20"/>
  <c r="E70"/>
  <c r="E65"/>
  <c r="I31"/>
  <c r="I66"/>
  <c r="I16"/>
  <c r="I19"/>
  <c r="I47"/>
  <c r="I25"/>
  <c r="I24"/>
  <c r="I49"/>
  <c r="I40"/>
  <c r="I79" s="1"/>
  <c r="M60"/>
  <c r="M27"/>
  <c r="M49"/>
  <c r="M15"/>
  <c r="M32"/>
  <c r="M56"/>
  <c r="M66"/>
  <c r="M57"/>
  <c r="M24"/>
  <c r="Q58"/>
  <c r="Q60"/>
  <c r="Q39"/>
  <c r="Q21"/>
  <c r="Q56"/>
  <c r="Q55"/>
  <c r="Q66"/>
  <c r="Q47"/>
  <c r="Q30"/>
  <c r="Q71"/>
  <c r="Q16"/>
  <c r="T45"/>
  <c r="U45" s="1"/>
  <c r="U49"/>
  <c r="M48"/>
  <c r="M43"/>
  <c r="M38"/>
  <c r="M26"/>
  <c r="L23"/>
  <c r="M23" s="1"/>
  <c r="M21"/>
  <c r="M17"/>
  <c r="Q59"/>
  <c r="P52"/>
  <c r="Q52" s="1"/>
  <c r="Q54"/>
  <c r="Q48"/>
  <c r="Q43"/>
  <c r="E30" i="31"/>
  <c r="E69"/>
  <c r="E60"/>
  <c r="E49"/>
  <c r="E33"/>
  <c r="E23"/>
  <c r="E17"/>
  <c r="E86"/>
  <c r="E87"/>
  <c r="E50"/>
  <c r="E34"/>
  <c r="E74"/>
  <c r="M71"/>
  <c r="M58"/>
  <c r="M51"/>
  <c r="M33"/>
  <c r="M82"/>
  <c r="M66"/>
  <c r="M57"/>
  <c r="M47"/>
  <c r="M31"/>
  <c r="M90"/>
  <c r="M68"/>
  <c r="M50"/>
  <c r="M46"/>
  <c r="M25"/>
  <c r="M22"/>
  <c r="M88"/>
  <c r="M70"/>
  <c r="M54"/>
  <c r="M42"/>
  <c r="M27"/>
  <c r="M59"/>
  <c r="M64"/>
  <c r="M56"/>
  <c r="M39"/>
  <c r="M30"/>
  <c r="M72"/>
  <c r="M40"/>
  <c r="M28"/>
  <c r="M26"/>
  <c r="M67"/>
  <c r="M53"/>
  <c r="M41"/>
  <c r="M24"/>
  <c r="M74"/>
  <c r="M61"/>
  <c r="M49"/>
  <c r="M38"/>
  <c r="M29"/>
  <c r="M65" i="32"/>
  <c r="N64"/>
  <c r="O64" s="1"/>
  <c r="O65"/>
  <c r="J69"/>
  <c r="K69" s="1"/>
  <c r="E71"/>
  <c r="M71"/>
  <c r="E74"/>
  <c r="M19" i="31"/>
  <c r="M75"/>
  <c r="E66" i="32"/>
  <c r="F64"/>
  <c r="G64" s="1"/>
  <c r="G65"/>
  <c r="I61"/>
  <c r="M67"/>
  <c r="Q67"/>
  <c r="M70"/>
  <c r="I72"/>
  <c r="E73"/>
  <c r="M73"/>
  <c r="I74"/>
  <c r="E58"/>
  <c r="E47"/>
  <c r="E42"/>
  <c r="E37"/>
  <c r="E29"/>
  <c r="M58"/>
  <c r="M53"/>
  <c r="M47"/>
  <c r="M42"/>
  <c r="M37"/>
  <c r="M29"/>
  <c r="M25"/>
  <c r="M20"/>
  <c r="M16"/>
  <c r="Q53"/>
  <c r="Q42"/>
  <c r="Q37"/>
  <c r="Q17"/>
  <c r="M40"/>
  <c r="M79" s="1"/>
  <c r="R23"/>
  <c r="S19"/>
  <c r="T23"/>
  <c r="U23" s="1"/>
  <c r="W28"/>
  <c r="O90" i="31"/>
  <c r="E60" i="32"/>
  <c r="E57"/>
  <c r="E24"/>
  <c r="E15"/>
  <c r="I41"/>
  <c r="I28"/>
  <c r="M50"/>
  <c r="M41"/>
  <c r="M28"/>
  <c r="Q57"/>
  <c r="Q46"/>
  <c r="Q20"/>
  <c r="E72"/>
  <c r="M72"/>
  <c r="Q73"/>
  <c r="M74"/>
  <c r="E55"/>
  <c r="E49"/>
  <c r="E44"/>
  <c r="E39"/>
  <c r="E31"/>
  <c r="E27"/>
  <c r="I60"/>
  <c r="I55"/>
  <c r="I44"/>
  <c r="I27"/>
  <c r="I18"/>
  <c r="M55"/>
  <c r="M44"/>
  <c r="M39"/>
  <c r="M31"/>
  <c r="M22"/>
  <c r="M18"/>
  <c r="Q49"/>
  <c r="Q44"/>
  <c r="Q28"/>
  <c r="Q24"/>
  <c r="D52"/>
  <c r="E52" s="1"/>
  <c r="E53"/>
  <c r="I36"/>
  <c r="Q51"/>
  <c r="V14"/>
  <c r="W14" s="1"/>
  <c r="I56" i="31"/>
  <c r="I64"/>
  <c r="I38"/>
  <c r="I60"/>
  <c r="I82"/>
  <c r="I39"/>
  <c r="I53"/>
  <c r="I72"/>
  <c r="I48"/>
  <c r="I23"/>
  <c r="I75"/>
  <c r="I88"/>
  <c r="I17"/>
  <c r="I51"/>
  <c r="I32"/>
  <c r="I66"/>
  <c r="I86"/>
  <c r="I26"/>
  <c r="I37"/>
  <c r="I71"/>
  <c r="I36"/>
  <c r="I70"/>
  <c r="I87"/>
  <c r="I27"/>
  <c r="I49"/>
  <c r="I42"/>
  <c r="I34"/>
  <c r="E82"/>
  <c r="E80"/>
  <c r="E72"/>
  <c r="E70"/>
  <c r="E68"/>
  <c r="E67"/>
  <c r="E66"/>
  <c r="E55"/>
  <c r="E54"/>
  <c r="E47"/>
  <c r="E41"/>
  <c r="E28"/>
  <c r="E27"/>
  <c r="E22"/>
  <c r="E21"/>
  <c r="E20"/>
  <c r="E16"/>
  <c r="E81"/>
  <c r="E75"/>
  <c r="E58"/>
  <c r="E57"/>
  <c r="E56"/>
  <c r="E53"/>
  <c r="E52"/>
  <c r="E51"/>
  <c r="E46"/>
  <c r="E40"/>
  <c r="E39"/>
  <c r="E38"/>
  <c r="E37"/>
  <c r="E36"/>
  <c r="E35"/>
  <c r="K47"/>
  <c r="K74"/>
  <c r="O44" i="32"/>
  <c r="O39"/>
  <c r="O17"/>
  <c r="S21"/>
  <c r="S30"/>
  <c r="S18"/>
  <c r="W42"/>
  <c r="E18" i="31"/>
  <c r="E48"/>
  <c r="E62"/>
  <c r="E19"/>
  <c r="K65"/>
  <c r="T43"/>
  <c r="T77" s="1"/>
  <c r="T78" s="1"/>
  <c r="U45"/>
  <c r="E90"/>
  <c r="I59"/>
  <c r="I19"/>
  <c r="S17" i="32"/>
  <c r="K65"/>
  <c r="O66"/>
  <c r="U67"/>
  <c r="S71"/>
  <c r="E88" i="31"/>
  <c r="K48"/>
  <c r="K88"/>
  <c r="K30"/>
  <c r="K72"/>
  <c r="K31"/>
  <c r="K76"/>
  <c r="K22"/>
  <c r="K87"/>
  <c r="K23"/>
  <c r="K28"/>
  <c r="K41"/>
  <c r="K70"/>
  <c r="K56"/>
  <c r="K15"/>
  <c r="K58"/>
  <c r="K81"/>
  <c r="K38"/>
  <c r="E24"/>
  <c r="E31"/>
  <c r="E32"/>
  <c r="E61"/>
  <c r="O82"/>
  <c r="O75"/>
  <c r="O58"/>
  <c r="O57"/>
  <c r="O53"/>
  <c r="O71"/>
  <c r="O34"/>
  <c r="S74"/>
  <c r="S59"/>
  <c r="S56"/>
  <c r="S52"/>
  <c r="S50"/>
  <c r="S36"/>
  <c r="S34"/>
  <c r="S48"/>
  <c r="S42"/>
  <c r="S25"/>
  <c r="S17"/>
  <c r="S16"/>
  <c r="W75"/>
  <c r="W60"/>
  <c r="W49"/>
  <c r="W48"/>
  <c r="W42"/>
  <c r="W31"/>
  <c r="W25"/>
  <c r="W22"/>
  <c r="W17"/>
  <c r="W16"/>
  <c r="W64"/>
  <c r="W62"/>
  <c r="W47"/>
  <c r="W41"/>
  <c r="W33"/>
  <c r="W32"/>
  <c r="W30"/>
  <c r="W29"/>
  <c r="W28"/>
  <c r="W24"/>
  <c r="W23"/>
  <c r="W90"/>
  <c r="W89"/>
  <c r="O56" i="32"/>
  <c r="K61"/>
  <c r="S67"/>
  <c r="U66"/>
  <c r="K70"/>
  <c r="S70"/>
  <c r="U71"/>
  <c r="G72"/>
  <c r="W72"/>
  <c r="E15" i="31"/>
  <c r="O63" i="32"/>
  <c r="K67"/>
  <c r="U65"/>
  <c r="G71"/>
  <c r="W71"/>
  <c r="G60"/>
  <c r="G55"/>
  <c r="G49"/>
  <c r="G31"/>
  <c r="G27"/>
  <c r="G18"/>
  <c r="K60"/>
  <c r="K31"/>
  <c r="K27"/>
  <c r="K22"/>
  <c r="O60"/>
  <c r="O55"/>
  <c r="O49"/>
  <c r="O27"/>
  <c r="G67"/>
  <c r="O67"/>
  <c r="W66"/>
  <c r="O32"/>
  <c r="G70"/>
  <c r="O70"/>
  <c r="W70"/>
  <c r="K72"/>
  <c r="S72"/>
  <c r="O74"/>
  <c r="W74"/>
  <c r="G21"/>
  <c r="K59"/>
  <c r="K43"/>
  <c r="K38"/>
  <c r="K30"/>
  <c r="K17"/>
  <c r="O48"/>
  <c r="O38"/>
  <c r="O21"/>
  <c r="AA65" i="31"/>
  <c r="AA71"/>
  <c r="AA80"/>
  <c r="AA24"/>
  <c r="AA45"/>
  <c r="AA21"/>
  <c r="AA51"/>
  <c r="AA88"/>
  <c r="AA64"/>
  <c r="AA87"/>
  <c r="AA36"/>
  <c r="AA63"/>
  <c r="AA28"/>
  <c r="AA37"/>
  <c r="AA62"/>
  <c r="AA40"/>
  <c r="AA48"/>
  <c r="AA42"/>
  <c r="AA59"/>
  <c r="AA60"/>
  <c r="AA18"/>
  <c r="AA16"/>
  <c r="AA17"/>
  <c r="AA54"/>
  <c r="AA58"/>
  <c r="AA52"/>
  <c r="AA41"/>
  <c r="AA34"/>
  <c r="AA67"/>
  <c r="AA46"/>
  <c r="AA49"/>
  <c r="AA72"/>
  <c r="AA75"/>
  <c r="AA57"/>
  <c r="AA31"/>
  <c r="AA39"/>
  <c r="AA90"/>
  <c r="AA26"/>
  <c r="AA14"/>
  <c r="AA20"/>
  <c r="AA38"/>
  <c r="AA32"/>
  <c r="AA76"/>
  <c r="AA53"/>
  <c r="AA50"/>
  <c r="AA83"/>
  <c r="AA30"/>
  <c r="AA33"/>
  <c r="AA56"/>
  <c r="AA86"/>
  <c r="AA25"/>
  <c r="AA47"/>
  <c r="AA55"/>
  <c r="AA74"/>
  <c r="AA61"/>
  <c r="AA68"/>
  <c r="AA27"/>
  <c r="AA73"/>
  <c r="AA15"/>
  <c r="AA69"/>
  <c r="AA66"/>
  <c r="AA35" i="10"/>
  <c r="D15" i="28"/>
  <c r="AA37" i="10"/>
  <c r="H15" i="28"/>
  <c r="H13" s="1"/>
  <c r="AA42" i="10"/>
  <c r="AA33"/>
  <c r="V43" i="31"/>
  <c r="W43" s="1"/>
  <c r="M51" i="32"/>
  <c r="S22"/>
  <c r="I26" i="33"/>
  <c r="N23" i="32"/>
  <c r="O23" s="1"/>
  <c r="S42"/>
  <c r="S31"/>
  <c r="S27"/>
  <c r="D14" i="31"/>
  <c r="E14" s="1"/>
  <c r="F52" i="32"/>
  <c r="G52" s="1"/>
  <c r="S59"/>
  <c r="S55"/>
  <c r="S50"/>
  <c r="S37"/>
  <c r="D64"/>
  <c r="E64" s="1"/>
  <c r="E15" i="28"/>
  <c r="F23"/>
  <c r="S48" i="32"/>
  <c r="S39"/>
  <c r="S16"/>
  <c r="E23" i="28"/>
  <c r="R43" i="31"/>
  <c r="S45"/>
  <c r="D43"/>
  <c r="D44" s="1"/>
  <c r="E44" s="1"/>
  <c r="E45"/>
  <c r="F14"/>
  <c r="G14" s="1"/>
  <c r="Y29" i="10"/>
  <c r="D39" i="29"/>
  <c r="D27"/>
  <c r="D22"/>
  <c r="J14" i="31"/>
  <c r="K14" s="1"/>
  <c r="L14"/>
  <c r="M14" s="1"/>
  <c r="N14"/>
  <c r="O14" s="1"/>
  <c r="P43"/>
  <c r="P44" s="1"/>
  <c r="Q44" s="1"/>
  <c r="P14"/>
  <c r="Q14" s="1"/>
  <c r="W85"/>
  <c r="U86"/>
  <c r="Z43"/>
  <c r="Z77" s="1"/>
  <c r="D14" i="32"/>
  <c r="H52"/>
  <c r="I52" s="1"/>
  <c r="H23"/>
  <c r="I23" s="1"/>
  <c r="L45"/>
  <c r="M45" s="1"/>
  <c r="T35"/>
  <c r="W60"/>
  <c r="W47"/>
  <c r="W40"/>
  <c r="W38"/>
  <c r="W22"/>
  <c r="W18"/>
  <c r="W15"/>
  <c r="G15" i="28"/>
  <c r="G13" s="1"/>
  <c r="F15"/>
  <c r="P69" i="32"/>
  <c r="Q69" s="1"/>
  <c r="D69"/>
  <c r="E69" s="1"/>
  <c r="P45"/>
  <c r="Q45" s="1"/>
  <c r="L79"/>
  <c r="S57"/>
  <c r="R52"/>
  <c r="S52" s="1"/>
  <c r="S49"/>
  <c r="S44"/>
  <c r="S38"/>
  <c r="S36"/>
  <c r="S26"/>
  <c r="S24"/>
  <c r="S20"/>
  <c r="S15"/>
  <c r="T52"/>
  <c r="U52" s="1"/>
  <c r="U26"/>
  <c r="U21"/>
  <c r="W58"/>
  <c r="W55"/>
  <c r="W50"/>
  <c r="W43"/>
  <c r="V35"/>
  <c r="W26"/>
  <c r="Y22"/>
  <c r="Y51"/>
  <c r="Q25"/>
  <c r="P23"/>
  <c r="Q23" s="1"/>
  <c r="Q40"/>
  <c r="Q79" s="1"/>
  <c r="Q74"/>
  <c r="Q50"/>
  <c r="Q18"/>
  <c r="Q70"/>
  <c r="Q26"/>
  <c r="Q41"/>
  <c r="Q38"/>
  <c r="Q15"/>
  <c r="Q32"/>
  <c r="Y27"/>
  <c r="Y58"/>
  <c r="Y56"/>
  <c r="Y17"/>
  <c r="AA22" i="10"/>
  <c r="L14" i="32"/>
  <c r="G46" i="31"/>
  <c r="R35" i="32"/>
  <c r="J14"/>
  <c r="J52"/>
  <c r="K52" s="1"/>
  <c r="AA60"/>
  <c r="L52"/>
  <c r="M52" s="1"/>
  <c r="L69"/>
  <c r="M69" s="1"/>
  <c r="E17"/>
  <c r="D32" i="29"/>
  <c r="H43" i="31"/>
  <c r="H44" s="1"/>
  <c r="I44" s="1"/>
  <c r="J45" i="32"/>
  <c r="K45" s="1"/>
  <c r="AA73"/>
  <c r="AA67"/>
  <c r="AA65"/>
  <c r="Z25"/>
  <c r="AA25" s="1"/>
  <c r="AA40" i="10"/>
  <c r="AA45"/>
  <c r="AA39"/>
  <c r="N43" i="31"/>
  <c r="N44" s="1"/>
  <c r="O44" s="1"/>
  <c r="I51" i="32"/>
  <c r="I42"/>
  <c r="I65"/>
  <c r="I70"/>
  <c r="I37"/>
  <c r="I22"/>
  <c r="I30"/>
  <c r="I32"/>
  <c r="I29"/>
  <c r="I67"/>
  <c r="I63"/>
  <c r="Z29" i="10"/>
  <c r="V23" i="32"/>
  <c r="W23" s="1"/>
  <c r="N14"/>
  <c r="R69"/>
  <c r="S69" s="1"/>
  <c r="AA70"/>
  <c r="AA66"/>
  <c r="W37"/>
  <c r="E40"/>
  <c r="E79" s="1"/>
  <c r="L43" i="31"/>
  <c r="L44" s="1"/>
  <c r="M44" s="1"/>
  <c r="F14" i="32"/>
  <c r="U59"/>
  <c r="U46"/>
  <c r="U37"/>
  <c r="Y55"/>
  <c r="AA72"/>
  <c r="Z41" i="10"/>
  <c r="X35" i="32"/>
  <c r="Y43"/>
  <c r="H14" i="31"/>
  <c r="I35"/>
  <c r="Y23"/>
  <c r="Y46"/>
  <c r="Y64"/>
  <c r="Y35"/>
  <c r="S65" i="32"/>
  <c r="R64"/>
  <c r="S64" s="1"/>
  <c r="J79"/>
  <c r="K40"/>
  <c r="K79" s="1"/>
  <c r="S46"/>
  <c r="R45"/>
  <c r="S45" s="1"/>
  <c r="U54"/>
  <c r="U60"/>
  <c r="U19"/>
  <c r="U39"/>
  <c r="U41"/>
  <c r="U29"/>
  <c r="U47"/>
  <c r="U56"/>
  <c r="AA19" i="10"/>
  <c r="Z27" i="32"/>
  <c r="AA27" s="1"/>
  <c r="AA38" i="10"/>
  <c r="Z26" i="32"/>
  <c r="AA26" s="1"/>
  <c r="AA27" i="10"/>
  <c r="N69" i="32"/>
  <c r="O69" s="1"/>
  <c r="T69"/>
  <c r="U69" s="1"/>
  <c r="M35" i="31"/>
  <c r="T64" i="32"/>
  <c r="U64" s="1"/>
  <c r="N52"/>
  <c r="O52" s="1"/>
  <c r="AA26" i="10"/>
  <c r="X48"/>
  <c r="U40" i="32"/>
  <c r="F23"/>
  <c r="G23" s="1"/>
  <c r="J43" i="31"/>
  <c r="J44" s="1"/>
  <c r="K44" s="1"/>
  <c r="F45" i="32"/>
  <c r="G45" s="1"/>
  <c r="E89" i="31"/>
  <c r="Y44" i="32"/>
  <c r="Y48"/>
  <c r="Y67"/>
  <c r="E63" i="31"/>
  <c r="E64"/>
  <c r="E76"/>
  <c r="X14" i="32"/>
  <c r="Y14" s="1"/>
  <c r="Y19"/>
  <c r="Y31"/>
  <c r="Y42"/>
  <c r="Y57"/>
  <c r="X64"/>
  <c r="Y64" s="1"/>
  <c r="X23"/>
  <c r="Y23" s="1"/>
  <c r="Y37"/>
  <c r="Y46"/>
  <c r="Y47"/>
  <c r="Y59"/>
  <c r="Y40"/>
  <c r="Y73"/>
  <c r="X45"/>
  <c r="Y45" s="1"/>
  <c r="Y39"/>
  <c r="Z32"/>
  <c r="AA32" s="1"/>
  <c r="Y15"/>
  <c r="Y21"/>
  <c r="Y50"/>
  <c r="AA71"/>
  <c r="Y72"/>
  <c r="Y70"/>
  <c r="Y24"/>
  <c r="Y60"/>
  <c r="Y54"/>
  <c r="Y71"/>
  <c r="Y66"/>
  <c r="Y28"/>
  <c r="Y20"/>
  <c r="Y32"/>
  <c r="AA21"/>
  <c r="Y65"/>
  <c r="Y36"/>
  <c r="Y25"/>
  <c r="AA44" i="10"/>
  <c r="Y38" i="32"/>
  <c r="Y18"/>
  <c r="Y26"/>
  <c r="F43" i="31" l="1"/>
  <c r="F44" s="1"/>
  <c r="G44" s="1"/>
  <c r="V44"/>
  <c r="W44" s="1"/>
  <c r="E36" i="32"/>
  <c r="F43" i="39"/>
  <c r="G43"/>
  <c r="G46"/>
  <c r="F46"/>
  <c r="D25" i="36"/>
  <c r="F35" i="39"/>
  <c r="G35"/>
  <c r="F39"/>
  <c r="G39"/>
  <c r="F40"/>
  <c r="G40"/>
  <c r="D22" i="36"/>
  <c r="F32" i="39"/>
  <c r="G32"/>
  <c r="G42"/>
  <c r="F42"/>
  <c r="C31" i="36"/>
  <c r="E41" i="39"/>
  <c r="D41"/>
  <c r="E21"/>
  <c r="D21"/>
  <c r="D27" i="36"/>
  <c r="F37" i="39"/>
  <c r="G37"/>
  <c r="D34" i="36"/>
  <c r="F44" i="39"/>
  <c r="G44"/>
  <c r="G38"/>
  <c r="F38"/>
  <c r="F45"/>
  <c r="G45"/>
  <c r="G22"/>
  <c r="F22"/>
  <c r="I48"/>
  <c r="H48"/>
  <c r="J48"/>
  <c r="K48"/>
  <c r="F48"/>
  <c r="G48"/>
  <c r="D48"/>
  <c r="E48"/>
  <c r="G26"/>
  <c r="F26"/>
  <c r="E18"/>
  <c r="D18"/>
  <c r="E36"/>
  <c r="D36"/>
  <c r="D17"/>
  <c r="E17"/>
  <c r="F27"/>
  <c r="G27"/>
  <c r="G28"/>
  <c r="F28"/>
  <c r="F19"/>
  <c r="G19"/>
  <c r="D23"/>
  <c r="E23"/>
  <c r="E29"/>
  <c r="D29"/>
  <c r="F31"/>
  <c r="G31"/>
  <c r="F30"/>
  <c r="G30"/>
  <c r="D20"/>
  <c r="E20"/>
  <c r="D23" i="36"/>
  <c r="G33" i="39"/>
  <c r="F33"/>
  <c r="Y35" i="32"/>
  <c r="X33"/>
  <c r="I64"/>
  <c r="Q43" i="31"/>
  <c r="P35" i="32"/>
  <c r="P33" s="1"/>
  <c r="D13"/>
  <c r="E13" s="1"/>
  <c r="L68"/>
  <c r="M68" s="1"/>
  <c r="AA48" i="10"/>
  <c r="Z49"/>
  <c r="D35" i="36"/>
  <c r="D12"/>
  <c r="AA18" i="10"/>
  <c r="C8" i="36"/>
  <c r="Z16" i="32"/>
  <c r="AA16" s="1"/>
  <c r="D28" i="36"/>
  <c r="D33"/>
  <c r="Z34" i="10"/>
  <c r="C26" i="36"/>
  <c r="AA17" i="10"/>
  <c r="C7" i="36"/>
  <c r="C13"/>
  <c r="D21"/>
  <c r="Z28" i="32"/>
  <c r="AA28" s="1"/>
  <c r="C19" i="36"/>
  <c r="D29"/>
  <c r="D30"/>
  <c r="AA21" i="10"/>
  <c r="C11" i="36"/>
  <c r="C10"/>
  <c r="D32"/>
  <c r="D20"/>
  <c r="D36"/>
  <c r="D17"/>
  <c r="D18"/>
  <c r="D16"/>
  <c r="D9"/>
  <c r="D33" i="32"/>
  <c r="Z22"/>
  <c r="AA22" s="1"/>
  <c r="AA23" i="10"/>
  <c r="I43" i="31"/>
  <c r="V77"/>
  <c r="W77" s="1"/>
  <c r="G43"/>
  <c r="K64" i="32"/>
  <c r="M43" i="31"/>
  <c r="O43"/>
  <c r="X77"/>
  <c r="D77"/>
  <c r="E77" s="1"/>
  <c r="E13" i="28"/>
  <c r="R77" i="31"/>
  <c r="S77" s="1"/>
  <c r="X44"/>
  <c r="Y44" s="1"/>
  <c r="K43"/>
  <c r="S23" i="32"/>
  <c r="R13"/>
  <c r="S13" s="1"/>
  <c r="T13"/>
  <c r="U13" s="1"/>
  <c r="N77" i="31"/>
  <c r="N79" s="1"/>
  <c r="O79" s="1"/>
  <c r="P77"/>
  <c r="P84" s="1"/>
  <c r="Q84" s="1"/>
  <c r="F13" i="28"/>
  <c r="H35" i="32"/>
  <c r="I35" s="1"/>
  <c r="D14" i="29"/>
  <c r="T44" i="31"/>
  <c r="U44" s="1"/>
  <c r="U43"/>
  <c r="U77"/>
  <c r="L77"/>
  <c r="M77" s="1"/>
  <c r="H13" i="32"/>
  <c r="I13" s="1"/>
  <c r="E43" i="31"/>
  <c r="V13" i="32"/>
  <c r="W13" s="1"/>
  <c r="AA20" i="10"/>
  <c r="Z18" i="32"/>
  <c r="AA18" s="1"/>
  <c r="Z19"/>
  <c r="AA19" s="1"/>
  <c r="AA36" i="10"/>
  <c r="Z15" i="32"/>
  <c r="AA15" s="1"/>
  <c r="Z16" i="10"/>
  <c r="AA29"/>
  <c r="X13" i="32"/>
  <c r="E14"/>
  <c r="T33"/>
  <c r="U35"/>
  <c r="W35"/>
  <c r="V33"/>
  <c r="M36"/>
  <c r="L35"/>
  <c r="Z44" i="31"/>
  <c r="AA44" s="1"/>
  <c r="AA43"/>
  <c r="R44"/>
  <c r="S44" s="1"/>
  <c r="S43"/>
  <c r="K14" i="32"/>
  <c r="J13"/>
  <c r="F77" i="31"/>
  <c r="J77"/>
  <c r="P13" i="32"/>
  <c r="F13"/>
  <c r="G14"/>
  <c r="AA41" i="10"/>
  <c r="Z30" i="32"/>
  <c r="AA30" s="1"/>
  <c r="F35"/>
  <c r="G36"/>
  <c r="O14"/>
  <c r="N13"/>
  <c r="R33"/>
  <c r="S35"/>
  <c r="J35"/>
  <c r="K36"/>
  <c r="Y48" i="10"/>
  <c r="X49"/>
  <c r="Y49" s="1"/>
  <c r="H77" i="31"/>
  <c r="I14"/>
  <c r="T84"/>
  <c r="U84" s="1"/>
  <c r="U78"/>
  <c r="T79"/>
  <c r="U79" s="1"/>
  <c r="Z78"/>
  <c r="AA77"/>
  <c r="N35" i="32"/>
  <c r="O36"/>
  <c r="M14"/>
  <c r="L13"/>
  <c r="X84" i="10"/>
  <c r="D84" i="31" l="1"/>
  <c r="E84" s="1"/>
  <c r="R78"/>
  <c r="R84" s="1"/>
  <c r="S84" s="1"/>
  <c r="X78"/>
  <c r="X79"/>
  <c r="Y79" s="1"/>
  <c r="I39" i="39"/>
  <c r="H39"/>
  <c r="I40"/>
  <c r="H40"/>
  <c r="E25" i="36"/>
  <c r="I35" i="39"/>
  <c r="H35"/>
  <c r="E33" i="36"/>
  <c r="I43" i="39"/>
  <c r="H43"/>
  <c r="E35" i="36"/>
  <c r="I45" i="39"/>
  <c r="H45"/>
  <c r="I46"/>
  <c r="H46"/>
  <c r="E22" i="36"/>
  <c r="I32" i="39"/>
  <c r="H32"/>
  <c r="I44"/>
  <c r="H44"/>
  <c r="E27" i="36"/>
  <c r="I37" i="39"/>
  <c r="H37"/>
  <c r="F41"/>
  <c r="G41"/>
  <c r="I22"/>
  <c r="H22"/>
  <c r="I38"/>
  <c r="H38"/>
  <c r="E32" i="36"/>
  <c r="I42" i="39"/>
  <c r="H42"/>
  <c r="G21"/>
  <c r="F21"/>
  <c r="K49"/>
  <c r="J49"/>
  <c r="I49"/>
  <c r="H49"/>
  <c r="G49"/>
  <c r="F49"/>
  <c r="AA49" i="10"/>
  <c r="E49" i="39"/>
  <c r="D49"/>
  <c r="E17" i="36"/>
  <c r="I27" i="39"/>
  <c r="H27"/>
  <c r="I26"/>
  <c r="H26"/>
  <c r="AA34" i="10"/>
  <c r="D34" i="39"/>
  <c r="E34"/>
  <c r="F17"/>
  <c r="G17"/>
  <c r="G36"/>
  <c r="F36"/>
  <c r="E18" i="36"/>
  <c r="I28" i="39"/>
  <c r="H28"/>
  <c r="D8" i="36"/>
  <c r="F18" i="39"/>
  <c r="G18"/>
  <c r="H19"/>
  <c r="I19"/>
  <c r="I30"/>
  <c r="H30"/>
  <c r="D16"/>
  <c r="E16"/>
  <c r="H31"/>
  <c r="I31"/>
  <c r="D10" i="36"/>
  <c r="F20" i="39"/>
  <c r="G20"/>
  <c r="F23"/>
  <c r="G23"/>
  <c r="E23" i="36"/>
  <c r="I33" i="39"/>
  <c r="H33"/>
  <c r="G29"/>
  <c r="F29"/>
  <c r="D61" i="32"/>
  <c r="E61" s="1"/>
  <c r="Q35"/>
  <c r="Y13"/>
  <c r="X61"/>
  <c r="Y61" s="1"/>
  <c r="L84" i="31"/>
  <c r="M84" s="1"/>
  <c r="L79"/>
  <c r="M79" s="1"/>
  <c r="D79"/>
  <c r="E79" s="1"/>
  <c r="P79"/>
  <c r="Q79" s="1"/>
  <c r="V78"/>
  <c r="V84" s="1"/>
  <c r="W84" s="1"/>
  <c r="D13" i="36"/>
  <c r="E30"/>
  <c r="E20"/>
  <c r="AA16" i="10"/>
  <c r="C6" i="36"/>
  <c r="D19"/>
  <c r="E21"/>
  <c r="E12"/>
  <c r="E28"/>
  <c r="D11"/>
  <c r="E34"/>
  <c r="E29"/>
  <c r="E36"/>
  <c r="D31"/>
  <c r="Z29" i="32"/>
  <c r="AA29" s="1"/>
  <c r="C24" i="36"/>
  <c r="D7"/>
  <c r="D26"/>
  <c r="E16"/>
  <c r="E9"/>
  <c r="D34" i="32"/>
  <c r="E34" s="1"/>
  <c r="E33"/>
  <c r="E78" s="1"/>
  <c r="D78"/>
  <c r="N84" i="31"/>
  <c r="O84" s="1"/>
  <c r="Q77"/>
  <c r="O77"/>
  <c r="T61" i="32"/>
  <c r="T62" s="1"/>
  <c r="T34"/>
  <c r="U34" s="1"/>
  <c r="U33"/>
  <c r="U78" s="1"/>
  <c r="V61"/>
  <c r="W61" s="1"/>
  <c r="T78"/>
  <c r="Y77" i="31"/>
  <c r="H33" i="32"/>
  <c r="H78" s="1"/>
  <c r="V78"/>
  <c r="Z14"/>
  <c r="AA14" s="1"/>
  <c r="M35"/>
  <c r="L33"/>
  <c r="L78" s="1"/>
  <c r="V34"/>
  <c r="W34" s="1"/>
  <c r="W33"/>
  <c r="W78" s="1"/>
  <c r="Y84" i="10"/>
  <c r="X85"/>
  <c r="I77" i="31"/>
  <c r="H84"/>
  <c r="I84" s="1"/>
  <c r="H79"/>
  <c r="I79" s="1"/>
  <c r="S33" i="32"/>
  <c r="S78" s="1"/>
  <c r="R34"/>
  <c r="S34" s="1"/>
  <c r="R78"/>
  <c r="R61"/>
  <c r="G35"/>
  <c r="F33"/>
  <c r="F78" s="1"/>
  <c r="P78"/>
  <c r="Q13"/>
  <c r="P61"/>
  <c r="P34"/>
  <c r="Q34" s="1"/>
  <c r="Q33"/>
  <c r="M13"/>
  <c r="Z79" i="31"/>
  <c r="AA79" s="1"/>
  <c r="Z84"/>
  <c r="Z89" s="1"/>
  <c r="Z85" s="1"/>
  <c r="AA78"/>
  <c r="F84"/>
  <c r="G84" s="1"/>
  <c r="F79"/>
  <c r="G79" s="1"/>
  <c r="G77"/>
  <c r="K13" i="32"/>
  <c r="O35"/>
  <c r="N33"/>
  <c r="N61" s="1"/>
  <c r="J33"/>
  <c r="J78" s="1"/>
  <c r="K35"/>
  <c r="O13"/>
  <c r="G13"/>
  <c r="J79" i="31"/>
  <c r="K79" s="1"/>
  <c r="J84"/>
  <c r="K84" s="1"/>
  <c r="K77"/>
  <c r="X34" i="32"/>
  <c r="Y34" s="1"/>
  <c r="Y33"/>
  <c r="S78" i="31" l="1"/>
  <c r="R79"/>
  <c r="S79" s="1"/>
  <c r="Y78"/>
  <c r="X84"/>
  <c r="X89" s="1"/>
  <c r="D63" i="32"/>
  <c r="E63" s="1"/>
  <c r="K40" i="39"/>
  <c r="J40"/>
  <c r="F29" i="36"/>
  <c r="K39" i="39"/>
  <c r="J39"/>
  <c r="F32" i="36"/>
  <c r="K42" i="39"/>
  <c r="J42"/>
  <c r="F33" i="36"/>
  <c r="K43" i="39"/>
  <c r="J43"/>
  <c r="F28" i="36"/>
  <c r="K38" i="39"/>
  <c r="J38"/>
  <c r="F22" i="36"/>
  <c r="K32" i="39"/>
  <c r="J32"/>
  <c r="F34" i="36"/>
  <c r="K44" i="39"/>
  <c r="J44"/>
  <c r="K22"/>
  <c r="J22"/>
  <c r="K46"/>
  <c r="J46"/>
  <c r="E31" i="36"/>
  <c r="I41" i="39"/>
  <c r="H41"/>
  <c r="F35" i="36"/>
  <c r="K45" i="39"/>
  <c r="J45"/>
  <c r="F25" i="36"/>
  <c r="K35" i="39"/>
  <c r="J35"/>
  <c r="F27" i="36"/>
  <c r="K37" i="39"/>
  <c r="J37"/>
  <c r="I21"/>
  <c r="H21"/>
  <c r="K28"/>
  <c r="J28"/>
  <c r="I17"/>
  <c r="H17"/>
  <c r="I36"/>
  <c r="H36"/>
  <c r="G34"/>
  <c r="F34"/>
  <c r="K27"/>
  <c r="J27"/>
  <c r="K26"/>
  <c r="J26"/>
  <c r="D68" i="32"/>
  <c r="E68" s="1"/>
  <c r="J19" i="39"/>
  <c r="K19"/>
  <c r="J31"/>
  <c r="K31"/>
  <c r="I29"/>
  <c r="H29"/>
  <c r="F20" i="36"/>
  <c r="K30" i="39"/>
  <c r="J30"/>
  <c r="E8" i="36"/>
  <c r="I18" i="39"/>
  <c r="H18"/>
  <c r="H23"/>
  <c r="I23"/>
  <c r="F16"/>
  <c r="G16"/>
  <c r="E10" i="36"/>
  <c r="H20" i="39"/>
  <c r="I20"/>
  <c r="F23" i="36"/>
  <c r="K33" i="39"/>
  <c r="J33"/>
  <c r="V62" i="32"/>
  <c r="W62" s="1"/>
  <c r="W79" s="1"/>
  <c r="F17" i="36"/>
  <c r="F16"/>
  <c r="F18"/>
  <c r="W78" i="31"/>
  <c r="V79"/>
  <c r="W79" s="1"/>
  <c r="U61" i="32"/>
  <c r="E13" i="36"/>
  <c r="E11"/>
  <c r="E19"/>
  <c r="F21"/>
  <c r="F30"/>
  <c r="F36"/>
  <c r="F12"/>
  <c r="F9"/>
  <c r="D6"/>
  <c r="E7"/>
  <c r="E26"/>
  <c r="D24"/>
  <c r="X62" i="32"/>
  <c r="I33"/>
  <c r="I78" s="1"/>
  <c r="F61"/>
  <c r="F63" s="1"/>
  <c r="G63" s="1"/>
  <c r="H34"/>
  <c r="I34" s="1"/>
  <c r="N78"/>
  <c r="M33"/>
  <c r="M78" s="1"/>
  <c r="L34"/>
  <c r="M34" s="1"/>
  <c r="AA84" i="31"/>
  <c r="G33" i="32"/>
  <c r="G78" s="1"/>
  <c r="F34"/>
  <c r="G34" s="1"/>
  <c r="X91" i="10"/>
  <c r="X96" s="1"/>
  <c r="X92" s="1"/>
  <c r="Y85"/>
  <c r="X86"/>
  <c r="Y86" s="1"/>
  <c r="O33" i="32"/>
  <c r="O78" s="1"/>
  <c r="N34"/>
  <c r="O34" s="1"/>
  <c r="S61"/>
  <c r="R62"/>
  <c r="Q78"/>
  <c r="N68"/>
  <c r="O68" s="1"/>
  <c r="O61"/>
  <c r="T79"/>
  <c r="U62"/>
  <c r="U79" s="1"/>
  <c r="T68"/>
  <c r="U68" s="1"/>
  <c r="T63"/>
  <c r="U63" s="1"/>
  <c r="K33"/>
  <c r="K78" s="1"/>
  <c r="J34"/>
  <c r="K34" s="1"/>
  <c r="P68"/>
  <c r="Q68" s="1"/>
  <c r="P63"/>
  <c r="Q63" s="1"/>
  <c r="Q61"/>
  <c r="Y84" i="31" l="1"/>
  <c r="V68" i="32"/>
  <c r="W68" s="1"/>
  <c r="K41" i="39"/>
  <c r="J41"/>
  <c r="K21"/>
  <c r="J21"/>
  <c r="F26" i="36"/>
  <c r="K36" i="39"/>
  <c r="J36"/>
  <c r="F13" i="36"/>
  <c r="K17" i="39"/>
  <c r="J17"/>
  <c r="I34"/>
  <c r="H34"/>
  <c r="K29"/>
  <c r="J29"/>
  <c r="H16"/>
  <c r="I16"/>
  <c r="K18"/>
  <c r="J18"/>
  <c r="J20"/>
  <c r="K20"/>
  <c r="J23"/>
  <c r="K23"/>
  <c r="Y62" i="32"/>
  <c r="X68"/>
  <c r="X74" s="1"/>
  <c r="X69" s="1"/>
  <c r="Y69" s="1"/>
  <c r="X63"/>
  <c r="Y63" s="1"/>
  <c r="V63"/>
  <c r="W63" s="1"/>
  <c r="V79"/>
  <c r="F8" i="36"/>
  <c r="F11"/>
  <c r="F68" i="32"/>
  <c r="G68" s="1"/>
  <c r="F10" i="36"/>
  <c r="F19"/>
  <c r="F31"/>
  <c r="E24"/>
  <c r="F7"/>
  <c r="E6"/>
  <c r="G61" i="32"/>
  <c r="Y89" i="31"/>
  <c r="X85"/>
  <c r="Y85" s="1"/>
  <c r="Y91" i="10"/>
  <c r="R63" i="32"/>
  <c r="S63" s="1"/>
  <c r="R79"/>
  <c r="S62"/>
  <c r="S79" s="1"/>
  <c r="R68"/>
  <c r="S68" s="1"/>
  <c r="AA85" i="31"/>
  <c r="AA89"/>
  <c r="K34" i="39" l="1"/>
  <c r="J34"/>
  <c r="J16"/>
  <c r="K16"/>
  <c r="Y74" i="32"/>
  <c r="Y68"/>
  <c r="F24" i="36"/>
  <c r="F6"/>
  <c r="Y92" i="10"/>
  <c r="Y96"/>
  <c r="S25" i="28" l="1"/>
  <c r="S11" s="1"/>
  <c r="Y14"/>
  <c r="D24"/>
  <c r="D23" s="1"/>
  <c r="D13" s="1"/>
  <c r="Z24" i="10" l="1"/>
  <c r="E24" i="39" s="1"/>
  <c r="Y25" i="28"/>
  <c r="AA22" s="1"/>
  <c r="AC22" s="1"/>
  <c r="E25" i="39" l="1"/>
  <c r="C14" i="36"/>
  <c r="Z15" i="10"/>
  <c r="D15" i="39" s="1"/>
  <c r="Z24" i="32"/>
  <c r="Z23" s="1"/>
  <c r="D24" i="39"/>
  <c r="D25"/>
  <c r="AA25" i="10"/>
  <c r="AA24"/>
  <c r="C15" i="36"/>
  <c r="AA19" i="28"/>
  <c r="AC19" s="1"/>
  <c r="AA24"/>
  <c r="AC24" s="1"/>
  <c r="AA16"/>
  <c r="AC16" s="1"/>
  <c r="AA21"/>
  <c r="AC21" s="1"/>
  <c r="AA15"/>
  <c r="AC15" s="1"/>
  <c r="AA23"/>
  <c r="AC23" s="1"/>
  <c r="AA20"/>
  <c r="AC20" s="1"/>
  <c r="AA14"/>
  <c r="AC14" s="1"/>
  <c r="AA18"/>
  <c r="AC18" s="1"/>
  <c r="AA17"/>
  <c r="AC17" s="1"/>
  <c r="D15" i="36"/>
  <c r="F25" i="39"/>
  <c r="G25"/>
  <c r="AA24" i="32" l="1"/>
  <c r="E15" i="39"/>
  <c r="AA15" i="10"/>
  <c r="C5" i="36"/>
  <c r="Z84" i="10"/>
  <c r="E15" i="36"/>
  <c r="H25" i="39"/>
  <c r="I25"/>
  <c r="AA23" i="32"/>
  <c r="Z13"/>
  <c r="F24" i="39"/>
  <c r="G24"/>
  <c r="D14" i="36"/>
  <c r="E84" i="39" l="1"/>
  <c r="AA84" i="10"/>
  <c r="D84" i="39"/>
  <c r="Z85" i="10"/>
  <c r="J25" i="39"/>
  <c r="K25"/>
  <c r="F15" i="36"/>
  <c r="F15" i="39"/>
  <c r="G15"/>
  <c r="D5" i="36"/>
  <c r="E14"/>
  <c r="H24" i="39"/>
  <c r="I24"/>
  <c r="Z61" i="32"/>
  <c r="AA13"/>
  <c r="AA85" i="10" l="1"/>
  <c r="Z91"/>
  <c r="D91" i="39" s="1"/>
  <c r="D85"/>
  <c r="E85"/>
  <c r="Z86" i="10"/>
  <c r="J24" i="39"/>
  <c r="K24"/>
  <c r="F14" i="36"/>
  <c r="I15" i="39"/>
  <c r="H15"/>
  <c r="E5" i="36"/>
  <c r="G84" i="39"/>
  <c r="F84"/>
  <c r="Z62" i="32"/>
  <c r="AA61"/>
  <c r="Z63" l="1"/>
  <c r="Z68"/>
  <c r="Z74" s="1"/>
  <c r="Z69" s="1"/>
  <c r="AA86" i="10"/>
  <c r="E91" i="39"/>
  <c r="AA91" i="10"/>
  <c r="D86" i="39"/>
  <c r="E86"/>
  <c r="F5" i="36"/>
  <c r="K15" i="39"/>
  <c r="J15"/>
  <c r="AA63" i="32"/>
  <c r="AA62"/>
  <c r="G85" i="39"/>
  <c r="F85"/>
  <c r="H84"/>
  <c r="I84"/>
  <c r="AA68" i="32" l="1"/>
  <c r="E96" i="39"/>
  <c r="E92"/>
  <c r="AA96" i="10"/>
  <c r="D96" i="39"/>
  <c r="G86"/>
  <c r="F86"/>
  <c r="K84"/>
  <c r="J84"/>
  <c r="H85"/>
  <c r="I85"/>
  <c r="F91"/>
  <c r="G91"/>
  <c r="AA74" i="32"/>
  <c r="AA69"/>
  <c r="I96" i="39" l="1"/>
  <c r="H96"/>
  <c r="D92"/>
  <c r="AA92" i="10"/>
  <c r="K85" i="39"/>
  <c r="J85"/>
  <c r="I91"/>
  <c r="H91"/>
  <c r="I86"/>
  <c r="H86"/>
  <c r="K96" l="1"/>
  <c r="J96"/>
  <c r="K91"/>
  <c r="J91"/>
  <c r="J86"/>
  <c r="K86"/>
  <c r="J94" l="1"/>
  <c r="K94"/>
  <c r="K92" l="1"/>
  <c r="J92"/>
  <c r="F94" l="1"/>
  <c r="G94"/>
  <c r="G96" l="1"/>
  <c r="F96"/>
  <c r="G92" l="1"/>
  <c r="F92"/>
  <c r="I94"/>
  <c r="H94"/>
  <c r="H92"/>
  <c r="I92" l="1"/>
</calcChain>
</file>

<file path=xl/comments1.xml><?xml version="1.0" encoding="utf-8"?>
<comments xmlns="http://schemas.openxmlformats.org/spreadsheetml/2006/main">
  <authors>
    <author>milena.milovic</author>
  </authors>
  <commentList>
    <comment ref="C37" authorId="0">
      <text>
        <r>
          <rPr>
            <b/>
            <sz val="9"/>
            <color indexed="81"/>
            <rFont val="Tahoma"/>
            <family val="2"/>
            <charset val="238"/>
          </rPr>
          <t>milena.milovic:</t>
        </r>
        <r>
          <rPr>
            <sz val="9"/>
            <color indexed="81"/>
            <rFont val="Tahoma"/>
            <family val="2"/>
            <charset val="238"/>
          </rPr>
          <t xml:space="preserve">
Nina i ministar dodali po osnovu novog Zakona </t>
        </r>
      </text>
    </comment>
  </commentList>
</comments>
</file>

<file path=xl/sharedStrings.xml><?xml version="1.0" encoding="utf-8"?>
<sst xmlns="http://schemas.openxmlformats.org/spreadsheetml/2006/main" count="1597" uniqueCount="516">
  <si>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</si>
  <si>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</si>
  <si>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</si>
  <si>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</si>
  <si>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</si>
  <si>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</si>
  <si>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</si>
  <si>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</si>
  <si>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</si>
  <si>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</si>
  <si>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</si>
  <si>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</si>
  <si>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</si>
  <si>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</si>
  <si>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</si>
  <si>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</si>
  <si>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</si>
  <si>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</si>
  <si>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</si>
  <si>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</si>
  <si>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</si>
  <si>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</si>
  <si>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</si>
  <si>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</si>
  <si>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</si>
  <si>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</si>
  <si>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</si>
  <si>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</si>
  <si>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</si>
  <si>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</si>
  <si>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</si>
  <si>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</si>
  <si>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</si>
  <si>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</si>
  <si>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</si>
  <si>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</si>
  <si>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</si>
  <si>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</si>
  <si>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</si>
  <si>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</si>
  <si>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</si>
  <si>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</si>
  <si>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</si>
  <si>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</si>
  <si>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</si>
  <si>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</si>
  <si>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</si>
  <si>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</si>
  <si>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</si>
  <si>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</si>
  <si>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</si>
  <si>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</si>
  <si>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</si>
  <si>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</si>
  <si>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</si>
  <si>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</si>
  <si>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</si>
  <si>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</si>
  <si>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</si>
  <si>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</si>
  <si>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</si>
  <si>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</si>
  <si>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</si>
  <si>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</si>
  <si>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</si>
  <si>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</si>
  <si>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</si>
  <si>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</si>
  <si>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</si>
  <si>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</si>
  <si>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</si>
  <si>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</si>
  <si>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</si>
  <si>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</si>
  <si>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</si>
  <si>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</si>
  <si>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</si>
  <si>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</si>
  <si>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</si>
  <si>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</si>
  <si>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</si>
  <si>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</si>
  <si>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</si>
  <si>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</si>
  <si>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</si>
  <si>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</si>
  <si>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</si>
  <si>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</si>
  <si>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</si>
  <si>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</si>
  <si>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</si>
  <si>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</si>
  <si>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</si>
  <si>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</si>
  <si>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</si>
  <si>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</si>
  <si>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</si>
  <si>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</si>
  <si>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</si>
  <si>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</si>
  <si>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</si>
  <si>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</si>
  <si>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</si>
  <si>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</si>
  <si>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</si>
  <si>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</si>
  <si>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</si>
  <si>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</si>
  <si>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</si>
  <si>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</si>
  <si>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</si>
  <si>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</si>
  <si>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</si>
  <si>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</si>
  <si>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</si>
  <si>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</si>
  <si>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</si>
  <si>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</si>
  <si>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</si>
  <si>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</si>
  <si>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</si>
  <si>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</si>
  <si>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</si>
  <si>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</si>
  <si>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</si>
  <si>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</si>
  <si>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</si>
  <si>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</si>
  <si>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</si>
  <si>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</si>
  <si>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</si>
  <si>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</si>
  <si>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</si>
  <si>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</si>
  <si>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</si>
  <si>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</si>
  <si>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</si>
  <si>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</si>
  <si>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</si>
  <si>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</si>
  <si>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</si>
  <si>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</si>
  <si>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</si>
  <si>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</si>
  <si>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</si>
  <si>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</si>
  <si>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</si>
  <si>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</si>
  <si>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</si>
  <si>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</si>
  <si>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</si>
  <si>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</si>
  <si>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</si>
  <si>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</si>
  <si>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</si>
  <si>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</si>
  <si>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</si>
  <si>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</si>
  <si>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</si>
  <si>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</si>
  <si>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</si>
  <si>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</si>
  <si>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</si>
  <si>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</si>
  <si>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</si>
  <si>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</si>
  <si>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</si>
  <si>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</si>
  <si>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</si>
  <si>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</si>
  <si>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</si>
  <si>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</si>
  <si>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</si>
  <si>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</si>
  <si>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</si>
  <si>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</si>
  <si>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</si>
  <si>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</si>
  <si>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</si>
  <si>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</si>
  <si>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</si>
  <si>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</si>
  <si>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</si>
  <si>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</si>
  <si>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</si>
  <si>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</si>
  <si>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</si>
  <si>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</si>
  <si>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</si>
  <si>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</si>
  <si>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</si>
  <si>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</si>
  <si>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</si>
  <si>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</si>
  <si>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</si>
  <si>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</si>
  <si>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</si>
  <si>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</si>
  <si>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</si>
  <si>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</si>
  <si>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</si>
  <si>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</si>
  <si>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</si>
  <si>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</si>
  <si>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</si>
  <si>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</si>
  <si>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</si>
  <si>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</si>
  <si>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</si>
  <si>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</si>
  <si>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</si>
  <si>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</si>
  <si>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</si>
  <si>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</si>
  <si>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</si>
  <si>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</si>
  <si>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Podgorica</t>
  </si>
  <si>
    <t>Cetinje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</si>
  <si>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</si>
  <si>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</si>
  <si>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</si>
  <si>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</si>
  <si>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</si>
  <si>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</si>
  <si>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</si>
  <si>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</si>
  <si>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</si>
  <si>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</si>
  <si>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</si>
  <si>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</si>
  <si>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</si>
  <si>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</si>
  <si>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</si>
  <si>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</si>
  <si>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</si>
  <si>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</si>
  <si>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</si>
  <si>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</si>
  <si>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</si>
  <si>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</si>
  <si>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</si>
  <si>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</si>
  <si>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</si>
  <si>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</si>
  <si>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</si>
  <si>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</si>
  <si>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</si>
  <si>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</si>
  <si>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</si>
  <si>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</si>
  <si>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</si>
  <si>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</si>
  <si>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</si>
  <si>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</si>
  <si>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</si>
  <si>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</si>
  <si>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</si>
  <si>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</si>
  <si>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</si>
  <si>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</si>
  <si>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</si>
  <si>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</si>
  <si>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</si>
  <si>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</si>
  <si>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</si>
  <si>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</si>
  <si>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</si>
  <si>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</si>
  <si>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</si>
  <si>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</si>
  <si>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</si>
  <si>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</si>
  <si>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</si>
  <si>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</si>
  <si>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</si>
  <si>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</si>
  <si>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</si>
  <si>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</si>
  <si>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</si>
  <si>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</si>
  <si>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</si>
  <si>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</si>
  <si>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</si>
  <si>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</si>
  <si>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</si>
  <si>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</si>
  <si>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</si>
  <si>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</si>
  <si>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</si>
  <si>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</si>
  <si>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</si>
  <si>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</si>
  <si>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</si>
  <si>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</si>
  <si>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</si>
  <si>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</si>
  <si>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</si>
  <si>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</si>
  <si>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</si>
  <si>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</si>
  <si>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</si>
  <si>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</si>
  <si>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</si>
  <si>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</si>
  <si>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</si>
  <si>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</si>
  <si>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</si>
  <si>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</si>
  <si>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</si>
  <si>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</si>
  <si>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</si>
  <si>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</si>
  <si>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</si>
  <si>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</si>
  <si>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</si>
  <si>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</si>
  <si>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</si>
  <si>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</si>
  <si>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</si>
  <si>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</si>
  <si>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</si>
  <si>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</si>
  <si>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</si>
  <si>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</si>
  <si>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</si>
  <si>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</si>
  <si>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</si>
  <si>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</si>
  <si>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</si>
  <si>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</si>
  <si>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</si>
  <si>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</si>
  <si>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</si>
  <si>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</si>
  <si>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</si>
  <si>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</si>
  <si>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</si>
  <si>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</si>
  <si>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</si>
  <si>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</si>
  <si>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</si>
  <si>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</si>
  <si>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</si>
  <si>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</si>
  <si>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</si>
  <si>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</si>
  <si>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</si>
  <si>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</si>
  <si>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</si>
  <si>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</si>
  <si>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</si>
  <si>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</si>
  <si>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</si>
  <si>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</si>
  <si>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</si>
  <si>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</si>
  <si>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</si>
  <si>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</si>
  <si>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</si>
  <si>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</si>
  <si>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</si>
  <si>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</si>
  <si>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</si>
  <si>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</si>
  <si>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</rPr>
      <t>per capita (</t>
    </r>
    <r>
      <rPr>
        <sz val="10"/>
        <rFont val="Calibri"/>
        <family val="2"/>
        <charset val="238"/>
      </rPr>
      <t>€</t>
    </r>
    <r>
      <rPr>
        <i/>
        <sz val="10"/>
        <rFont val="Calibri"/>
        <family val="2"/>
        <charset val="238"/>
      </rPr>
      <t>)*</t>
    </r>
  </si>
  <si>
    <r>
      <t xml:space="preserve">GDP </t>
    </r>
    <r>
      <rPr>
        <i/>
        <sz val="10"/>
        <rFont val="Calibri"/>
        <family val="2"/>
        <charset val="238"/>
      </rPr>
      <t>per capita (</t>
    </r>
    <r>
      <rPr>
        <sz val="10"/>
        <rFont val="Calibri"/>
        <family val="2"/>
        <charset val="238"/>
      </rPr>
      <t>€</t>
    </r>
    <r>
      <rPr>
        <i/>
        <sz val="10"/>
        <rFont val="Calibri"/>
        <family val="2"/>
        <charset val="238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</si>
  <si>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</si>
  <si>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</si>
  <si>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</si>
  <si>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</si>
  <si>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</si>
  <si>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</si>
  <si>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</si>
  <si>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</si>
  <si>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</si>
  <si>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</si>
  <si>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</si>
  <si>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</si>
  <si>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</si>
  <si>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</si>
  <si>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</si>
  <si>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</si>
  <si>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</si>
  <si>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</si>
  <si>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</si>
  <si>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</si>
  <si>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</si>
  <si>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</si>
  <si>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</si>
  <si>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</si>
  <si>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Transferi budžetu države</t>
  </si>
  <si>
    <t>Miloš Popović</t>
  </si>
  <si>
    <t xml:space="preserve">Podatke pripremio: </t>
  </si>
  <si>
    <r>
      <t>Euro (</t>
    </r>
    <r>
      <rPr>
        <sz val="11"/>
        <rFont val="Calibri"/>
        <family val="2"/>
        <charset val="238"/>
      </rPr>
      <t>€</t>
    </r>
    <r>
      <rPr>
        <sz val="11"/>
        <rFont val="Arial"/>
        <family val="2"/>
        <charset val="238"/>
      </rPr>
      <t>)</t>
    </r>
  </si>
  <si>
    <t>Korigovani suficit/deficit</t>
  </si>
  <si>
    <t xml:space="preserve">Kapitalni budzet </t>
  </si>
  <si>
    <t xml:space="preserve">Kapitalni izdaci tekućeg budžeta </t>
  </si>
  <si>
    <t>Napomena: Informacija je urađena na engleskom i crnogorskom jeziku</t>
  </si>
  <si>
    <t>Primici od otplate kredita</t>
  </si>
  <si>
    <t>Receipts from repayment of loans</t>
  </si>
  <si>
    <t xml:space="preserve">Primici od otplate kredita </t>
  </si>
  <si>
    <t xml:space="preserve">Receipts from repayment of loans </t>
  </si>
  <si>
    <t>Ostali državni porezi</t>
  </si>
  <si>
    <t>Other State Taxes</t>
  </si>
  <si>
    <t>Ostali državni prihodi</t>
  </si>
  <si>
    <t>mil.</t>
  </si>
  <si>
    <t>Rast zaposlenosti</t>
  </si>
  <si>
    <t>Rast zarada</t>
  </si>
  <si>
    <t>Nominalna stopa rasta BDP-a</t>
  </si>
  <si>
    <t>Realna stopa rasta BDP-a</t>
  </si>
  <si>
    <t>Proj. 2016</t>
  </si>
  <si>
    <t>Proj. 2017</t>
  </si>
  <si>
    <t>Proj. 2018</t>
  </si>
  <si>
    <t>Proj. 2019</t>
  </si>
  <si>
    <t>Projekcije</t>
  </si>
  <si>
    <t>mil.€</t>
  </si>
  <si>
    <t>Prihodi koje organi ostavrauju vršenjem svoje djelatnosti</t>
  </si>
  <si>
    <t>Procjena 2017</t>
  </si>
  <si>
    <t>Procjena 2018</t>
  </si>
  <si>
    <t>Procjena 2019</t>
  </si>
  <si>
    <t>Korigovani suficit/dficit</t>
  </si>
  <si>
    <t>Proj. 2020</t>
  </si>
  <si>
    <t>Proj. 2021</t>
  </si>
  <si>
    <t>Procjena 2020</t>
  </si>
  <si>
    <t>doprinos PIO</t>
  </si>
  <si>
    <t>Doprinos zdravstvo</t>
  </si>
  <si>
    <t>Doprinos za nezaposlene</t>
  </si>
  <si>
    <t>Porez na dohodak</t>
  </si>
  <si>
    <t>Naplata zaostalog poreskog duga porezi i doprinosi -Centralni budžet</t>
  </si>
  <si>
    <t>Porez napromet nepokretnosti</t>
  </si>
  <si>
    <t>PDV</t>
  </si>
  <si>
    <t>Koncesije</t>
  </si>
  <si>
    <t>Ukupno</t>
  </si>
  <si>
    <t xml:space="preserve">1.Naplata zaostalog duga </t>
  </si>
  <si>
    <t xml:space="preserve">2. Redovnije izmirenje obaveza </t>
  </si>
  <si>
    <t xml:space="preserve">4. Centralizacija poreskih kasa </t>
  </si>
  <si>
    <t>Efekat mjera</t>
  </si>
  <si>
    <t>Godina 2021.</t>
  </si>
  <si>
    <t>Godina 2020.</t>
  </si>
  <si>
    <t>- zadržavanje nivoa tekućih rashoda na nivou koji će omogućiti stvaranje budžetskog suficita u cilju smanjivanja javnog duga i selektivno planiranje kapitalnog budžeta u cilju postizanja većeg ekonomskog efekta</t>
  </si>
  <si>
    <t>Godina 2019.</t>
  </si>
  <si>
    <t>- zadržavanje nivoa tekućih rashoda na nivou prethodne godine</t>
  </si>
  <si>
    <t>- neusklađivanje zarada po osnovu minulog staža</t>
  </si>
  <si>
    <t>- povećanje stope poreza na dohodak sa 9% na 14%</t>
  </si>
  <si>
    <t>Godina 2018.</t>
  </si>
  <si>
    <t>- zamrzavanje novog zapošljavanja na jednu godinu</t>
  </si>
  <si>
    <t xml:space="preserve">- neusklađivanje penzija </t>
  </si>
  <si>
    <t>- smanjenje ostalih rashoda u budžetu za 36 mi.eura</t>
  </si>
  <si>
    <t>- smanjenje kapitalnih izdataka - za 12 mil.eura</t>
  </si>
  <si>
    <t>zarade, odnosno 40 na 30% neto zarade ukupno 12 mil.eura</t>
  </si>
  <si>
    <t>- smanjenje naknade za "majke sa troje djece, sa 70 na 60% neto D37:I37zara</t>
  </si>
  <si>
    <t>- analiza moguće optimizacije zaposlenih u javnom sektoru</t>
  </si>
  <si>
    <t>- analiza poreskog sistema u cilju smanjenja izuzeća</t>
  </si>
  <si>
    <t>- novi set zakona vezan za finansiranje lokalne samouprave</t>
  </si>
  <si>
    <t>- reforma paketa socijalne pomoći</t>
  </si>
  <si>
    <t>- bolja naplata poreza i doprinosa na zarade</t>
  </si>
  <si>
    <t>- naplata zaostalog poreskog duga, od 234 mil.eura procjena 12</t>
  </si>
  <si>
    <t>- povećanje akcize na mineralna ulja, efekti 32 mil.eura</t>
  </si>
  <si>
    <t>- povećanje stope poreza na dohodak sa 9% na 15%</t>
  </si>
  <si>
    <t>Godina 2017.</t>
  </si>
  <si>
    <t>Procenat BDP-a - konsolidacija</t>
  </si>
  <si>
    <t>Procijenjeni BDP za 2017.g.</t>
  </si>
  <si>
    <t>U K U P N O</t>
  </si>
  <si>
    <t>U K U P N O RASHODI</t>
  </si>
  <si>
    <t>Zarade - neusklađivanje</t>
  </si>
  <si>
    <t>Kapitalni izdaci</t>
  </si>
  <si>
    <t>Ostali rashodi u budžetu</t>
  </si>
  <si>
    <t>100mileur</t>
  </si>
  <si>
    <t>Socijala - majke</t>
  </si>
  <si>
    <t>Mjere na rashodnoj strani</t>
  </si>
  <si>
    <t>U K U P N O PRIHODI</t>
  </si>
  <si>
    <t>Centralizacija poreskih registar kasa</t>
  </si>
  <si>
    <t>Povećanje akcije za mineralna ulja</t>
  </si>
  <si>
    <t>Jačanje fiskalne discipline</t>
  </si>
  <si>
    <t>Naplata zaostalog poreskog duga</t>
  </si>
  <si>
    <t>Mjere na prihodnoj strani</t>
  </si>
  <si>
    <t>UKUPNO</t>
  </si>
  <si>
    <t>Preliminarni plan mjera Fiskalne konsolidacije</t>
  </si>
  <si>
    <t>Smanjenje zarada funkcionera</t>
  </si>
  <si>
    <t xml:space="preserve">Poreska izuzeća </t>
  </si>
  <si>
    <t>3. Smanjenje plata funkcionera</t>
  </si>
  <si>
    <t>5.Ukidanje olakšica</t>
  </si>
  <si>
    <t xml:space="preserve">6. Povećanje akciza na mineralna ulja </t>
  </si>
  <si>
    <t xml:space="preserve">Ukupno </t>
  </si>
  <si>
    <t xml:space="preserve">SANACIONI PLAN </t>
  </si>
  <si>
    <t>FISKALNA STRATEGIJA</t>
  </si>
  <si>
    <t xml:space="preserve">Akciza na cigarete </t>
  </si>
  <si>
    <t xml:space="preserve">Akciza na gaziranu vodu </t>
  </si>
  <si>
    <t xml:space="preserve">Akciza na ugalj </t>
  </si>
  <si>
    <t xml:space="preserve">Akciza na etil alkohol </t>
  </si>
  <si>
    <t xml:space="preserve">1. Naplata zaostalog duga </t>
  </si>
  <si>
    <t xml:space="preserve">PDV </t>
  </si>
  <si>
    <t xml:space="preserve">2. Povećanje akciza </t>
  </si>
  <si>
    <t>3. Povećanje stope PDV-a</t>
  </si>
  <si>
    <t xml:space="preserve">PDV 21% </t>
  </si>
  <si>
    <t xml:space="preserve">Naplata zaostalog poreskog duga porezi i doprinosi </t>
  </si>
  <si>
    <t xml:space="preserve">Efekat mjera </t>
  </si>
  <si>
    <t xml:space="preserve">Korekcije - sanacioni+ fiskalna </t>
  </si>
  <si>
    <t>Procjena 2016</t>
  </si>
  <si>
    <t>4. Doprinosi za majke</t>
  </si>
  <si>
    <t xml:space="preserve">Inflacija </t>
  </si>
  <si>
    <t>%</t>
  </si>
  <si>
    <t>Razlika u odnosu na FS</t>
  </si>
  <si>
    <t xml:space="preserve">Budžet 2018 </t>
  </si>
  <si>
    <t>1. Prihodi od reizdavanje dokumenata MUP</t>
  </si>
  <si>
    <t>Novi Zakon o finansiranju lokalnih samouprava</t>
  </si>
  <si>
    <t xml:space="preserve">Porez na dohodak </t>
  </si>
  <si>
    <t>dobit epcg</t>
  </si>
  <si>
    <t>Porez na dobit</t>
  </si>
  <si>
    <t>Izdaci za kupovinu hartija od vrijednosti</t>
  </si>
  <si>
    <t>Deficit/ Surplus</t>
  </si>
  <si>
    <t>Korigovani deficit/ suficit</t>
  </si>
  <si>
    <t>Modified deficit/surplus</t>
  </si>
  <si>
    <t>Expenditures for the purchase of securities</t>
  </si>
  <si>
    <t>2017 *</t>
  </si>
  <si>
    <t>* Podaci za 2017. godinu su preliminarni do usvajanja Zakona o završnom računu budžeta za 2017. godinu.</t>
  </si>
</sst>
</file>

<file path=xl/styles.xml><?xml version="1.0" encoding="utf-8"?>
<styleSheet xmlns="http://schemas.openxmlformats.org/spreadsheetml/2006/main">
  <numFmts count="18">
    <numFmt numFmtId="164" formatCode="_(* #,##0.00_);_(* \(#,##0.00\);_(* &quot;-&quot;??_);_(@_)"/>
    <numFmt numFmtId="165" formatCode="0.00,,"/>
    <numFmt numFmtId="166" formatCode="0.0000"/>
    <numFmt numFmtId="167" formatCode="0.0,,"/>
    <numFmt numFmtId="168" formatCode="#,##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[&gt;0.05]#,##0.0;[&lt;-0.05]\-#,##0.0;\-\-&quot; &quot;;"/>
    <numFmt numFmtId="174" formatCode="[&gt;0.5]#,##0;[&lt;-0.5]\-#,##0;\-\-&quot; &quot;;"/>
    <numFmt numFmtId="175" formatCode="[Black]#,##0.0;[Black]\-#,##0.0;;"/>
    <numFmt numFmtId="176" formatCode="0.000000000"/>
    <numFmt numFmtId="177" formatCode="0,000,,"/>
    <numFmt numFmtId="178" formatCode="0.0"/>
    <numFmt numFmtId="179" formatCode="dd/mm/yy;@"/>
    <numFmt numFmtId="180" formatCode="0.00000000000"/>
    <numFmt numFmtId="181" formatCode="[$-409]General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  <font>
      <sz val="10"/>
      <name val="Times New Roman"/>
      <family val="1"/>
    </font>
    <font>
      <i/>
      <sz val="7"/>
      <color indexed="18"/>
      <name val="Arial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Calibri"/>
      <family val="2"/>
      <charset val="238"/>
    </font>
    <font>
      <u/>
      <sz val="10"/>
      <name val="Arial"/>
      <family val="2"/>
      <charset val="238"/>
    </font>
    <font>
      <sz val="11"/>
      <name val="Arial"/>
      <family val="2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rgb="FFC0000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7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name val="Calibri"/>
      <family val="2"/>
      <charset val="238"/>
      <scheme val="minor"/>
    </font>
    <font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323E1A"/>
      <name val="Calibri"/>
      <family val="2"/>
      <scheme val="minor"/>
    </font>
    <font>
      <sz val="11"/>
      <name val="Calibri"/>
      <family val="2"/>
      <scheme val="minor"/>
    </font>
    <font>
      <sz val="10"/>
      <color rgb="FF323E1A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23E1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3">
    <xf numFmtId="0" fontId="0" fillId="0" borderId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2" fillId="0" borderId="0" applyProtection="0"/>
    <xf numFmtId="0" fontId="13" fillId="0" borderId="0">
      <protection locked="0"/>
    </xf>
    <xf numFmtId="0" fontId="13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4" fillId="0" borderId="0">
      <protection locked="0"/>
    </xf>
    <xf numFmtId="2" fontId="12" fillId="0" borderId="0" applyProtection="0"/>
    <xf numFmtId="0" fontId="12" fillId="0" borderId="0" applyNumberFormat="0" applyFont="0" applyFill="0" applyBorder="0" applyAlignment="0" applyProtection="0"/>
    <xf numFmtId="0" fontId="15" fillId="0" borderId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8" fontId="16" fillId="0" borderId="0"/>
    <xf numFmtId="0" fontId="17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0" fillId="0" borderId="0">
      <alignment vertical="center"/>
    </xf>
    <xf numFmtId="0" fontId="30" fillId="0" borderId="0"/>
    <xf numFmtId="0" fontId="10" fillId="0" borderId="0"/>
    <xf numFmtId="0" fontId="9" fillId="0" borderId="0"/>
    <xf numFmtId="0" fontId="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175" fontId="10" fillId="0" borderId="0" applyFont="0" applyFill="0" applyBorder="0" applyAlignment="0" applyProtection="0"/>
    <xf numFmtId="0" fontId="19" fillId="0" borderId="0"/>
    <xf numFmtId="0" fontId="2" fillId="0" borderId="0"/>
    <xf numFmtId="164" fontId="6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9" fillId="0" borderId="0"/>
    <xf numFmtId="181" fontId="69" fillId="0" borderId="0"/>
  </cellStyleXfs>
  <cellXfs count="594">
    <xf numFmtId="0" fontId="0" fillId="0" borderId="0" xfId="0"/>
    <xf numFmtId="0" fontId="3" fillId="0" borderId="0" xfId="27" applyFont="1" applyBorder="1" applyAlignment="1">
      <alignment horizontal="right"/>
    </xf>
    <xf numFmtId="0" fontId="6" fillId="0" borderId="0" xfId="27" applyFont="1" applyAlignment="1">
      <alignment wrapText="1"/>
    </xf>
    <xf numFmtId="0" fontId="5" fillId="0" borderId="0" xfId="27" applyFont="1" applyBorder="1" applyAlignment="1">
      <alignment horizontal="center" wrapText="1"/>
    </xf>
    <xf numFmtId="0" fontId="4" fillId="0" borderId="0" xfId="27" applyFont="1" applyBorder="1"/>
    <xf numFmtId="2" fontId="3" fillId="0" borderId="0" xfId="27" applyNumberFormat="1" applyFont="1" applyBorder="1" applyAlignment="1">
      <alignment horizontal="right"/>
    </xf>
    <xf numFmtId="4" fontId="4" fillId="0" borderId="0" xfId="27" applyNumberFormat="1" applyFont="1" applyBorder="1"/>
    <xf numFmtId="0" fontId="7" fillId="0" borderId="0" xfId="27" applyFont="1" applyBorder="1"/>
    <xf numFmtId="2" fontId="3" fillId="0" borderId="0" xfId="27" applyNumberFormat="1" applyFont="1" applyFill="1" applyBorder="1" applyAlignment="1">
      <alignment horizontal="right"/>
    </xf>
    <xf numFmtId="0" fontId="5" fillId="0" borderId="0" xfId="27" applyFont="1" applyBorder="1" applyAlignment="1">
      <alignment horizontal="center"/>
    </xf>
    <xf numFmtId="0" fontId="9" fillId="0" borderId="0" xfId="27" applyFont="1"/>
    <xf numFmtId="49" fontId="9" fillId="0" borderId="0" xfId="27" applyNumberFormat="1" applyFont="1" applyAlignment="1">
      <alignment wrapText="1"/>
    </xf>
    <xf numFmtId="0" fontId="5" fillId="0" borderId="0" xfId="27" applyFont="1" applyBorder="1" applyAlignment="1"/>
    <xf numFmtId="49" fontId="31" fillId="2" borderId="0" xfId="27" applyNumberFormat="1" applyFont="1" applyFill="1" applyBorder="1" applyAlignment="1">
      <alignment wrapText="1"/>
    </xf>
    <xf numFmtId="0" fontId="9" fillId="0" borderId="0" xfId="27" applyFont="1" applyFill="1" applyBorder="1"/>
    <xf numFmtId="0" fontId="9" fillId="0" borderId="0" xfId="27" applyFont="1" applyFill="1"/>
    <xf numFmtId="0" fontId="9" fillId="0" borderId="0" xfId="27" applyFont="1" applyBorder="1"/>
    <xf numFmtId="0" fontId="20" fillId="0" borderId="0" xfId="27" applyFont="1" applyFill="1" applyBorder="1" applyAlignment="1">
      <alignment wrapText="1"/>
    </xf>
    <xf numFmtId="0" fontId="20" fillId="0" borderId="0" xfId="27" applyFont="1" applyFill="1" applyBorder="1" applyAlignment="1">
      <alignment horizontal="center" wrapText="1"/>
    </xf>
    <xf numFmtId="4" fontId="9" fillId="0" borderId="0" xfId="27" applyNumberFormat="1" applyFont="1"/>
    <xf numFmtId="166" fontId="9" fillId="0" borderId="0" xfId="27" applyNumberFormat="1" applyFont="1"/>
    <xf numFmtId="49" fontId="9" fillId="0" borderId="0" xfId="27" applyNumberFormat="1" applyFont="1" applyBorder="1" applyAlignment="1">
      <alignment wrapText="1"/>
    </xf>
    <xf numFmtId="49" fontId="9" fillId="0" borderId="0" xfId="27" applyNumberFormat="1" applyFont="1" applyAlignment="1"/>
    <xf numFmtId="0" fontId="9" fillId="2" borderId="0" xfId="27" applyFont="1" applyFill="1"/>
    <xf numFmtId="0" fontId="9" fillId="2" borderId="0" xfId="27" applyFont="1" applyFill="1" applyBorder="1"/>
    <xf numFmtId="0" fontId="32" fillId="2" borderId="0" xfId="27" applyFont="1" applyFill="1" applyBorder="1"/>
    <xf numFmtId="0" fontId="33" fillId="2" borderId="0" xfId="27" applyFont="1" applyFill="1" applyBorder="1"/>
    <xf numFmtId="167" fontId="9" fillId="2" borderId="0" xfId="0" applyNumberFormat="1" applyFont="1" applyFill="1" applyBorder="1" applyAlignment="1" applyProtection="1">
      <protection hidden="1"/>
    </xf>
    <xf numFmtId="0" fontId="9" fillId="2" borderId="0" xfId="27" applyFont="1" applyFill="1" applyProtection="1"/>
    <xf numFmtId="0" fontId="8" fillId="2" borderId="0" xfId="27" applyFont="1" applyFill="1" applyBorder="1" applyAlignment="1">
      <alignment vertical="center"/>
    </xf>
    <xf numFmtId="0" fontId="9" fillId="2" borderId="0" xfId="27" applyFont="1" applyFill="1" applyProtection="1">
      <protection locked="0"/>
    </xf>
    <xf numFmtId="49" fontId="9" fillId="2" borderId="0" xfId="27" applyNumberFormat="1" applyFont="1" applyFill="1" applyBorder="1" applyAlignment="1">
      <alignment wrapText="1"/>
    </xf>
    <xf numFmtId="49" fontId="9" fillId="2" borderId="0" xfId="27" applyNumberFormat="1" applyFont="1" applyFill="1" applyAlignment="1">
      <alignment wrapText="1"/>
    </xf>
    <xf numFmtId="49" fontId="9" fillId="2" borderId="0" xfId="27" applyNumberFormat="1" applyFont="1" applyFill="1" applyAlignment="1"/>
    <xf numFmtId="167" fontId="22" fillId="2" borderId="0" xfId="0" applyNumberFormat="1" applyFont="1" applyFill="1" applyBorder="1" applyAlignment="1" applyProtection="1">
      <protection hidden="1"/>
    </xf>
    <xf numFmtId="0" fontId="9" fillId="0" borderId="0" xfId="0" applyFont="1"/>
    <xf numFmtId="0" fontId="31" fillId="0" borderId="0" xfId="0" applyFont="1" applyFill="1" applyAlignment="1">
      <alignment horizontal="center" vertical="center"/>
    </xf>
    <xf numFmtId="0" fontId="9" fillId="0" borderId="0" xfId="27" applyFont="1" applyFill="1" applyBorder="1" applyAlignment="1">
      <alignment horizontal="center" vertical="center" wrapText="1"/>
    </xf>
    <xf numFmtId="0" fontId="34" fillId="3" borderId="1" xfId="27" applyFont="1" applyFill="1" applyBorder="1" applyAlignment="1">
      <alignment vertical="center"/>
    </xf>
    <xf numFmtId="0" fontId="0" fillId="2" borderId="0" xfId="0" applyFill="1" applyProtection="1"/>
    <xf numFmtId="0" fontId="0" fillId="0" borderId="0" xfId="0" applyProtection="1"/>
    <xf numFmtId="0" fontId="0" fillId="2" borderId="0" xfId="0" applyFill="1" applyBorder="1" applyAlignment="1" applyProtection="1">
      <alignment vertical="justify" wrapText="1"/>
    </xf>
    <xf numFmtId="0" fontId="0" fillId="2" borderId="0" xfId="0" applyFill="1" applyBorder="1" applyProtection="1"/>
    <xf numFmtId="0" fontId="24" fillId="0" borderId="0" xfId="0" applyFont="1" applyProtection="1"/>
    <xf numFmtId="0" fontId="9" fillId="2" borderId="0" xfId="0" applyFont="1" applyFill="1" applyProtection="1"/>
    <xf numFmtId="0" fontId="23" fillId="2" borderId="0" xfId="0" applyFont="1" applyFill="1" applyProtection="1"/>
    <xf numFmtId="0" fontId="31" fillId="0" borderId="0" xfId="27" applyFont="1" applyFill="1" applyBorder="1" applyAlignment="1">
      <alignment vertical="center"/>
    </xf>
    <xf numFmtId="0" fontId="31" fillId="0" borderId="0" xfId="27" applyFont="1" applyFill="1" applyAlignment="1">
      <alignment vertical="center"/>
    </xf>
    <xf numFmtId="0" fontId="31" fillId="0" borderId="0" xfId="27" applyFont="1" applyFill="1" applyBorder="1" applyAlignment="1">
      <alignment horizontal="center" vertical="center"/>
    </xf>
    <xf numFmtId="2" fontId="31" fillId="0" borderId="0" xfId="27" applyNumberFormat="1" applyFont="1" applyFill="1" applyBorder="1" applyAlignment="1">
      <alignment vertical="center"/>
    </xf>
    <xf numFmtId="2" fontId="31" fillId="0" borderId="0" xfId="27" applyNumberFormat="1" applyFont="1" applyFill="1" applyBorder="1" applyAlignment="1">
      <alignment horizontal="left" vertical="center"/>
    </xf>
    <xf numFmtId="49" fontId="31" fillId="0" borderId="0" xfId="27" applyNumberFormat="1" applyFont="1" applyFill="1" applyBorder="1" applyAlignment="1">
      <alignment vertical="center"/>
    </xf>
    <xf numFmtId="0" fontId="31" fillId="4" borderId="0" xfId="0" applyFont="1" applyFill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31" fillId="0" borderId="0" xfId="27" applyFont="1" applyAlignment="1">
      <alignment vertical="center"/>
    </xf>
    <xf numFmtId="1" fontId="31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16" fontId="31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16" fontId="31" fillId="0" borderId="0" xfId="0" applyNumberFormat="1" applyFont="1" applyFill="1" applyBorder="1" applyAlignment="1">
      <alignment horizontal="left" vertical="center"/>
    </xf>
    <xf numFmtId="17" fontId="31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17" fontId="31" fillId="0" borderId="0" xfId="0" applyNumberFormat="1" applyFont="1" applyFill="1" applyAlignment="1">
      <alignment vertical="center"/>
    </xf>
    <xf numFmtId="4" fontId="31" fillId="0" borderId="0" xfId="27" applyNumberFormat="1" applyFont="1" applyFill="1" applyBorder="1" applyAlignment="1">
      <alignment vertical="center"/>
    </xf>
    <xf numFmtId="165" fontId="31" fillId="0" borderId="0" xfId="27" applyNumberFormat="1" applyFont="1" applyFill="1" applyBorder="1" applyAlignment="1">
      <alignment vertical="center"/>
    </xf>
    <xf numFmtId="4" fontId="35" fillId="0" borderId="0" xfId="27" applyNumberFormat="1" applyFont="1" applyFill="1" applyBorder="1" applyAlignment="1">
      <alignment vertical="center"/>
    </xf>
    <xf numFmtId="165" fontId="35" fillId="0" borderId="0" xfId="27" applyNumberFormat="1" applyFont="1" applyFill="1" applyBorder="1" applyAlignment="1">
      <alignment vertical="center"/>
    </xf>
    <xf numFmtId="49" fontId="31" fillId="0" borderId="0" xfId="27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17" fontId="9" fillId="0" borderId="0" xfId="0" applyNumberFormat="1" applyFont="1"/>
    <xf numFmtId="0" fontId="26" fillId="2" borderId="0" xfId="0" applyFont="1" applyFill="1" applyAlignment="1" applyProtection="1">
      <alignment horizontal="center"/>
    </xf>
    <xf numFmtId="167" fontId="22" fillId="2" borderId="0" xfId="0" applyNumberFormat="1" applyFont="1" applyFill="1" applyBorder="1" applyAlignment="1" applyProtection="1">
      <alignment horizontal="center"/>
      <protection hidden="1"/>
    </xf>
    <xf numFmtId="0" fontId="36" fillId="5" borderId="2" xfId="27" applyFont="1" applyFill="1" applyBorder="1" applyAlignment="1">
      <alignment horizontal="center" vertical="center" wrapText="1"/>
    </xf>
    <xf numFmtId="0" fontId="36" fillId="5" borderId="3" xfId="27" applyFont="1" applyFill="1" applyBorder="1" applyAlignment="1">
      <alignment horizontal="center" vertical="center" wrapText="1"/>
    </xf>
    <xf numFmtId="0" fontId="36" fillId="5" borderId="4" xfId="27" applyFont="1" applyFill="1" applyBorder="1" applyAlignment="1">
      <alignment horizontal="center" vertical="center" wrapText="1"/>
    </xf>
    <xf numFmtId="0" fontId="36" fillId="5" borderId="5" xfId="27" applyFont="1" applyFill="1" applyBorder="1" applyAlignment="1">
      <alignment horizontal="center" vertical="center" wrapText="1"/>
    </xf>
    <xf numFmtId="0" fontId="36" fillId="5" borderId="6" xfId="27" applyFont="1" applyFill="1" applyBorder="1" applyAlignment="1">
      <alignment horizontal="center" vertical="center" wrapText="1"/>
    </xf>
    <xf numFmtId="0" fontId="36" fillId="5" borderId="7" xfId="27" applyFont="1" applyFill="1" applyBorder="1" applyAlignment="1">
      <alignment horizontal="center" vertical="center" wrapText="1"/>
    </xf>
    <xf numFmtId="2" fontId="36" fillId="5" borderId="1" xfId="27" applyNumberFormat="1" applyFont="1" applyFill="1" applyBorder="1" applyAlignment="1">
      <alignment vertical="center"/>
    </xf>
    <xf numFmtId="2" fontId="36" fillId="2" borderId="8" xfId="27" applyNumberFormat="1" applyFont="1" applyFill="1" applyBorder="1" applyAlignment="1">
      <alignment vertical="center"/>
    </xf>
    <xf numFmtId="2" fontId="37" fillId="2" borderId="8" xfId="27" applyNumberFormat="1" applyFont="1" applyFill="1" applyBorder="1" applyAlignment="1">
      <alignment vertical="center"/>
    </xf>
    <xf numFmtId="2" fontId="36" fillId="2" borderId="8" xfId="27" applyNumberFormat="1" applyFont="1" applyFill="1" applyBorder="1" applyAlignment="1">
      <alignment vertical="center" wrapText="1"/>
    </xf>
    <xf numFmtId="2" fontId="36" fillId="2" borderId="9" xfId="27" applyNumberFormat="1" applyFont="1" applyFill="1" applyBorder="1" applyAlignment="1">
      <alignment vertical="center"/>
    </xf>
    <xf numFmtId="2" fontId="36" fillId="2" borderId="10" xfId="27" applyNumberFormat="1" applyFont="1" applyFill="1" applyBorder="1" applyAlignment="1">
      <alignment vertical="center"/>
    </xf>
    <xf numFmtId="2" fontId="37" fillId="2" borderId="1" xfId="27" applyNumberFormat="1" applyFont="1" applyFill="1" applyBorder="1" applyAlignment="1">
      <alignment vertical="center"/>
    </xf>
    <xf numFmtId="2" fontId="37" fillId="0" borderId="8" xfId="27" applyNumberFormat="1" applyFont="1" applyFill="1" applyBorder="1" applyAlignment="1">
      <alignment vertical="center"/>
    </xf>
    <xf numFmtId="2" fontId="36" fillId="2" borderId="6" xfId="27" applyNumberFormat="1" applyFont="1" applyFill="1" applyBorder="1" applyAlignment="1">
      <alignment vertical="center"/>
    </xf>
    <xf numFmtId="0" fontId="37" fillId="0" borderId="0" xfId="27" applyFont="1"/>
    <xf numFmtId="2" fontId="38" fillId="2" borderId="0" xfId="27" applyNumberFormat="1" applyFont="1" applyFill="1" applyBorder="1" applyAlignment="1">
      <alignment vertical="center"/>
    </xf>
    <xf numFmtId="2" fontId="37" fillId="2" borderId="0" xfId="27" applyNumberFormat="1" applyFont="1" applyFill="1" applyBorder="1" applyAlignment="1">
      <alignment wrapText="1"/>
    </xf>
    <xf numFmtId="0" fontId="20" fillId="2" borderId="0" xfId="27" applyFont="1" applyFill="1" applyBorder="1" applyAlignment="1"/>
    <xf numFmtId="0" fontId="20" fillId="2" borderId="0" xfId="27" applyFont="1" applyFill="1" applyBorder="1" applyAlignment="1">
      <alignment wrapText="1"/>
    </xf>
    <xf numFmtId="0" fontId="20" fillId="2" borderId="0" xfId="27" applyFont="1" applyFill="1" applyBorder="1" applyAlignment="1">
      <alignment horizontal="center" wrapText="1"/>
    </xf>
    <xf numFmtId="165" fontId="39" fillId="5" borderId="11" xfId="27" applyNumberFormat="1" applyFont="1" applyFill="1" applyBorder="1" applyAlignment="1">
      <alignment vertical="center"/>
    </xf>
    <xf numFmtId="4" fontId="39" fillId="5" borderId="12" xfId="27" applyNumberFormat="1" applyFont="1" applyFill="1" applyBorder="1" applyAlignment="1">
      <alignment vertical="center"/>
    </xf>
    <xf numFmtId="4" fontId="39" fillId="5" borderId="13" xfId="27" applyNumberFormat="1" applyFont="1" applyFill="1" applyBorder="1" applyAlignment="1">
      <alignment vertical="center"/>
    </xf>
    <xf numFmtId="165" fontId="39" fillId="2" borderId="14" xfId="27" applyNumberFormat="1" applyFont="1" applyFill="1" applyBorder="1" applyAlignment="1">
      <alignment vertical="center"/>
    </xf>
    <xf numFmtId="165" fontId="39" fillId="2" borderId="15" xfId="27" applyNumberFormat="1" applyFont="1" applyFill="1" applyBorder="1" applyAlignment="1">
      <alignment horizontal="right" vertical="center" wrapText="1"/>
    </xf>
    <xf numFmtId="165" fontId="40" fillId="2" borderId="14" xfId="27" applyNumberFormat="1" applyFont="1" applyFill="1" applyBorder="1" applyAlignment="1">
      <alignment vertical="center"/>
    </xf>
    <xf numFmtId="165" fontId="39" fillId="2" borderId="16" xfId="27" applyNumberFormat="1" applyFont="1" applyFill="1" applyBorder="1" applyAlignment="1">
      <alignment vertical="center"/>
    </xf>
    <xf numFmtId="165" fontId="40" fillId="2" borderId="11" xfId="27" applyNumberFormat="1" applyFont="1" applyFill="1" applyBorder="1" applyAlignment="1">
      <alignment vertical="center"/>
    </xf>
    <xf numFmtId="165" fontId="40" fillId="0" borderId="14" xfId="27" applyNumberFormat="1" applyFont="1" applyFill="1" applyBorder="1" applyAlignment="1">
      <alignment vertical="center"/>
    </xf>
    <xf numFmtId="3" fontId="11" fillId="2" borderId="0" xfId="0" applyNumberFormat="1" applyFont="1" applyFill="1" applyProtection="1"/>
    <xf numFmtId="3" fontId="11" fillId="2" borderId="17" xfId="0" applyNumberFormat="1" applyFont="1" applyFill="1" applyBorder="1" applyProtection="1"/>
    <xf numFmtId="0" fontId="27" fillId="2" borderId="0" xfId="0" applyFont="1" applyFill="1" applyProtection="1"/>
    <xf numFmtId="0" fontId="11" fillId="2" borderId="0" xfId="0" applyFont="1" applyFill="1" applyProtection="1"/>
    <xf numFmtId="0" fontId="11" fillId="2" borderId="0" xfId="0" applyFont="1" applyFill="1" applyAlignment="1" applyProtection="1">
      <alignment horizontal="right"/>
    </xf>
    <xf numFmtId="0" fontId="11" fillId="2" borderId="17" xfId="0" applyFont="1" applyFill="1" applyBorder="1" applyAlignment="1" applyProtection="1">
      <alignment horizontal="right"/>
    </xf>
    <xf numFmtId="0" fontId="27" fillId="2" borderId="0" xfId="0" applyFont="1" applyFill="1" applyBorder="1" applyProtection="1"/>
    <xf numFmtId="3" fontId="11" fillId="2" borderId="18" xfId="0" applyNumberFormat="1" applyFont="1" applyFill="1" applyBorder="1" applyProtection="1"/>
    <xf numFmtId="177" fontId="11" fillId="2" borderId="0" xfId="0" applyNumberFormat="1" applyFont="1" applyFill="1" applyProtection="1"/>
    <xf numFmtId="168" fontId="11" fillId="2" borderId="0" xfId="0" applyNumberFormat="1" applyFont="1" applyFill="1" applyProtection="1"/>
    <xf numFmtId="168" fontId="11" fillId="2" borderId="17" xfId="0" applyNumberFormat="1" applyFont="1" applyFill="1" applyBorder="1" applyProtection="1"/>
    <xf numFmtId="0" fontId="41" fillId="0" borderId="0" xfId="0" applyFont="1" applyProtection="1"/>
    <xf numFmtId="0" fontId="41" fillId="2" borderId="0" xfId="0" applyFont="1" applyFill="1" applyAlignment="1" applyProtection="1">
      <alignment horizontal="left"/>
    </xf>
    <xf numFmtId="0" fontId="41" fillId="2" borderId="0" xfId="0" applyFont="1" applyFill="1" applyProtection="1"/>
    <xf numFmtId="17" fontId="9" fillId="2" borderId="0" xfId="27" applyNumberFormat="1" applyFont="1" applyFill="1" applyBorder="1"/>
    <xf numFmtId="167" fontId="37" fillId="2" borderId="14" xfId="28" applyNumberFormat="1" applyFont="1" applyFill="1" applyBorder="1" applyAlignment="1">
      <alignment vertical="center"/>
    </xf>
    <xf numFmtId="167" fontId="39" fillId="5" borderId="11" xfId="27" applyNumberFormat="1" applyFont="1" applyFill="1" applyBorder="1" applyAlignment="1">
      <alignment vertical="center"/>
    </xf>
    <xf numFmtId="167" fontId="39" fillId="2" borderId="14" xfId="27" applyNumberFormat="1" applyFont="1" applyFill="1" applyBorder="1" applyAlignment="1">
      <alignment vertical="center"/>
    </xf>
    <xf numFmtId="167" fontId="40" fillId="2" borderId="14" xfId="27" applyNumberFormat="1" applyFont="1" applyFill="1" applyBorder="1" applyAlignment="1">
      <alignment vertical="center"/>
    </xf>
    <xf numFmtId="167" fontId="42" fillId="2" borderId="14" xfId="27" applyNumberFormat="1" applyFont="1" applyFill="1" applyBorder="1" applyAlignment="1">
      <alignment vertical="center"/>
    </xf>
    <xf numFmtId="167" fontId="39" fillId="2" borderId="16" xfId="27" applyNumberFormat="1" applyFont="1" applyFill="1" applyBorder="1" applyAlignment="1">
      <alignment vertical="center"/>
    </xf>
    <xf numFmtId="167" fontId="43" fillId="2" borderId="11" xfId="27" applyNumberFormat="1" applyFont="1" applyFill="1" applyBorder="1" applyAlignment="1">
      <alignment vertical="center"/>
    </xf>
    <xf numFmtId="167" fontId="40" fillId="0" borderId="14" xfId="27" applyNumberFormat="1" applyFont="1" applyFill="1" applyBorder="1" applyAlignment="1">
      <alignment vertical="center"/>
    </xf>
    <xf numFmtId="165" fontId="39" fillId="5" borderId="1" xfId="27" applyNumberFormat="1" applyFont="1" applyFill="1" applyBorder="1" applyAlignment="1">
      <alignment vertical="center"/>
    </xf>
    <xf numFmtId="165" fontId="42" fillId="2" borderId="14" xfId="27" applyNumberFormat="1" applyFont="1" applyFill="1" applyBorder="1" applyAlignment="1">
      <alignment vertical="center"/>
    </xf>
    <xf numFmtId="178" fontId="39" fillId="5" borderId="12" xfId="27" applyNumberFormat="1" applyFont="1" applyFill="1" applyBorder="1" applyAlignment="1">
      <alignment vertical="center"/>
    </xf>
    <xf numFmtId="167" fontId="43" fillId="2" borderId="14" xfId="27" applyNumberFormat="1" applyFont="1" applyFill="1" applyBorder="1" applyAlignment="1">
      <alignment vertical="center"/>
    </xf>
    <xf numFmtId="4" fontId="39" fillId="2" borderId="19" xfId="27" applyNumberFormat="1" applyFont="1" applyFill="1" applyBorder="1" applyAlignment="1">
      <alignment vertical="center"/>
    </xf>
    <xf numFmtId="4" fontId="39" fillId="2" borderId="20" xfId="27" applyNumberFormat="1" applyFont="1" applyFill="1" applyBorder="1" applyAlignment="1">
      <alignment vertical="center"/>
    </xf>
    <xf numFmtId="4" fontId="39" fillId="2" borderId="21" xfId="27" applyNumberFormat="1" applyFont="1" applyFill="1" applyBorder="1" applyAlignment="1">
      <alignment vertical="center"/>
    </xf>
    <xf numFmtId="178" fontId="39" fillId="2" borderId="19" xfId="27" applyNumberFormat="1" applyFont="1" applyFill="1" applyBorder="1" applyAlignment="1">
      <alignment vertical="center"/>
    </xf>
    <xf numFmtId="178" fontId="39" fillId="2" borderId="20" xfId="27" applyNumberFormat="1" applyFont="1" applyFill="1" applyBorder="1" applyAlignment="1">
      <alignment vertical="center"/>
    </xf>
    <xf numFmtId="178" fontId="39" fillId="2" borderId="21" xfId="27" applyNumberFormat="1" applyFont="1" applyFill="1" applyBorder="1" applyAlignment="1">
      <alignment vertical="center"/>
    </xf>
    <xf numFmtId="4" fontId="39" fillId="5" borderId="22" xfId="27" applyNumberFormat="1" applyFont="1" applyFill="1" applyBorder="1" applyAlignment="1">
      <alignment vertical="center"/>
    </xf>
    <xf numFmtId="4" fontId="39" fillId="2" borderId="23" xfId="27" applyNumberFormat="1" applyFont="1" applyFill="1" applyBorder="1" applyAlignment="1">
      <alignment vertical="center"/>
    </xf>
    <xf numFmtId="4" fontId="39" fillId="2" borderId="3" xfId="27" applyNumberFormat="1" applyFont="1" applyFill="1" applyBorder="1" applyAlignment="1">
      <alignment vertical="center"/>
    </xf>
    <xf numFmtId="178" fontId="39" fillId="2" borderId="23" xfId="27" applyNumberFormat="1" applyFont="1" applyFill="1" applyBorder="1" applyAlignment="1">
      <alignment vertical="center"/>
    </xf>
    <xf numFmtId="178" fontId="39" fillId="2" borderId="3" xfId="27" applyNumberFormat="1" applyFont="1" applyFill="1" applyBorder="1" applyAlignment="1">
      <alignment vertical="center"/>
    </xf>
    <xf numFmtId="4" fontId="39" fillId="2" borderId="12" xfId="27" applyNumberFormat="1" applyFont="1" applyFill="1" applyBorder="1" applyAlignment="1">
      <alignment vertical="center"/>
    </xf>
    <xf numFmtId="4" fontId="39" fillId="2" borderId="13" xfId="27" applyNumberFormat="1" applyFont="1" applyFill="1" applyBorder="1" applyAlignment="1">
      <alignment vertical="center"/>
    </xf>
    <xf numFmtId="178" fontId="39" fillId="2" borderId="12" xfId="27" applyNumberFormat="1" applyFont="1" applyFill="1" applyBorder="1" applyAlignment="1">
      <alignment vertical="center"/>
    </xf>
    <xf numFmtId="4" fontId="39" fillId="2" borderId="4" xfId="27" applyNumberFormat="1" applyFont="1" applyFill="1" applyBorder="1" applyAlignment="1">
      <alignment vertical="center"/>
    </xf>
    <xf numFmtId="165" fontId="39" fillId="2" borderId="15" xfId="27" applyNumberFormat="1" applyFont="1" applyFill="1" applyBorder="1" applyAlignment="1">
      <alignment vertical="center"/>
    </xf>
    <xf numFmtId="4" fontId="39" fillId="2" borderId="24" xfId="27" applyNumberFormat="1" applyFont="1" applyFill="1" applyBorder="1" applyAlignment="1">
      <alignment vertical="center"/>
    </xf>
    <xf numFmtId="167" fontId="39" fillId="2" borderId="15" xfId="27" applyNumberFormat="1" applyFont="1" applyFill="1" applyBorder="1" applyAlignment="1">
      <alignment vertical="center"/>
    </xf>
    <xf numFmtId="165" fontId="40" fillId="2" borderId="16" xfId="27" applyNumberFormat="1" applyFont="1" applyFill="1" applyBorder="1" applyAlignment="1">
      <alignment vertical="center"/>
    </xf>
    <xf numFmtId="4" fontId="39" fillId="6" borderId="22" xfId="27" applyNumberFormat="1" applyFont="1" applyFill="1" applyBorder="1" applyAlignment="1">
      <alignment vertical="center"/>
    </xf>
    <xf numFmtId="0" fontId="37" fillId="2" borderId="0" xfId="28" applyFont="1" applyFill="1"/>
    <xf numFmtId="0" fontId="37" fillId="2" borderId="0" xfId="28" applyFont="1" applyFill="1" applyProtection="1">
      <protection locked="0"/>
    </xf>
    <xf numFmtId="0" fontId="44" fillId="5" borderId="25" xfId="28" applyFont="1" applyFill="1" applyBorder="1" applyAlignment="1">
      <alignment vertical="center"/>
    </xf>
    <xf numFmtId="2" fontId="36" fillId="5" borderId="26" xfId="28" applyNumberFormat="1" applyFont="1" applyFill="1" applyBorder="1" applyAlignment="1">
      <alignment vertical="center"/>
    </xf>
    <xf numFmtId="2" fontId="36" fillId="2" borderId="27" xfId="28" applyNumberFormat="1" applyFont="1" applyFill="1" applyBorder="1" applyAlignment="1">
      <alignment vertical="center"/>
    </xf>
    <xf numFmtId="167" fontId="36" fillId="2" borderId="14" xfId="28" applyNumberFormat="1" applyFont="1" applyFill="1" applyBorder="1" applyAlignment="1">
      <alignment vertical="center"/>
    </xf>
    <xf numFmtId="2" fontId="37" fillId="2" borderId="27" xfId="28" applyNumberFormat="1" applyFont="1" applyFill="1" applyBorder="1" applyAlignment="1">
      <alignment vertical="center"/>
    </xf>
    <xf numFmtId="178" fontId="37" fillId="2" borderId="14" xfId="28" applyNumberFormat="1" applyFont="1" applyFill="1" applyBorder="1" applyAlignment="1">
      <alignment vertical="center"/>
    </xf>
    <xf numFmtId="0" fontId="45" fillId="7" borderId="9" xfId="28" applyFont="1" applyFill="1" applyBorder="1" applyAlignment="1">
      <alignment horizontal="center" vertical="center"/>
    </xf>
    <xf numFmtId="178" fontId="0" fillId="0" borderId="0" xfId="0" applyNumberFormat="1"/>
    <xf numFmtId="178" fontId="20" fillId="0" borderId="0" xfId="0" applyNumberFormat="1" applyFont="1"/>
    <xf numFmtId="2" fontId="35" fillId="2" borderId="27" xfId="28" applyNumberFormat="1" applyFont="1" applyFill="1" applyBorder="1" applyAlignment="1">
      <alignment vertical="center"/>
    </xf>
    <xf numFmtId="2" fontId="31" fillId="2" borderId="27" xfId="28" applyNumberFormat="1" applyFont="1" applyFill="1" applyBorder="1" applyAlignment="1">
      <alignment vertical="center"/>
    </xf>
    <xf numFmtId="2" fontId="36" fillId="2" borderId="28" xfId="28" applyNumberFormat="1" applyFont="1" applyFill="1" applyBorder="1" applyAlignment="1">
      <alignment vertical="center"/>
    </xf>
    <xf numFmtId="167" fontId="36" fillId="2" borderId="29" xfId="28" applyNumberFormat="1" applyFont="1" applyFill="1" applyBorder="1" applyAlignment="1">
      <alignment vertical="center"/>
    </xf>
    <xf numFmtId="167" fontId="36" fillId="5" borderId="6" xfId="28" applyNumberFormat="1" applyFont="1" applyFill="1" applyBorder="1" applyAlignment="1">
      <alignment vertical="center"/>
    </xf>
    <xf numFmtId="0" fontId="46" fillId="5" borderId="26" xfId="28" applyFont="1" applyFill="1" applyBorder="1" applyAlignment="1">
      <alignment vertical="center"/>
    </xf>
    <xf numFmtId="0" fontId="36" fillId="5" borderId="26" xfId="27" applyFont="1" applyFill="1" applyBorder="1" applyAlignment="1">
      <alignment horizontal="center" vertical="center" wrapText="1"/>
    </xf>
    <xf numFmtId="167" fontId="36" fillId="5" borderId="26" xfId="28" applyNumberFormat="1" applyFont="1" applyFill="1" applyBorder="1" applyAlignment="1">
      <alignment vertical="center"/>
    </xf>
    <xf numFmtId="0" fontId="36" fillId="5" borderId="26" xfId="28" applyFont="1" applyFill="1" applyBorder="1" applyAlignment="1">
      <alignment horizontal="center" vertical="center"/>
    </xf>
    <xf numFmtId="167" fontId="36" fillId="5" borderId="9" xfId="28" applyNumberFormat="1" applyFont="1" applyFill="1" applyBorder="1" applyAlignment="1">
      <alignment vertical="center"/>
    </xf>
    <xf numFmtId="167" fontId="36" fillId="2" borderId="30" xfId="28" applyNumberFormat="1" applyFont="1" applyFill="1" applyBorder="1" applyAlignment="1">
      <alignment vertical="center"/>
    </xf>
    <xf numFmtId="4" fontId="37" fillId="2" borderId="30" xfId="28" applyNumberFormat="1" applyFont="1" applyFill="1" applyBorder="1" applyAlignment="1">
      <alignment vertical="center"/>
    </xf>
    <xf numFmtId="4" fontId="36" fillId="2" borderId="30" xfId="28" applyNumberFormat="1" applyFont="1" applyFill="1" applyBorder="1" applyAlignment="1">
      <alignment vertical="center"/>
    </xf>
    <xf numFmtId="178" fontId="37" fillId="2" borderId="30" xfId="28" applyNumberFormat="1" applyFont="1" applyFill="1" applyBorder="1" applyAlignment="1">
      <alignment vertical="center"/>
    </xf>
    <xf numFmtId="2" fontId="36" fillId="5" borderId="9" xfId="28" applyNumberFormat="1" applyFont="1" applyFill="1" applyBorder="1" applyAlignment="1">
      <alignment vertical="center"/>
    </xf>
    <xf numFmtId="2" fontId="35" fillId="2" borderId="30" xfId="28" applyNumberFormat="1" applyFont="1" applyFill="1" applyBorder="1" applyAlignment="1">
      <alignment vertical="center"/>
    </xf>
    <xf numFmtId="2" fontId="37" fillId="2" borderId="30" xfId="28" applyNumberFormat="1" applyFont="1" applyFill="1" applyBorder="1" applyAlignment="1">
      <alignment vertical="center"/>
    </xf>
    <xf numFmtId="2" fontId="31" fillId="2" borderId="30" xfId="28" applyNumberFormat="1" applyFont="1" applyFill="1" applyBorder="1" applyAlignment="1">
      <alignment vertical="center"/>
    </xf>
    <xf numFmtId="2" fontId="36" fillId="2" borderId="30" xfId="28" applyNumberFormat="1" applyFont="1" applyFill="1" applyBorder="1" applyAlignment="1">
      <alignment vertical="center" wrapText="1"/>
    </xf>
    <xf numFmtId="2" fontId="36" fillId="2" borderId="30" xfId="28" applyNumberFormat="1" applyFont="1" applyFill="1" applyBorder="1" applyAlignment="1">
      <alignment vertical="center"/>
    </xf>
    <xf numFmtId="0" fontId="37" fillId="2" borderId="0" xfId="0" applyFont="1" applyFill="1"/>
    <xf numFmtId="0" fontId="37" fillId="0" borderId="0" xfId="0" applyFont="1"/>
    <xf numFmtId="0" fontId="37" fillId="2" borderId="0" xfId="0" applyFont="1" applyFill="1" applyBorder="1"/>
    <xf numFmtId="0" fontId="37" fillId="0" borderId="0" xfId="0" applyFont="1" applyBorder="1"/>
    <xf numFmtId="0" fontId="36" fillId="2" borderId="0" xfId="0" applyFont="1" applyFill="1"/>
    <xf numFmtId="0" fontId="37" fillId="2" borderId="0" xfId="0" applyFont="1" applyFill="1" applyAlignment="1"/>
    <xf numFmtId="0" fontId="47" fillId="8" borderId="1" xfId="28" applyFont="1" applyFill="1" applyBorder="1" applyAlignment="1">
      <alignment vertical="center"/>
    </xf>
    <xf numFmtId="0" fontId="37" fillId="0" borderId="0" xfId="0" applyFont="1" applyFill="1" applyBorder="1"/>
    <xf numFmtId="0" fontId="37" fillId="0" borderId="0" xfId="0" applyFont="1" applyFill="1"/>
    <xf numFmtId="0" fontId="36" fillId="9" borderId="6" xfId="0" applyFont="1" applyFill="1" applyBorder="1" applyAlignment="1">
      <alignment horizontal="center" vertical="center" wrapText="1"/>
    </xf>
    <xf numFmtId="0" fontId="36" fillId="9" borderId="20" xfId="0" applyFont="1" applyFill="1" applyBorder="1" applyAlignment="1">
      <alignment horizontal="center" vertical="center" wrapText="1"/>
    </xf>
    <xf numFmtId="2" fontId="36" fillId="9" borderId="1" xfId="0" applyNumberFormat="1" applyFont="1" applyFill="1" applyBorder="1" applyAlignment="1">
      <alignment horizontal="left" vertical="center" wrapText="1"/>
    </xf>
    <xf numFmtId="165" fontId="36" fillId="9" borderId="11" xfId="0" applyNumberFormat="1" applyFont="1" applyFill="1" applyBorder="1"/>
    <xf numFmtId="4" fontId="36" fillId="9" borderId="22" xfId="0" applyNumberFormat="1" applyFont="1" applyFill="1" applyBorder="1"/>
    <xf numFmtId="0" fontId="36" fillId="2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2" fontId="36" fillId="2" borderId="9" xfId="0" applyNumberFormat="1" applyFont="1" applyFill="1" applyBorder="1" applyAlignment="1">
      <alignment vertical="center" wrapText="1"/>
    </xf>
    <xf numFmtId="165" fontId="36" fillId="2" borderId="15" xfId="0" applyNumberFormat="1" applyFont="1" applyFill="1" applyBorder="1"/>
    <xf numFmtId="4" fontId="36" fillId="2" borderId="19" xfId="0" applyNumberFormat="1" applyFont="1" applyFill="1" applyBorder="1"/>
    <xf numFmtId="167" fontId="36" fillId="2" borderId="15" xfId="0" applyNumberFormat="1" applyFont="1" applyFill="1" applyBorder="1"/>
    <xf numFmtId="0" fontId="36" fillId="2" borderId="0" xfId="0" applyFont="1" applyFill="1" applyBorder="1" applyAlignment="1">
      <alignment wrapText="1"/>
    </xf>
    <xf numFmtId="0" fontId="36" fillId="0" borderId="0" xfId="0" applyFont="1" applyFill="1" applyBorder="1" applyAlignment="1">
      <alignment wrapText="1"/>
    </xf>
    <xf numFmtId="2" fontId="37" fillId="2" borderId="27" xfId="0" applyNumberFormat="1" applyFont="1" applyFill="1" applyBorder="1" applyAlignment="1">
      <alignment vertical="center" wrapText="1"/>
    </xf>
    <xf numFmtId="165" fontId="37" fillId="2" borderId="14" xfId="0" applyNumberFormat="1" applyFont="1" applyFill="1" applyBorder="1"/>
    <xf numFmtId="4" fontId="37" fillId="2" borderId="20" xfId="0" applyNumberFormat="1" applyFont="1" applyFill="1" applyBorder="1"/>
    <xf numFmtId="4" fontId="36" fillId="2" borderId="20" xfId="0" applyNumberFormat="1" applyFont="1" applyFill="1" applyBorder="1"/>
    <xf numFmtId="167" fontId="37" fillId="2" borderId="14" xfId="0" applyNumberFormat="1" applyFont="1" applyFill="1" applyBorder="1"/>
    <xf numFmtId="0" fontId="37" fillId="0" borderId="0" xfId="0" applyFont="1" applyFill="1" applyBorder="1" applyAlignment="1">
      <alignment horizontal="right"/>
    </xf>
    <xf numFmtId="2" fontId="36" fillId="2" borderId="27" xfId="0" applyNumberFormat="1" applyFont="1" applyFill="1" applyBorder="1" applyAlignment="1">
      <alignment vertical="center" wrapText="1"/>
    </xf>
    <xf numFmtId="165" fontId="36" fillId="2" borderId="14" xfId="0" applyNumberFormat="1" applyFont="1" applyFill="1" applyBorder="1"/>
    <xf numFmtId="167" fontId="36" fillId="2" borderId="14" xfId="0" applyNumberFormat="1" applyFont="1" applyFill="1" applyBorder="1"/>
    <xf numFmtId="165" fontId="37" fillId="2" borderId="27" xfId="0" applyNumberFormat="1" applyFont="1" applyFill="1" applyBorder="1"/>
    <xf numFmtId="0" fontId="36" fillId="0" borderId="0" xfId="0" applyFont="1" applyFill="1" applyBorder="1" applyAlignment="1">
      <alignment horizontal="right"/>
    </xf>
    <xf numFmtId="0" fontId="48" fillId="0" borderId="0" xfId="0" applyFont="1" applyFill="1" applyBorder="1" applyAlignment="1"/>
    <xf numFmtId="0" fontId="37" fillId="0" borderId="0" xfId="0" applyFont="1" applyFill="1" applyBorder="1" applyAlignment="1">
      <alignment wrapText="1"/>
    </xf>
    <xf numFmtId="0" fontId="48" fillId="0" borderId="0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/>
    </xf>
    <xf numFmtId="2" fontId="37" fillId="0" borderId="0" xfId="0" applyNumberFormat="1" applyFont="1" applyFill="1" applyBorder="1" applyAlignment="1">
      <alignment horizontal="right"/>
    </xf>
    <xf numFmtId="4" fontId="37" fillId="0" borderId="0" xfId="0" applyNumberFormat="1" applyFont="1" applyFill="1" applyBorder="1"/>
    <xf numFmtId="0" fontId="49" fillId="0" borderId="0" xfId="0" applyFont="1" applyFill="1" applyBorder="1"/>
    <xf numFmtId="2" fontId="36" fillId="0" borderId="0" xfId="0" applyNumberFormat="1" applyFont="1" applyFill="1" applyBorder="1" applyAlignment="1">
      <alignment horizontal="right"/>
    </xf>
    <xf numFmtId="2" fontId="36" fillId="2" borderId="26" xfId="0" applyNumberFormat="1" applyFont="1" applyFill="1" applyBorder="1" applyAlignment="1">
      <alignment vertical="center" wrapText="1"/>
    </xf>
    <xf numFmtId="165" fontId="36" fillId="2" borderId="11" xfId="0" applyNumberFormat="1" applyFont="1" applyFill="1" applyBorder="1"/>
    <xf numFmtId="4" fontId="36" fillId="2" borderId="22" xfId="0" applyNumberFormat="1" applyFont="1" applyFill="1" applyBorder="1"/>
    <xf numFmtId="165" fontId="50" fillId="2" borderId="11" xfId="0" applyNumberFormat="1" applyFont="1" applyFill="1" applyBorder="1"/>
    <xf numFmtId="4" fontId="50" fillId="2" borderId="22" xfId="0" applyNumberFormat="1" applyFont="1" applyFill="1" applyBorder="1"/>
    <xf numFmtId="167" fontId="36" fillId="2" borderId="11" xfId="0" applyNumberFormat="1" applyFont="1" applyFill="1" applyBorder="1"/>
    <xf numFmtId="49" fontId="36" fillId="2" borderId="27" xfId="0" applyNumberFormat="1" applyFont="1" applyFill="1" applyBorder="1" applyAlignment="1">
      <alignment vertical="center" wrapText="1"/>
    </xf>
    <xf numFmtId="165" fontId="36" fillId="2" borderId="8" xfId="0" applyNumberFormat="1" applyFont="1" applyFill="1" applyBorder="1"/>
    <xf numFmtId="4" fontId="36" fillId="2" borderId="31" xfId="0" applyNumberFormat="1" applyFont="1" applyFill="1" applyBorder="1"/>
    <xf numFmtId="4" fontId="36" fillId="2" borderId="21" xfId="0" applyNumberFormat="1" applyFont="1" applyFill="1" applyBorder="1"/>
    <xf numFmtId="165" fontId="36" fillId="2" borderId="16" xfId="0" applyNumberFormat="1" applyFont="1" applyFill="1" applyBorder="1"/>
    <xf numFmtId="2" fontId="36" fillId="9" borderId="26" xfId="0" applyNumberFormat="1" applyFont="1" applyFill="1" applyBorder="1" applyAlignment="1">
      <alignment vertical="center"/>
    </xf>
    <xf numFmtId="165" fontId="36" fillId="9" borderId="32" xfId="0" applyNumberFormat="1" applyFont="1" applyFill="1" applyBorder="1"/>
    <xf numFmtId="2" fontId="36" fillId="9" borderId="26" xfId="0" applyNumberFormat="1" applyFont="1" applyFill="1" applyBorder="1" applyAlignment="1">
      <alignment horizontal="left" vertical="center"/>
    </xf>
    <xf numFmtId="165" fontId="36" fillId="9" borderId="1" xfId="0" applyNumberFormat="1" applyFont="1" applyFill="1" applyBorder="1"/>
    <xf numFmtId="4" fontId="36" fillId="9" borderId="12" xfId="0" applyNumberFormat="1" applyFont="1" applyFill="1" applyBorder="1"/>
    <xf numFmtId="167" fontId="36" fillId="9" borderId="11" xfId="0" applyNumberFormat="1" applyFont="1" applyFill="1" applyBorder="1"/>
    <xf numFmtId="49" fontId="36" fillId="2" borderId="9" xfId="0" applyNumberFormat="1" applyFont="1" applyFill="1" applyBorder="1" applyAlignment="1">
      <alignment vertical="center" wrapText="1"/>
    </xf>
    <xf numFmtId="49" fontId="37" fillId="2" borderId="27" xfId="0" applyNumberFormat="1" applyFont="1" applyFill="1" applyBorder="1" applyAlignment="1">
      <alignment vertical="center" wrapText="1"/>
    </xf>
    <xf numFmtId="166" fontId="37" fillId="0" borderId="0" xfId="0" applyNumberFormat="1" applyFont="1" applyFill="1" applyBorder="1"/>
    <xf numFmtId="167" fontId="31" fillId="2" borderId="14" xfId="0" applyNumberFormat="1" applyFont="1" applyFill="1" applyBorder="1"/>
    <xf numFmtId="4" fontId="31" fillId="2" borderId="20" xfId="0" applyNumberFormat="1" applyFont="1" applyFill="1" applyBorder="1"/>
    <xf numFmtId="0" fontId="36" fillId="2" borderId="0" xfId="0" applyFont="1" applyFill="1" applyBorder="1"/>
    <xf numFmtId="0" fontId="36" fillId="0" borderId="0" xfId="0" applyFont="1" applyFill="1" applyBorder="1"/>
    <xf numFmtId="0" fontId="36" fillId="0" borderId="0" xfId="0" applyFont="1" applyFill="1"/>
    <xf numFmtId="0" fontId="36" fillId="0" borderId="0" xfId="0" applyFont="1"/>
    <xf numFmtId="49" fontId="37" fillId="2" borderId="26" xfId="0" applyNumberFormat="1" applyFont="1" applyFill="1" applyBorder="1" applyAlignment="1">
      <alignment vertical="center" wrapText="1"/>
    </xf>
    <xf numFmtId="49" fontId="36" fillId="2" borderId="26" xfId="0" applyNumberFormat="1" applyFont="1" applyFill="1" applyBorder="1" applyAlignment="1">
      <alignment vertical="center" wrapText="1"/>
    </xf>
    <xf numFmtId="165" fontId="36" fillId="2" borderId="1" xfId="0" applyNumberFormat="1" applyFont="1" applyFill="1" applyBorder="1"/>
    <xf numFmtId="4" fontId="36" fillId="2" borderId="12" xfId="0" applyNumberFormat="1" applyFont="1" applyFill="1" applyBorder="1"/>
    <xf numFmtId="49" fontId="36" fillId="9" borderId="26" xfId="0" applyNumberFormat="1" applyFont="1" applyFill="1" applyBorder="1" applyAlignment="1">
      <alignment vertical="center" wrapText="1"/>
    </xf>
    <xf numFmtId="165" fontId="36" fillId="9" borderId="13" xfId="0" applyNumberFormat="1" applyFont="1" applyFill="1" applyBorder="1"/>
    <xf numFmtId="49" fontId="37" fillId="2" borderId="9" xfId="0" applyNumberFormat="1" applyFont="1" applyFill="1" applyBorder="1" applyAlignment="1">
      <alignment vertical="center" wrapText="1"/>
    </xf>
    <xf numFmtId="165" fontId="37" fillId="2" borderId="33" xfId="0" applyNumberFormat="1" applyFont="1" applyFill="1" applyBorder="1"/>
    <xf numFmtId="4" fontId="37" fillId="2" borderId="34" xfId="0" applyNumberFormat="1" applyFont="1" applyFill="1" applyBorder="1"/>
    <xf numFmtId="165" fontId="37" fillId="2" borderId="15" xfId="0" applyNumberFormat="1" applyFont="1" applyFill="1" applyBorder="1"/>
    <xf numFmtId="4" fontId="37" fillId="2" borderId="35" xfId="0" applyNumberFormat="1" applyFont="1" applyFill="1" applyBorder="1"/>
    <xf numFmtId="167" fontId="37" fillId="2" borderId="15" xfId="0" applyNumberFormat="1" applyFont="1" applyFill="1" applyBorder="1"/>
    <xf numFmtId="165" fontId="37" fillId="2" borderId="8" xfId="0" applyNumberFormat="1" applyFont="1" applyFill="1" applyBorder="1"/>
    <xf numFmtId="4" fontId="37" fillId="2" borderId="36" xfId="0" applyNumberFormat="1" applyFont="1" applyFill="1" applyBorder="1"/>
    <xf numFmtId="4" fontId="37" fillId="2" borderId="37" xfId="0" applyNumberFormat="1" applyFont="1" applyFill="1" applyBorder="1"/>
    <xf numFmtId="165" fontId="31" fillId="2" borderId="14" xfId="0" applyNumberFormat="1" applyFont="1" applyFill="1" applyBorder="1"/>
    <xf numFmtId="165" fontId="31" fillId="2" borderId="8" xfId="0" applyNumberFormat="1" applyFont="1" applyFill="1" applyBorder="1"/>
    <xf numFmtId="4" fontId="31" fillId="2" borderId="21" xfId="0" applyNumberFormat="1" applyFont="1" applyFill="1" applyBorder="1"/>
    <xf numFmtId="0" fontId="37" fillId="2" borderId="9" xfId="0" applyNumberFormat="1" applyFont="1" applyFill="1" applyBorder="1" applyAlignment="1">
      <alignment vertical="center" wrapText="1"/>
    </xf>
    <xf numFmtId="4" fontId="37" fillId="2" borderId="19" xfId="0" applyNumberFormat="1" applyFont="1" applyFill="1" applyBorder="1"/>
    <xf numFmtId="4" fontId="37" fillId="2" borderId="23" xfId="0" applyNumberFormat="1" applyFont="1" applyFill="1" applyBorder="1"/>
    <xf numFmtId="0" fontId="37" fillId="2" borderId="27" xfId="0" applyNumberFormat="1" applyFont="1" applyFill="1" applyBorder="1" applyAlignment="1">
      <alignment vertical="center" wrapText="1"/>
    </xf>
    <xf numFmtId="4" fontId="37" fillId="2" borderId="31" xfId="0" applyNumberFormat="1" applyFont="1" applyFill="1" applyBorder="1"/>
    <xf numFmtId="165" fontId="37" fillId="2" borderId="14" xfId="0" applyNumberFormat="1" applyFont="1" applyFill="1" applyBorder="1" applyAlignment="1">
      <alignment vertical="center"/>
    </xf>
    <xf numFmtId="49" fontId="37" fillId="2" borderId="10" xfId="0" applyNumberFormat="1" applyFont="1" applyFill="1" applyBorder="1" applyAlignment="1">
      <alignment vertical="center" wrapText="1"/>
    </xf>
    <xf numFmtId="165" fontId="37" fillId="2" borderId="6" xfId="0" applyNumberFormat="1" applyFont="1" applyFill="1" applyBorder="1"/>
    <xf numFmtId="4" fontId="37" fillId="2" borderId="21" xfId="0" applyNumberFormat="1" applyFont="1" applyFill="1" applyBorder="1"/>
    <xf numFmtId="4" fontId="37" fillId="2" borderId="3" xfId="0" applyNumberFormat="1" applyFont="1" applyFill="1" applyBorder="1"/>
    <xf numFmtId="2" fontId="38" fillId="2" borderId="0" xfId="28" applyNumberFormat="1" applyFont="1" applyFill="1" applyBorder="1" applyAlignment="1">
      <alignment vertical="center"/>
    </xf>
    <xf numFmtId="0" fontId="51" fillId="2" borderId="0" xfId="0" applyFont="1" applyFill="1"/>
    <xf numFmtId="180" fontId="37" fillId="2" borderId="0" xfId="0" applyNumberFormat="1" applyFont="1" applyFill="1"/>
    <xf numFmtId="2" fontId="37" fillId="2" borderId="0" xfId="0" applyNumberFormat="1" applyFont="1" applyFill="1"/>
    <xf numFmtId="2" fontId="36" fillId="2" borderId="0" xfId="0" applyNumberFormat="1" applyFont="1" applyFill="1" applyBorder="1" applyAlignment="1">
      <alignment wrapText="1"/>
    </xf>
    <xf numFmtId="49" fontId="37" fillId="2" borderId="0" xfId="0" applyNumberFormat="1" applyFont="1" applyFill="1" applyAlignment="1">
      <alignment wrapText="1"/>
    </xf>
    <xf numFmtId="49" fontId="37" fillId="2" borderId="0" xfId="0" applyNumberFormat="1" applyFont="1" applyFill="1" applyBorder="1" applyAlignment="1">
      <alignment wrapText="1"/>
    </xf>
    <xf numFmtId="49" fontId="36" fillId="2" borderId="0" xfId="0" applyNumberFormat="1" applyFont="1" applyFill="1" applyBorder="1" applyAlignment="1">
      <alignment wrapText="1"/>
    </xf>
    <xf numFmtId="49" fontId="37" fillId="0" borderId="0" xfId="0" applyNumberFormat="1" applyFont="1" applyAlignment="1">
      <alignment wrapText="1"/>
    </xf>
    <xf numFmtId="2" fontId="37" fillId="2" borderId="0" xfId="28" applyNumberFormat="1" applyFont="1" applyFill="1"/>
    <xf numFmtId="0" fontId="37" fillId="0" borderId="0" xfId="28" applyFont="1"/>
    <xf numFmtId="165" fontId="37" fillId="0" borderId="38" xfId="28" applyNumberFormat="1" applyFont="1" applyBorder="1" applyAlignment="1">
      <alignment horizontal="right" vertical="center"/>
    </xf>
    <xf numFmtId="0" fontId="36" fillId="2" borderId="0" xfId="28" applyFont="1" applyFill="1" applyBorder="1"/>
    <xf numFmtId="0" fontId="37" fillId="2" borderId="0" xfId="28" applyFont="1" applyFill="1" applyBorder="1"/>
    <xf numFmtId="167" fontId="36" fillId="2" borderId="0" xfId="28" applyNumberFormat="1" applyFont="1" applyFill="1" applyBorder="1" applyAlignment="1" applyProtection="1">
      <protection hidden="1"/>
    </xf>
    <xf numFmtId="4" fontId="37" fillId="2" borderId="0" xfId="28" applyNumberFormat="1" applyFont="1" applyFill="1"/>
    <xf numFmtId="167" fontId="37" fillId="2" borderId="0" xfId="28" applyNumberFormat="1" applyFont="1" applyFill="1" applyProtection="1">
      <protection hidden="1"/>
    </xf>
    <xf numFmtId="167" fontId="52" fillId="2" borderId="0" xfId="28" applyNumberFormat="1" applyFont="1" applyFill="1" applyProtection="1">
      <protection hidden="1"/>
    </xf>
    <xf numFmtId="165" fontId="37" fillId="0" borderId="39" xfId="28" applyNumberFormat="1" applyFont="1" applyBorder="1" applyAlignment="1">
      <alignment horizontal="right" vertical="center"/>
    </xf>
    <xf numFmtId="165" fontId="37" fillId="2" borderId="0" xfId="28" applyNumberFormat="1" applyFont="1" applyFill="1" applyBorder="1"/>
    <xf numFmtId="0" fontId="37" fillId="0" borderId="0" xfId="28" applyFont="1" applyFill="1" applyBorder="1"/>
    <xf numFmtId="165" fontId="37" fillId="0" borderId="0" xfId="28" applyNumberFormat="1" applyFont="1" applyFill="1" applyBorder="1" applyAlignment="1">
      <alignment horizontal="right" vertical="center"/>
    </xf>
    <xf numFmtId="167" fontId="37" fillId="2" borderId="0" xfId="28" applyNumberFormat="1" applyFont="1" applyFill="1" applyBorder="1" applyAlignment="1" applyProtection="1">
      <alignment vertical="center"/>
      <protection hidden="1"/>
    </xf>
    <xf numFmtId="0" fontId="37" fillId="2" borderId="0" xfId="28" applyFont="1" applyFill="1" applyAlignment="1"/>
    <xf numFmtId="0" fontId="47" fillId="10" borderId="1" xfId="28" applyFont="1" applyFill="1" applyBorder="1" applyAlignment="1">
      <alignment vertical="center"/>
    </xf>
    <xf numFmtId="0" fontId="37" fillId="2" borderId="0" xfId="28" applyFont="1" applyFill="1" applyBorder="1" applyAlignment="1">
      <alignment horizontal="center"/>
    </xf>
    <xf numFmtId="0" fontId="37" fillId="2" borderId="24" xfId="28" applyFont="1" applyFill="1" applyBorder="1" applyAlignment="1">
      <alignment vertical="center"/>
    </xf>
    <xf numFmtId="167" fontId="37" fillId="2" borderId="24" xfId="28" applyNumberFormat="1" applyFont="1" applyFill="1" applyBorder="1" applyAlignment="1" applyProtection="1">
      <alignment horizontal="center" vertical="center"/>
      <protection hidden="1"/>
    </xf>
    <xf numFmtId="167" fontId="37" fillId="2" borderId="0" xfId="28" applyNumberFormat="1" applyFont="1" applyFill="1" applyBorder="1" applyAlignment="1">
      <alignment horizontal="center" vertical="center"/>
    </xf>
    <xf numFmtId="0" fontId="36" fillId="11" borderId="40" xfId="28" applyFont="1" applyFill="1" applyBorder="1" applyAlignment="1">
      <alignment horizontal="center" vertical="center" wrapText="1"/>
    </xf>
    <xf numFmtId="0" fontId="36" fillId="11" borderId="3" xfId="28" applyFont="1" applyFill="1" applyBorder="1" applyAlignment="1">
      <alignment horizontal="center" vertical="center" wrapText="1"/>
    </xf>
    <xf numFmtId="0" fontId="36" fillId="11" borderId="10" xfId="28" applyFont="1" applyFill="1" applyBorder="1" applyAlignment="1">
      <alignment horizontal="center" vertical="center" wrapText="1"/>
    </xf>
    <xf numFmtId="2" fontId="36" fillId="11" borderId="1" xfId="28" applyNumberFormat="1" applyFont="1" applyFill="1" applyBorder="1" applyAlignment="1">
      <alignment horizontal="left" vertical="center" wrapText="1"/>
    </xf>
    <xf numFmtId="165" fontId="36" fillId="11" borderId="11" xfId="28" applyNumberFormat="1" applyFont="1" applyFill="1" applyBorder="1" applyAlignment="1">
      <alignment horizontal="right" vertical="center"/>
    </xf>
    <xf numFmtId="4" fontId="36" fillId="11" borderId="12" xfId="28" applyNumberFormat="1" applyFont="1" applyFill="1" applyBorder="1" applyAlignment="1">
      <alignment horizontal="right" vertical="center"/>
    </xf>
    <xf numFmtId="178" fontId="36" fillId="11" borderId="12" xfId="28" applyNumberFormat="1" applyFont="1" applyFill="1" applyBorder="1" applyAlignment="1">
      <alignment horizontal="right" vertical="center"/>
    </xf>
    <xf numFmtId="165" fontId="36" fillId="0" borderId="0" xfId="28" applyNumberFormat="1" applyFont="1" applyFill="1" applyBorder="1" applyAlignment="1">
      <alignment horizontal="right" vertical="center"/>
    </xf>
    <xf numFmtId="2" fontId="36" fillId="2" borderId="33" xfId="28" applyNumberFormat="1" applyFont="1" applyFill="1" applyBorder="1" applyAlignment="1">
      <alignment horizontal="left" vertical="center" wrapText="1"/>
    </xf>
    <xf numFmtId="165" fontId="36" fillId="2" borderId="15" xfId="28" applyNumberFormat="1" applyFont="1" applyFill="1" applyBorder="1" applyAlignment="1">
      <alignment horizontal="right" vertical="center"/>
    </xf>
    <xf numFmtId="4" fontId="36" fillId="2" borderId="23" xfId="28" applyNumberFormat="1" applyFont="1" applyFill="1" applyBorder="1" applyAlignment="1">
      <alignment horizontal="right" vertical="center"/>
    </xf>
    <xf numFmtId="178" fontId="36" fillId="2" borderId="23" xfId="28" applyNumberFormat="1" applyFont="1" applyFill="1" applyBorder="1" applyAlignment="1">
      <alignment horizontal="right" vertical="center"/>
    </xf>
    <xf numFmtId="166" fontId="37" fillId="0" borderId="0" xfId="28" applyNumberFormat="1" applyFont="1" applyFill="1" applyBorder="1"/>
    <xf numFmtId="2" fontId="37" fillId="2" borderId="8" xfId="28" applyNumberFormat="1" applyFont="1" applyFill="1" applyBorder="1" applyAlignment="1">
      <alignment horizontal="left" vertical="center" wrapText="1"/>
    </xf>
    <xf numFmtId="165" fontId="37" fillId="2" borderId="14" xfId="28" applyNumberFormat="1" applyFont="1" applyFill="1" applyBorder="1" applyAlignment="1">
      <alignment horizontal="right" vertical="center"/>
    </xf>
    <xf numFmtId="4" fontId="37" fillId="2" borderId="31" xfId="28" applyNumberFormat="1" applyFont="1" applyFill="1" applyBorder="1" applyAlignment="1">
      <alignment horizontal="right" vertical="center"/>
    </xf>
    <xf numFmtId="178" fontId="37" fillId="2" borderId="31" xfId="28" applyNumberFormat="1" applyFont="1" applyFill="1" applyBorder="1" applyAlignment="1">
      <alignment horizontal="right" vertical="center"/>
    </xf>
    <xf numFmtId="0" fontId="36" fillId="0" borderId="0" xfId="28" applyFont="1" applyFill="1" applyBorder="1" applyAlignment="1">
      <alignment horizontal="center" wrapText="1"/>
    </xf>
    <xf numFmtId="165" fontId="37" fillId="0" borderId="0" xfId="28" applyNumberFormat="1" applyFont="1" applyFill="1" applyBorder="1"/>
    <xf numFmtId="176" fontId="37" fillId="0" borderId="0" xfId="28" applyNumberFormat="1" applyFont="1" applyFill="1" applyBorder="1"/>
    <xf numFmtId="165" fontId="37" fillId="2" borderId="14" xfId="28" quotePrefix="1" applyNumberFormat="1" applyFont="1" applyFill="1" applyBorder="1" applyAlignment="1">
      <alignment horizontal="right" vertical="center"/>
    </xf>
    <xf numFmtId="2" fontId="36" fillId="2" borderId="8" xfId="28" applyNumberFormat="1" applyFont="1" applyFill="1" applyBorder="1" applyAlignment="1">
      <alignment horizontal="left" vertical="center" wrapText="1"/>
    </xf>
    <xf numFmtId="165" fontId="36" fillId="2" borderId="14" xfId="28" applyNumberFormat="1" applyFont="1" applyFill="1" applyBorder="1" applyAlignment="1">
      <alignment horizontal="right" vertical="center"/>
    </xf>
    <xf numFmtId="4" fontId="36" fillId="2" borderId="31" xfId="28" applyNumberFormat="1" applyFont="1" applyFill="1" applyBorder="1" applyAlignment="1">
      <alignment horizontal="right" vertical="center"/>
    </xf>
    <xf numFmtId="178" fontId="36" fillId="2" borderId="31" xfId="28" applyNumberFormat="1" applyFont="1" applyFill="1" applyBorder="1" applyAlignment="1">
      <alignment horizontal="right" vertical="center"/>
    </xf>
    <xf numFmtId="0" fontId="37" fillId="0" borderId="0" xfId="28" applyFont="1" applyFill="1" applyBorder="1" applyAlignment="1">
      <alignment horizontal="right"/>
    </xf>
    <xf numFmtId="165" fontId="53" fillId="0" borderId="0" xfId="28" applyNumberFormat="1" applyFont="1" applyFill="1" applyBorder="1"/>
    <xf numFmtId="0" fontId="36" fillId="0" borderId="0" xfId="28" applyFont="1" applyFill="1" applyBorder="1" applyAlignment="1">
      <alignment horizontal="right"/>
    </xf>
    <xf numFmtId="49" fontId="36" fillId="2" borderId="27" xfId="28" applyNumberFormat="1" applyFont="1" applyFill="1" applyBorder="1" applyAlignment="1">
      <alignment vertical="center" wrapText="1"/>
    </xf>
    <xf numFmtId="165" fontId="54" fillId="2" borderId="14" xfId="28" applyNumberFormat="1" applyFont="1" applyFill="1" applyBorder="1" applyAlignment="1">
      <alignment vertical="center"/>
    </xf>
    <xf numFmtId="4" fontId="54" fillId="2" borderId="31" xfId="28" applyNumberFormat="1" applyFont="1" applyFill="1" applyBorder="1" applyAlignment="1">
      <alignment vertical="center"/>
    </xf>
    <xf numFmtId="4" fontId="36" fillId="2" borderId="31" xfId="28" applyNumberFormat="1" applyFont="1" applyFill="1" applyBorder="1" applyAlignment="1">
      <alignment vertical="center"/>
    </xf>
    <xf numFmtId="178" fontId="54" fillId="2" borderId="31" xfId="28" applyNumberFormat="1" applyFont="1" applyFill="1" applyBorder="1" applyAlignment="1">
      <alignment vertical="center"/>
    </xf>
    <xf numFmtId="2" fontId="36" fillId="11" borderId="1" xfId="28" applyNumberFormat="1" applyFont="1" applyFill="1" applyBorder="1" applyAlignment="1">
      <alignment horizontal="left" vertical="center"/>
    </xf>
    <xf numFmtId="2" fontId="37" fillId="0" borderId="0" xfId="28" applyNumberFormat="1" applyFont="1" applyFill="1" applyBorder="1"/>
    <xf numFmtId="49" fontId="36" fillId="2" borderId="33" xfId="28" applyNumberFormat="1" applyFont="1" applyFill="1" applyBorder="1" applyAlignment="1">
      <alignment horizontal="left" vertical="center" wrapText="1"/>
    </xf>
    <xf numFmtId="2" fontId="37" fillId="2" borderId="0" xfId="28" applyNumberFormat="1" applyFont="1" applyFill="1" applyBorder="1"/>
    <xf numFmtId="49" fontId="36" fillId="0" borderId="8" xfId="28" applyNumberFormat="1" applyFont="1" applyFill="1" applyBorder="1" applyAlignment="1">
      <alignment horizontal="left" vertical="center" wrapText="1"/>
    </xf>
    <xf numFmtId="165" fontId="36" fillId="0" borderId="14" xfId="28" applyNumberFormat="1" applyFont="1" applyFill="1" applyBorder="1" applyAlignment="1">
      <alignment horizontal="right" vertical="center"/>
    </xf>
    <xf numFmtId="4" fontId="36" fillId="0" borderId="31" xfId="28" applyNumberFormat="1" applyFont="1" applyFill="1" applyBorder="1" applyAlignment="1">
      <alignment horizontal="right" vertical="center"/>
    </xf>
    <xf numFmtId="178" fontId="36" fillId="0" borderId="31" xfId="28" applyNumberFormat="1" applyFont="1" applyFill="1" applyBorder="1" applyAlignment="1">
      <alignment horizontal="right" vertical="center"/>
    </xf>
    <xf numFmtId="0" fontId="37" fillId="0" borderId="0" xfId="28" applyFont="1" applyFill="1"/>
    <xf numFmtId="49" fontId="37" fillId="2" borderId="8" xfId="28" applyNumberFormat="1" applyFont="1" applyFill="1" applyBorder="1" applyAlignment="1">
      <alignment horizontal="left" vertical="center" wrapText="1"/>
    </xf>
    <xf numFmtId="49" fontId="36" fillId="2" borderId="8" xfId="28" applyNumberFormat="1" applyFont="1" applyFill="1" applyBorder="1" applyAlignment="1">
      <alignment horizontal="left" vertical="center" wrapText="1"/>
    </xf>
    <xf numFmtId="4" fontId="37" fillId="0" borderId="0" xfId="28" applyNumberFormat="1" applyFont="1" applyFill="1" applyBorder="1"/>
    <xf numFmtId="165" fontId="36" fillId="0" borderId="14" xfId="28" applyNumberFormat="1" applyFont="1" applyFill="1" applyBorder="1" applyAlignment="1">
      <alignment vertical="center"/>
    </xf>
    <xf numFmtId="49" fontId="36" fillId="0" borderId="26" xfId="28" applyNumberFormat="1" applyFont="1" applyFill="1" applyBorder="1" applyAlignment="1">
      <alignment vertical="center" wrapText="1"/>
    </xf>
    <xf numFmtId="165" fontId="36" fillId="0" borderId="11" xfId="28" applyNumberFormat="1" applyFont="1" applyFill="1" applyBorder="1" applyAlignment="1">
      <alignment horizontal="right" vertical="center"/>
    </xf>
    <xf numFmtId="4" fontId="36" fillId="0" borderId="12" xfId="28" applyNumberFormat="1" applyFont="1" applyFill="1" applyBorder="1" applyAlignment="1">
      <alignment horizontal="right" vertical="center"/>
    </xf>
    <xf numFmtId="178" fontId="36" fillId="0" borderId="12" xfId="28" applyNumberFormat="1" applyFont="1" applyFill="1" applyBorder="1" applyAlignment="1">
      <alignment horizontal="right" vertical="center"/>
    </xf>
    <xf numFmtId="49" fontId="37" fillId="2" borderId="33" xfId="28" applyNumberFormat="1" applyFont="1" applyFill="1" applyBorder="1" applyAlignment="1">
      <alignment horizontal="left" vertical="center" wrapText="1"/>
    </xf>
    <xf numFmtId="165" fontId="37" fillId="2" borderId="15" xfId="28" applyNumberFormat="1" applyFont="1" applyFill="1" applyBorder="1" applyAlignment="1">
      <alignment horizontal="right" vertical="center"/>
    </xf>
    <xf numFmtId="4" fontId="37" fillId="2" borderId="23" xfId="28" applyNumberFormat="1" applyFont="1" applyFill="1" applyBorder="1" applyAlignment="1">
      <alignment horizontal="right" vertical="center"/>
    </xf>
    <xf numFmtId="178" fontId="37" fillId="2" borderId="23" xfId="28" applyNumberFormat="1" applyFont="1" applyFill="1" applyBorder="1" applyAlignment="1">
      <alignment horizontal="right" vertical="center"/>
    </xf>
    <xf numFmtId="165" fontId="37" fillId="2" borderId="8" xfId="28" applyNumberFormat="1" applyFont="1" applyFill="1" applyBorder="1" applyAlignment="1">
      <alignment horizontal="left" vertical="center"/>
    </xf>
    <xf numFmtId="165" fontId="37" fillId="2" borderId="14" xfId="28" applyNumberFormat="1" applyFont="1" applyFill="1" applyBorder="1" applyAlignment="1">
      <alignment vertical="center"/>
    </xf>
    <xf numFmtId="49" fontId="36" fillId="2" borderId="6" xfId="28" applyNumberFormat="1" applyFont="1" applyFill="1" applyBorder="1" applyAlignment="1">
      <alignment horizontal="left" vertical="center" wrapText="1"/>
    </xf>
    <xf numFmtId="165" fontId="36" fillId="2" borderId="16" xfId="28" applyNumberFormat="1" applyFont="1" applyFill="1" applyBorder="1" applyAlignment="1">
      <alignment horizontal="right" vertical="center"/>
    </xf>
    <xf numFmtId="4" fontId="36" fillId="2" borderId="3" xfId="28" applyNumberFormat="1" applyFont="1" applyFill="1" applyBorder="1" applyAlignment="1">
      <alignment horizontal="right" vertical="center"/>
    </xf>
    <xf numFmtId="178" fontId="36" fillId="2" borderId="3" xfId="28" applyNumberFormat="1" applyFont="1" applyFill="1" applyBorder="1" applyAlignment="1">
      <alignment horizontal="right" vertical="center"/>
    </xf>
    <xf numFmtId="49" fontId="37" fillId="2" borderId="28" xfId="28" applyNumberFormat="1" applyFont="1" applyFill="1" applyBorder="1" applyAlignment="1">
      <alignment vertical="center" wrapText="1"/>
    </xf>
    <xf numFmtId="165" fontId="37" fillId="2" borderId="29" xfId="28" applyNumberFormat="1" applyFont="1" applyFill="1" applyBorder="1" applyAlignment="1">
      <alignment vertical="center"/>
    </xf>
    <xf numFmtId="2" fontId="37" fillId="2" borderId="41" xfId="28" applyNumberFormat="1" applyFont="1" applyFill="1" applyBorder="1" applyAlignment="1">
      <alignment vertical="center"/>
    </xf>
    <xf numFmtId="165" fontId="37" fillId="2" borderId="41" xfId="28" applyNumberFormat="1" applyFont="1" applyFill="1" applyBorder="1" applyAlignment="1">
      <alignment vertical="center"/>
    </xf>
    <xf numFmtId="178" fontId="35" fillId="2" borderId="41" xfId="28" applyNumberFormat="1" applyFont="1" applyFill="1" applyBorder="1" applyAlignment="1">
      <alignment vertical="center"/>
    </xf>
    <xf numFmtId="49" fontId="36" fillId="2" borderId="1" xfId="28" applyNumberFormat="1" applyFont="1" applyFill="1" applyBorder="1" applyAlignment="1">
      <alignment horizontal="left" vertical="center" wrapText="1"/>
    </xf>
    <xf numFmtId="165" fontId="36" fillId="2" borderId="11" xfId="28" applyNumberFormat="1" applyFont="1" applyFill="1" applyBorder="1" applyAlignment="1">
      <alignment horizontal="right" vertical="center"/>
    </xf>
    <xf numFmtId="4" fontId="36" fillId="2" borderId="12" xfId="28" applyNumberFormat="1" applyFont="1" applyFill="1" applyBorder="1" applyAlignment="1">
      <alignment horizontal="right" vertical="center"/>
    </xf>
    <xf numFmtId="178" fontId="36" fillId="2" borderId="12" xfId="28" applyNumberFormat="1" applyFont="1" applyFill="1" applyBorder="1" applyAlignment="1">
      <alignment horizontal="right" vertical="center"/>
    </xf>
    <xf numFmtId="0" fontId="36" fillId="2" borderId="0" xfId="28" applyFont="1" applyFill="1"/>
    <xf numFmtId="49" fontId="36" fillId="11" borderId="26" xfId="28" applyNumberFormat="1" applyFont="1" applyFill="1" applyBorder="1" applyAlignment="1">
      <alignment horizontal="left" vertical="center" wrapText="1"/>
    </xf>
    <xf numFmtId="0" fontId="36" fillId="0" borderId="0" xfId="28" applyFont="1"/>
    <xf numFmtId="0" fontId="36" fillId="0" borderId="0" xfId="28" applyFont="1" applyFill="1" applyBorder="1"/>
    <xf numFmtId="49" fontId="36" fillId="11" borderId="26" xfId="28" applyNumberFormat="1" applyFont="1" applyFill="1" applyBorder="1" applyAlignment="1">
      <alignment vertical="center" wrapText="1"/>
    </xf>
    <xf numFmtId="165" fontId="36" fillId="11" borderId="11" xfId="28" applyNumberFormat="1" applyFont="1" applyFill="1" applyBorder="1" applyAlignment="1">
      <alignment vertical="center"/>
    </xf>
    <xf numFmtId="4" fontId="36" fillId="11" borderId="12" xfId="28" applyNumberFormat="1" applyFont="1" applyFill="1" applyBorder="1" applyAlignment="1">
      <alignment vertical="center"/>
    </xf>
    <xf numFmtId="178" fontId="36" fillId="11" borderId="12" xfId="28" applyNumberFormat="1" applyFont="1" applyFill="1" applyBorder="1" applyAlignment="1">
      <alignment vertical="center"/>
    </xf>
    <xf numFmtId="49" fontId="37" fillId="2" borderId="9" xfId="28" applyNumberFormat="1" applyFont="1" applyFill="1" applyBorder="1" applyAlignment="1">
      <alignment vertical="center" wrapText="1"/>
    </xf>
    <xf numFmtId="165" fontId="37" fillId="2" borderId="15" xfId="28" applyNumberFormat="1" applyFont="1" applyFill="1" applyBorder="1" applyAlignment="1">
      <alignment vertical="center"/>
    </xf>
    <xf numFmtId="4" fontId="37" fillId="2" borderId="23" xfId="28" applyNumberFormat="1" applyFont="1" applyFill="1" applyBorder="1" applyAlignment="1">
      <alignment vertical="center"/>
    </xf>
    <xf numFmtId="167" fontId="37" fillId="2" borderId="15" xfId="28" applyNumberFormat="1" applyFont="1" applyFill="1" applyBorder="1" applyAlignment="1">
      <alignment vertical="center"/>
    </xf>
    <xf numFmtId="178" fontId="37" fillId="2" borderId="23" xfId="28" applyNumberFormat="1" applyFont="1" applyFill="1" applyBorder="1" applyAlignment="1">
      <alignment vertical="center"/>
    </xf>
    <xf numFmtId="49" fontId="37" fillId="2" borderId="27" xfId="28" applyNumberFormat="1" applyFont="1" applyFill="1" applyBorder="1" applyAlignment="1">
      <alignment vertical="center" wrapText="1"/>
    </xf>
    <xf numFmtId="4" fontId="37" fillId="2" borderId="31" xfId="28" applyNumberFormat="1" applyFont="1" applyFill="1" applyBorder="1" applyAlignment="1">
      <alignment vertical="center"/>
    </xf>
    <xf numFmtId="178" fontId="37" fillId="2" borderId="31" xfId="28" applyNumberFormat="1" applyFont="1" applyFill="1" applyBorder="1" applyAlignment="1">
      <alignment vertical="center"/>
    </xf>
    <xf numFmtId="4" fontId="37" fillId="2" borderId="0" xfId="28" applyNumberFormat="1" applyFont="1" applyFill="1" applyBorder="1"/>
    <xf numFmtId="49" fontId="37" fillId="2" borderId="0" xfId="28" applyNumberFormat="1" applyFont="1" applyFill="1" applyBorder="1" applyAlignment="1">
      <alignment wrapText="1"/>
    </xf>
    <xf numFmtId="49" fontId="37" fillId="0" borderId="27" xfId="28" applyNumberFormat="1" applyFont="1" applyFill="1" applyBorder="1" applyAlignment="1">
      <alignment vertical="center" wrapText="1"/>
    </xf>
    <xf numFmtId="165" fontId="56" fillId="0" borderId="14" xfId="28" applyNumberFormat="1" applyFont="1" applyFill="1" applyBorder="1" applyAlignment="1">
      <alignment vertical="center"/>
    </xf>
    <xf numFmtId="4" fontId="56" fillId="0" borderId="31" xfId="28" applyNumberFormat="1" applyFont="1" applyFill="1" applyBorder="1" applyAlignment="1">
      <alignment vertical="center"/>
    </xf>
    <xf numFmtId="4" fontId="37" fillId="0" borderId="31" xfId="28" applyNumberFormat="1" applyFont="1" applyFill="1" applyBorder="1" applyAlignment="1">
      <alignment vertical="center"/>
    </xf>
    <xf numFmtId="178" fontId="56" fillId="0" borderId="31" xfId="28" applyNumberFormat="1" applyFont="1" applyFill="1" applyBorder="1" applyAlignment="1">
      <alignment vertical="center"/>
    </xf>
    <xf numFmtId="49" fontId="36" fillId="2" borderId="10" xfId="28" applyNumberFormat="1" applyFont="1" applyFill="1" applyBorder="1" applyAlignment="1">
      <alignment vertical="center" wrapText="1"/>
    </xf>
    <xf numFmtId="165" fontId="36" fillId="2" borderId="16" xfId="28" applyNumberFormat="1" applyFont="1" applyFill="1" applyBorder="1" applyAlignment="1">
      <alignment vertical="center"/>
    </xf>
    <xf numFmtId="4" fontId="36" fillId="2" borderId="3" xfId="28" applyNumberFormat="1" applyFont="1" applyFill="1" applyBorder="1" applyAlignment="1">
      <alignment vertical="center"/>
    </xf>
    <xf numFmtId="178" fontId="36" fillId="2" borderId="3" xfId="28" applyNumberFormat="1" applyFont="1" applyFill="1" applyBorder="1" applyAlignment="1">
      <alignment vertical="center"/>
    </xf>
    <xf numFmtId="2" fontId="38" fillId="2" borderId="0" xfId="28" applyNumberFormat="1" applyFont="1" applyFill="1" applyBorder="1" applyAlignment="1">
      <alignment vertical="center" wrapText="1"/>
    </xf>
    <xf numFmtId="165" fontId="37" fillId="2" borderId="24" xfId="28" applyNumberFormat="1" applyFont="1" applyFill="1" applyBorder="1" applyAlignment="1">
      <alignment vertical="center"/>
    </xf>
    <xf numFmtId="4" fontId="37" fillId="2" borderId="0" xfId="28" applyNumberFormat="1" applyFont="1" applyFill="1" applyAlignment="1">
      <alignment vertical="center"/>
    </xf>
    <xf numFmtId="4" fontId="57" fillId="2" borderId="0" xfId="28" applyNumberFormat="1" applyFont="1" applyFill="1"/>
    <xf numFmtId="49" fontId="37" fillId="2" borderId="0" xfId="28" applyNumberFormat="1" applyFont="1" applyFill="1" applyAlignment="1">
      <alignment wrapText="1"/>
    </xf>
    <xf numFmtId="165" fontId="58" fillId="2" borderId="0" xfId="28" applyNumberFormat="1" applyFont="1" applyFill="1" applyBorder="1"/>
    <xf numFmtId="165" fontId="57" fillId="2" borderId="0" xfId="28" applyNumberFormat="1" applyFont="1" applyFill="1" applyBorder="1"/>
    <xf numFmtId="165" fontId="36" fillId="2" borderId="0" xfId="28" applyNumberFormat="1" applyFont="1" applyFill="1" applyBorder="1"/>
    <xf numFmtId="165" fontId="36" fillId="0" borderId="0" xfId="28" applyNumberFormat="1" applyFont="1" applyFill="1" applyBorder="1"/>
    <xf numFmtId="165" fontId="36" fillId="12" borderId="0" xfId="28" applyNumberFormat="1" applyFont="1" applyFill="1" applyBorder="1"/>
    <xf numFmtId="2" fontId="37" fillId="2" borderId="0" xfId="28" applyNumberFormat="1" applyFont="1" applyFill="1" applyBorder="1" applyAlignment="1">
      <alignment wrapText="1"/>
    </xf>
    <xf numFmtId="165" fontId="46" fillId="2" borderId="0" xfId="28" applyNumberFormat="1" applyFont="1" applyFill="1" applyBorder="1"/>
    <xf numFmtId="2" fontId="36" fillId="2" borderId="0" xfId="28" applyNumberFormat="1" applyFont="1" applyFill="1" applyBorder="1"/>
    <xf numFmtId="1" fontId="37" fillId="2" borderId="0" xfId="28" applyNumberFormat="1" applyFont="1" applyFill="1" applyBorder="1" applyAlignment="1">
      <alignment wrapText="1"/>
    </xf>
    <xf numFmtId="165" fontId="37" fillId="0" borderId="28" xfId="28" applyNumberFormat="1" applyFont="1" applyBorder="1" applyAlignment="1">
      <alignment horizontal="right" vertical="center"/>
    </xf>
    <xf numFmtId="49" fontId="37" fillId="0" borderId="0" xfId="28" applyNumberFormat="1" applyFont="1" applyAlignment="1">
      <alignment wrapText="1"/>
    </xf>
    <xf numFmtId="178" fontId="39" fillId="2" borderId="22" xfId="27" applyNumberFormat="1" applyFont="1" applyFill="1" applyBorder="1" applyAlignment="1">
      <alignment vertical="center"/>
    </xf>
    <xf numFmtId="178" fontId="42" fillId="2" borderId="19" xfId="27" applyNumberFormat="1" applyFont="1" applyFill="1" applyBorder="1" applyAlignment="1">
      <alignment vertical="center"/>
    </xf>
    <xf numFmtId="178" fontId="42" fillId="2" borderId="20" xfId="27" applyNumberFormat="1" applyFont="1" applyFill="1" applyBorder="1" applyAlignment="1">
      <alignment vertical="center"/>
    </xf>
    <xf numFmtId="0" fontId="0" fillId="0" borderId="30" xfId="0" applyBorder="1"/>
    <xf numFmtId="167" fontId="36" fillId="14" borderId="30" xfId="28" applyNumberFormat="1" applyFont="1" applyFill="1" applyBorder="1" applyAlignment="1">
      <alignment vertical="center"/>
    </xf>
    <xf numFmtId="167" fontId="36" fillId="2" borderId="0" xfId="28" applyNumberFormat="1" applyFont="1" applyFill="1" applyBorder="1" applyAlignment="1">
      <alignment vertical="center"/>
    </xf>
    <xf numFmtId="0" fontId="2" fillId="0" borderId="0" xfId="40"/>
    <xf numFmtId="49" fontId="2" fillId="0" borderId="0" xfId="40" applyNumberFormat="1"/>
    <xf numFmtId="49" fontId="2" fillId="0" borderId="0" xfId="40" applyNumberFormat="1" applyAlignment="1">
      <alignment horizontal="left"/>
    </xf>
    <xf numFmtId="49" fontId="2" fillId="0" borderId="0" xfId="40" applyNumberFormat="1" applyAlignment="1">
      <alignment wrapText="1"/>
    </xf>
    <xf numFmtId="10" fontId="62" fillId="0" borderId="0" xfId="40" applyNumberFormat="1" applyFont="1"/>
    <xf numFmtId="10" fontId="61" fillId="0" borderId="47" xfId="40" applyNumberFormat="1" applyFont="1" applyBorder="1"/>
    <xf numFmtId="0" fontId="61" fillId="0" borderId="0" xfId="40" applyFont="1"/>
    <xf numFmtId="0" fontId="61" fillId="0" borderId="30" xfId="40" applyFont="1" applyBorder="1"/>
    <xf numFmtId="0" fontId="2" fillId="0" borderId="30" xfId="40" applyBorder="1"/>
    <xf numFmtId="0" fontId="61" fillId="0" borderId="0" xfId="40" applyFont="1" applyAlignment="1">
      <alignment horizontal="center"/>
    </xf>
    <xf numFmtId="0" fontId="61" fillId="0" borderId="0" xfId="40" applyFont="1" applyFill="1" applyBorder="1" applyAlignment="1">
      <alignment wrapText="1"/>
    </xf>
    <xf numFmtId="0" fontId="2" fillId="0" borderId="0" xfId="40" applyBorder="1"/>
    <xf numFmtId="0" fontId="2" fillId="0" borderId="0" xfId="40" applyAlignment="1">
      <alignment wrapText="1"/>
    </xf>
    <xf numFmtId="9" fontId="63" fillId="0" borderId="0" xfId="40" applyNumberFormat="1" applyFont="1"/>
    <xf numFmtId="0" fontId="2" fillId="0" borderId="0" xfId="40" applyAlignment="1">
      <alignment horizontal="right" vertical="center"/>
    </xf>
    <xf numFmtId="0" fontId="64" fillId="0" borderId="0" xfId="40" applyFont="1"/>
    <xf numFmtId="0" fontId="2" fillId="15" borderId="0" xfId="40" applyFill="1"/>
    <xf numFmtId="0" fontId="2" fillId="15" borderId="0" xfId="40" applyFill="1" applyAlignment="1">
      <alignment wrapText="1"/>
    </xf>
    <xf numFmtId="1" fontId="2" fillId="0" borderId="30" xfId="40" applyNumberFormat="1" applyBorder="1"/>
    <xf numFmtId="167" fontId="0" fillId="0" borderId="0" xfId="0" applyNumberFormat="1"/>
    <xf numFmtId="167" fontId="40" fillId="2" borderId="30" xfId="27" applyNumberFormat="1" applyFont="1" applyFill="1" applyBorder="1" applyAlignment="1">
      <alignment vertical="center"/>
    </xf>
    <xf numFmtId="0" fontId="0" fillId="0" borderId="0" xfId="0" applyBorder="1"/>
    <xf numFmtId="4" fontId="0" fillId="0" borderId="0" xfId="0" applyNumberFormat="1"/>
    <xf numFmtId="0" fontId="9" fillId="15" borderId="0" xfId="0" applyFont="1" applyFill="1"/>
    <xf numFmtId="0" fontId="0" fillId="15" borderId="0" xfId="0" applyFill="1"/>
    <xf numFmtId="0" fontId="9" fillId="15" borderId="0" xfId="0" applyFont="1" applyFill="1" applyAlignment="1">
      <alignment wrapText="1"/>
    </xf>
    <xf numFmtId="0" fontId="34" fillId="3" borderId="1" xfId="28" applyFont="1" applyFill="1" applyBorder="1" applyAlignment="1">
      <alignment vertical="center"/>
    </xf>
    <xf numFmtId="0" fontId="8" fillId="2" borderId="0" xfId="28" applyFont="1" applyFill="1" applyBorder="1" applyAlignment="1">
      <alignment vertical="center"/>
    </xf>
    <xf numFmtId="0" fontId="9" fillId="2" borderId="0" xfId="28" applyFont="1" applyFill="1" applyBorder="1"/>
    <xf numFmtId="0" fontId="36" fillId="5" borderId="2" xfId="28" applyFont="1" applyFill="1" applyBorder="1" applyAlignment="1">
      <alignment horizontal="center" vertical="center" wrapText="1"/>
    </xf>
    <xf numFmtId="0" fontId="36" fillId="5" borderId="3" xfId="28" applyFont="1" applyFill="1" applyBorder="1" applyAlignment="1">
      <alignment horizontal="center" vertical="center" wrapText="1"/>
    </xf>
    <xf numFmtId="0" fontId="36" fillId="5" borderId="4" xfId="28" applyFont="1" applyFill="1" applyBorder="1" applyAlignment="1">
      <alignment horizontal="center" vertical="center" wrapText="1"/>
    </xf>
    <xf numFmtId="0" fontId="36" fillId="5" borderId="5" xfId="28" applyFont="1" applyFill="1" applyBorder="1" applyAlignment="1">
      <alignment horizontal="center" vertical="center" wrapText="1"/>
    </xf>
    <xf numFmtId="0" fontId="36" fillId="5" borderId="6" xfId="28" applyFont="1" applyFill="1" applyBorder="1" applyAlignment="1">
      <alignment horizontal="center" vertical="center" wrapText="1"/>
    </xf>
    <xf numFmtId="0" fontId="36" fillId="5" borderId="7" xfId="28" applyFont="1" applyFill="1" applyBorder="1" applyAlignment="1">
      <alignment horizontal="center" vertical="center" wrapText="1"/>
    </xf>
    <xf numFmtId="2" fontId="36" fillId="5" borderId="1" xfId="28" applyNumberFormat="1" applyFont="1" applyFill="1" applyBorder="1" applyAlignment="1">
      <alignment vertical="center"/>
    </xf>
    <xf numFmtId="165" fontId="39" fillId="5" borderId="11" xfId="28" applyNumberFormat="1" applyFont="1" applyFill="1" applyBorder="1" applyAlignment="1">
      <alignment vertical="center"/>
    </xf>
    <xf numFmtId="4" fontId="39" fillId="5" borderId="12" xfId="28" applyNumberFormat="1" applyFont="1" applyFill="1" applyBorder="1" applyAlignment="1">
      <alignment vertical="center"/>
    </xf>
    <xf numFmtId="4" fontId="39" fillId="5" borderId="13" xfId="28" applyNumberFormat="1" applyFont="1" applyFill="1" applyBorder="1" applyAlignment="1">
      <alignment vertical="center"/>
    </xf>
    <xf numFmtId="4" fontId="39" fillId="5" borderId="22" xfId="28" applyNumberFormat="1" applyFont="1" applyFill="1" applyBorder="1" applyAlignment="1">
      <alignment vertical="center"/>
    </xf>
    <xf numFmtId="178" fontId="39" fillId="5" borderId="12" xfId="28" applyNumberFormat="1" applyFont="1" applyFill="1" applyBorder="1" applyAlignment="1">
      <alignment vertical="center"/>
    </xf>
    <xf numFmtId="2" fontId="36" fillId="2" borderId="8" xfId="28" applyNumberFormat="1" applyFont="1" applyFill="1" applyBorder="1" applyAlignment="1">
      <alignment vertical="center"/>
    </xf>
    <xf numFmtId="165" fontId="39" fillId="2" borderId="14" xfId="28" applyNumberFormat="1" applyFont="1" applyFill="1" applyBorder="1" applyAlignment="1">
      <alignment vertical="center"/>
    </xf>
    <xf numFmtId="4" fontId="39" fillId="2" borderId="19" xfId="28" applyNumberFormat="1" applyFont="1" applyFill="1" applyBorder="1" applyAlignment="1">
      <alignment vertical="center"/>
    </xf>
    <xf numFmtId="165" fontId="39" fillId="2" borderId="15" xfId="28" applyNumberFormat="1" applyFont="1" applyFill="1" applyBorder="1" applyAlignment="1">
      <alignment horizontal="right" vertical="center" wrapText="1"/>
    </xf>
    <xf numFmtId="4" fontId="39" fillId="2" borderId="20" xfId="28" applyNumberFormat="1" applyFont="1" applyFill="1" applyBorder="1" applyAlignment="1">
      <alignment vertical="center"/>
    </xf>
    <xf numFmtId="167" fontId="39" fillId="2" borderId="14" xfId="28" applyNumberFormat="1" applyFont="1" applyFill="1" applyBorder="1" applyAlignment="1">
      <alignment vertical="center"/>
    </xf>
    <xf numFmtId="178" fontId="39" fillId="2" borderId="19" xfId="28" applyNumberFormat="1" applyFont="1" applyFill="1" applyBorder="1" applyAlignment="1">
      <alignment vertical="center"/>
    </xf>
    <xf numFmtId="2" fontId="37" fillId="2" borderId="8" xfId="28" applyNumberFormat="1" applyFont="1" applyFill="1" applyBorder="1" applyAlignment="1">
      <alignment vertical="center"/>
    </xf>
    <xf numFmtId="165" fontId="40" fillId="2" borderId="14" xfId="28" applyNumberFormat="1" applyFont="1" applyFill="1" applyBorder="1" applyAlignment="1">
      <alignment vertical="center"/>
    </xf>
    <xf numFmtId="167" fontId="40" fillId="2" borderId="14" xfId="28" applyNumberFormat="1" applyFont="1" applyFill="1" applyBorder="1" applyAlignment="1">
      <alignment vertical="center"/>
    </xf>
    <xf numFmtId="178" fontId="39" fillId="2" borderId="20" xfId="28" applyNumberFormat="1" applyFont="1" applyFill="1" applyBorder="1" applyAlignment="1">
      <alignment vertical="center"/>
    </xf>
    <xf numFmtId="2" fontId="36" fillId="2" borderId="8" xfId="28" applyNumberFormat="1" applyFont="1" applyFill="1" applyBorder="1" applyAlignment="1">
      <alignment vertical="center" wrapText="1"/>
    </xf>
    <xf numFmtId="4" fontId="39" fillId="2" borderId="21" xfId="28" applyNumberFormat="1" applyFont="1" applyFill="1" applyBorder="1" applyAlignment="1">
      <alignment vertical="center"/>
    </xf>
    <xf numFmtId="178" fontId="39" fillId="2" borderId="21" xfId="28" applyNumberFormat="1" applyFont="1" applyFill="1" applyBorder="1" applyAlignment="1">
      <alignment vertical="center"/>
    </xf>
    <xf numFmtId="165" fontId="39" fillId="5" borderId="1" xfId="28" applyNumberFormat="1" applyFont="1" applyFill="1" applyBorder="1" applyAlignment="1">
      <alignment vertical="center"/>
    </xf>
    <xf numFmtId="167" fontId="39" fillId="5" borderId="11" xfId="28" applyNumberFormat="1" applyFont="1" applyFill="1" applyBorder="1" applyAlignment="1">
      <alignment vertical="center"/>
    </xf>
    <xf numFmtId="167" fontId="43" fillId="2" borderId="14" xfId="28" applyNumberFormat="1" applyFont="1" applyFill="1" applyBorder="1" applyAlignment="1">
      <alignment vertical="center"/>
    </xf>
    <xf numFmtId="167" fontId="42" fillId="2" borderId="14" xfId="28" applyNumberFormat="1" applyFont="1" applyFill="1" applyBorder="1" applyAlignment="1">
      <alignment vertical="center"/>
    </xf>
    <xf numFmtId="4" fontId="39" fillId="6" borderId="22" xfId="28" applyNumberFormat="1" applyFont="1" applyFill="1" applyBorder="1" applyAlignment="1">
      <alignment vertical="center"/>
    </xf>
    <xf numFmtId="2" fontId="36" fillId="2" borderId="9" xfId="28" applyNumberFormat="1" applyFont="1" applyFill="1" applyBorder="1" applyAlignment="1">
      <alignment vertical="center"/>
    </xf>
    <xf numFmtId="165" fontId="39" fillId="2" borderId="15" xfId="28" applyNumberFormat="1" applyFont="1" applyFill="1" applyBorder="1" applyAlignment="1">
      <alignment vertical="center"/>
    </xf>
    <xf numFmtId="4" fontId="39" fillId="2" borderId="24" xfId="28" applyNumberFormat="1" applyFont="1" applyFill="1" applyBorder="1" applyAlignment="1">
      <alignment vertical="center"/>
    </xf>
    <xf numFmtId="4" fontId="39" fillId="2" borderId="23" xfId="28" applyNumberFormat="1" applyFont="1" applyFill="1" applyBorder="1" applyAlignment="1">
      <alignment vertical="center"/>
    </xf>
    <xf numFmtId="167" fontId="39" fillId="2" borderId="15" xfId="28" applyNumberFormat="1" applyFont="1" applyFill="1" applyBorder="1" applyAlignment="1">
      <alignment vertical="center"/>
    </xf>
    <xf numFmtId="178" fontId="39" fillId="2" borderId="23" xfId="28" applyNumberFormat="1" applyFont="1" applyFill="1" applyBorder="1" applyAlignment="1">
      <alignment vertical="center"/>
    </xf>
    <xf numFmtId="2" fontId="36" fillId="2" borderId="10" xfId="28" applyNumberFormat="1" applyFont="1" applyFill="1" applyBorder="1" applyAlignment="1">
      <alignment vertical="center"/>
    </xf>
    <xf numFmtId="165" fontId="39" fillId="2" borderId="16" xfId="28" applyNumberFormat="1" applyFont="1" applyFill="1" applyBorder="1" applyAlignment="1">
      <alignment vertical="center"/>
    </xf>
    <xf numFmtId="4" fontId="39" fillId="2" borderId="3" xfId="28" applyNumberFormat="1" applyFont="1" applyFill="1" applyBorder="1" applyAlignment="1">
      <alignment vertical="center"/>
    </xf>
    <xf numFmtId="4" fontId="39" fillId="2" borderId="4" xfId="28" applyNumberFormat="1" applyFont="1" applyFill="1" applyBorder="1" applyAlignment="1">
      <alignment vertical="center"/>
    </xf>
    <xf numFmtId="167" fontId="39" fillId="2" borderId="16" xfId="28" applyNumberFormat="1" applyFont="1" applyFill="1" applyBorder="1" applyAlignment="1">
      <alignment vertical="center"/>
    </xf>
    <xf numFmtId="178" fontId="39" fillId="2" borderId="3" xfId="28" applyNumberFormat="1" applyFont="1" applyFill="1" applyBorder="1" applyAlignment="1">
      <alignment vertical="center"/>
    </xf>
    <xf numFmtId="2" fontId="37" fillId="2" borderId="1" xfId="28" applyNumberFormat="1" applyFont="1" applyFill="1" applyBorder="1" applyAlignment="1">
      <alignment vertical="center"/>
    </xf>
    <xf numFmtId="165" fontId="40" fillId="2" borderId="11" xfId="28" applyNumberFormat="1" applyFont="1" applyFill="1" applyBorder="1" applyAlignment="1">
      <alignment vertical="center"/>
    </xf>
    <xf numFmtId="4" fontId="39" fillId="2" borderId="12" xfId="28" applyNumberFormat="1" applyFont="1" applyFill="1" applyBorder="1" applyAlignment="1">
      <alignment vertical="center"/>
    </xf>
    <xf numFmtId="4" fontId="39" fillId="2" borderId="13" xfId="28" applyNumberFormat="1" applyFont="1" applyFill="1" applyBorder="1" applyAlignment="1">
      <alignment vertical="center"/>
    </xf>
    <xf numFmtId="167" fontId="43" fillId="2" borderId="11" xfId="28" applyNumberFormat="1" applyFont="1" applyFill="1" applyBorder="1" applyAlignment="1">
      <alignment vertical="center"/>
    </xf>
    <xf numFmtId="178" fontId="39" fillId="2" borderId="12" xfId="28" applyNumberFormat="1" applyFont="1" applyFill="1" applyBorder="1" applyAlignment="1">
      <alignment vertical="center"/>
    </xf>
    <xf numFmtId="178" fontId="39" fillId="2" borderId="22" xfId="28" applyNumberFormat="1" applyFont="1" applyFill="1" applyBorder="1" applyAlignment="1">
      <alignment vertical="center"/>
    </xf>
    <xf numFmtId="165" fontId="40" fillId="2" borderId="16" xfId="28" applyNumberFormat="1" applyFont="1" applyFill="1" applyBorder="1" applyAlignment="1">
      <alignment vertical="center"/>
    </xf>
    <xf numFmtId="165" fontId="42" fillId="2" borderId="14" xfId="28" applyNumberFormat="1" applyFont="1" applyFill="1" applyBorder="1" applyAlignment="1">
      <alignment vertical="center"/>
    </xf>
    <xf numFmtId="178" fontId="42" fillId="2" borderId="19" xfId="28" applyNumberFormat="1" applyFont="1" applyFill="1" applyBorder="1" applyAlignment="1">
      <alignment vertical="center"/>
    </xf>
    <xf numFmtId="178" fontId="42" fillId="2" borderId="20" xfId="28" applyNumberFormat="1" applyFont="1" applyFill="1" applyBorder="1" applyAlignment="1">
      <alignment vertical="center"/>
    </xf>
    <xf numFmtId="2" fontId="37" fillId="0" borderId="8" xfId="28" applyNumberFormat="1" applyFont="1" applyFill="1" applyBorder="1" applyAlignment="1">
      <alignment vertical="center"/>
    </xf>
    <xf numFmtId="165" fontId="40" fillId="0" borderId="14" xfId="28" applyNumberFormat="1" applyFont="1" applyFill="1" applyBorder="1" applyAlignment="1">
      <alignment vertical="center"/>
    </xf>
    <xf numFmtId="167" fontId="40" fillId="0" borderId="14" xfId="28" applyNumberFormat="1" applyFont="1" applyFill="1" applyBorder="1" applyAlignment="1">
      <alignment vertical="center"/>
    </xf>
    <xf numFmtId="2" fontId="36" fillId="2" borderId="6" xfId="28" applyNumberFormat="1" applyFont="1" applyFill="1" applyBorder="1" applyAlignment="1">
      <alignment vertical="center"/>
    </xf>
    <xf numFmtId="2" fontId="0" fillId="0" borderId="0" xfId="0" applyNumberFormat="1"/>
    <xf numFmtId="0" fontId="37" fillId="2" borderId="0" xfId="28" applyFont="1" applyFill="1" applyBorder="1" applyAlignment="1"/>
    <xf numFmtId="165" fontId="36" fillId="9" borderId="11" xfId="28" applyNumberFormat="1" applyFont="1" applyFill="1" applyBorder="1" applyAlignment="1">
      <alignment vertical="center"/>
    </xf>
    <xf numFmtId="2" fontId="37" fillId="2" borderId="0" xfId="28" applyNumberFormat="1" applyFont="1" applyFill="1" applyBorder="1" applyAlignment="1"/>
    <xf numFmtId="165" fontId="37" fillId="2" borderId="0" xfId="28" applyNumberFormat="1" applyFont="1" applyFill="1" applyBorder="1" applyAlignment="1"/>
    <xf numFmtId="178" fontId="9" fillId="2" borderId="0" xfId="27" applyNumberFormat="1" applyFont="1" applyFill="1" applyBorder="1"/>
    <xf numFmtId="4" fontId="36" fillId="2" borderId="48" xfId="0" applyNumberFormat="1" applyFont="1" applyFill="1" applyBorder="1"/>
    <xf numFmtId="4" fontId="36" fillId="2" borderId="32" xfId="0" applyNumberFormat="1" applyFont="1" applyFill="1" applyBorder="1"/>
    <xf numFmtId="167" fontId="36" fillId="16" borderId="30" xfId="28" applyNumberFormat="1" applyFont="1" applyFill="1" applyBorder="1" applyAlignment="1">
      <alignment vertical="center"/>
    </xf>
    <xf numFmtId="0" fontId="0" fillId="16" borderId="0" xfId="0" applyFill="1"/>
    <xf numFmtId="0" fontId="0" fillId="16" borderId="30" xfId="0" applyFill="1" applyBorder="1"/>
    <xf numFmtId="167" fontId="40" fillId="0" borderId="16" xfId="27" applyNumberFormat="1" applyFont="1" applyFill="1" applyBorder="1" applyAlignment="1">
      <alignment vertical="center"/>
    </xf>
    <xf numFmtId="2" fontId="37" fillId="0" borderId="6" xfId="27" applyNumberFormat="1" applyFont="1" applyFill="1" applyBorder="1" applyAlignment="1">
      <alignment vertical="center"/>
    </xf>
    <xf numFmtId="165" fontId="40" fillId="0" borderId="16" xfId="27" applyNumberFormat="1" applyFont="1" applyFill="1" applyBorder="1" applyAlignment="1">
      <alignment vertical="center"/>
    </xf>
    <xf numFmtId="167" fontId="40" fillId="2" borderId="16" xfId="27" applyNumberFormat="1" applyFont="1" applyFill="1" applyBorder="1" applyAlignment="1">
      <alignment vertical="center"/>
    </xf>
    <xf numFmtId="164" fontId="37" fillId="2" borderId="0" xfId="41" applyFont="1" applyFill="1"/>
    <xf numFmtId="165" fontId="36" fillId="2" borderId="14" xfId="28" applyNumberFormat="1" applyFont="1" applyFill="1" applyBorder="1"/>
    <xf numFmtId="179" fontId="20" fillId="2" borderId="17" xfId="0" applyNumberFormat="1" applyFont="1" applyFill="1" applyBorder="1" applyAlignment="1" applyProtection="1">
      <alignment horizontal="center"/>
    </xf>
    <xf numFmtId="179" fontId="0" fillId="2" borderId="17" xfId="0" applyNumberFormat="1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justify" vertical="justify" wrapText="1"/>
    </xf>
    <xf numFmtId="0" fontId="0" fillId="2" borderId="43" xfId="0" applyFill="1" applyBorder="1" applyAlignment="1" applyProtection="1">
      <alignment horizontal="justify" vertical="justify" wrapText="1"/>
    </xf>
    <xf numFmtId="0" fontId="0" fillId="2" borderId="44" xfId="0" applyFill="1" applyBorder="1" applyAlignment="1" applyProtection="1">
      <alignment horizontal="justify" vertical="justify" wrapText="1"/>
    </xf>
    <xf numFmtId="0" fontId="22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left"/>
    </xf>
    <xf numFmtId="0" fontId="11" fillId="2" borderId="17" xfId="0" applyFont="1" applyFill="1" applyBorder="1" applyAlignment="1" applyProtection="1">
      <alignment horizontal="left"/>
    </xf>
    <xf numFmtId="49" fontId="2" fillId="0" borderId="0" xfId="40" applyNumberFormat="1" applyAlignment="1">
      <alignment horizontal="left"/>
    </xf>
    <xf numFmtId="0" fontId="65" fillId="0" borderId="0" xfId="40" applyFont="1" applyAlignment="1">
      <alignment horizontal="center"/>
    </xf>
    <xf numFmtId="0" fontId="2" fillId="0" borderId="0" xfId="40" applyAlignment="1">
      <alignment horizontal="center"/>
    </xf>
    <xf numFmtId="49" fontId="2" fillId="0" borderId="0" xfId="40" applyNumberFormat="1" applyAlignment="1">
      <alignment horizontal="left" wrapText="1"/>
    </xf>
    <xf numFmtId="49" fontId="2" fillId="0" borderId="0" xfId="40" applyNumberFormat="1" applyAlignment="1">
      <alignment horizontal="left" vertical="top" wrapText="1"/>
    </xf>
    <xf numFmtId="0" fontId="45" fillId="7" borderId="9" xfId="28" applyFont="1" applyFill="1" applyBorder="1" applyAlignment="1">
      <alignment horizontal="center" vertical="center"/>
    </xf>
    <xf numFmtId="0" fontId="45" fillId="7" borderId="10" xfId="28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45" fillId="3" borderId="33" xfId="28" applyFont="1" applyFill="1" applyBorder="1" applyAlignment="1">
      <alignment horizontal="center" vertical="center"/>
    </xf>
    <xf numFmtId="0" fontId="45" fillId="3" borderId="6" xfId="28" applyFont="1" applyFill="1" applyBorder="1" applyAlignment="1">
      <alignment horizontal="center" vertical="center"/>
    </xf>
    <xf numFmtId="0" fontId="36" fillId="5" borderId="25" xfId="28" applyFont="1" applyFill="1" applyBorder="1" applyAlignment="1">
      <alignment horizontal="center" vertical="center"/>
    </xf>
    <xf numFmtId="0" fontId="36" fillId="5" borderId="45" xfId="28" applyFont="1" applyFill="1" applyBorder="1" applyAlignment="1">
      <alignment horizontal="center" vertical="center"/>
    </xf>
    <xf numFmtId="0" fontId="45" fillId="3" borderId="33" xfId="27" applyFont="1" applyFill="1" applyBorder="1" applyAlignment="1">
      <alignment horizontal="center" vertical="center"/>
    </xf>
    <xf numFmtId="0" fontId="45" fillId="3" borderId="6" xfId="27" applyFont="1" applyFill="1" applyBorder="1" applyAlignment="1">
      <alignment horizontal="center" vertical="center"/>
    </xf>
    <xf numFmtId="0" fontId="36" fillId="5" borderId="25" xfId="27" applyFont="1" applyFill="1" applyBorder="1" applyAlignment="1">
      <alignment horizontal="center" vertical="center"/>
    </xf>
    <xf numFmtId="0" fontId="36" fillId="5" borderId="45" xfId="27" applyFont="1" applyFill="1" applyBorder="1" applyAlignment="1">
      <alignment horizontal="center" vertical="center"/>
    </xf>
    <xf numFmtId="167" fontId="55" fillId="5" borderId="1" xfId="0" applyNumberFormat="1" applyFont="1" applyFill="1" applyBorder="1" applyAlignment="1" applyProtection="1">
      <alignment horizontal="center" vertical="center"/>
      <protection hidden="1"/>
    </xf>
    <xf numFmtId="167" fontId="55" fillId="5" borderId="12" xfId="0" applyNumberFormat="1" applyFont="1" applyFill="1" applyBorder="1" applyAlignment="1" applyProtection="1">
      <alignment horizontal="center" vertical="center"/>
      <protection hidden="1"/>
    </xf>
    <xf numFmtId="0" fontId="23" fillId="2" borderId="13" xfId="27" applyFont="1" applyFill="1" applyBorder="1" applyAlignment="1">
      <alignment horizontal="center"/>
    </xf>
    <xf numFmtId="167" fontId="59" fillId="5" borderId="1" xfId="0" applyNumberFormat="1" applyFont="1" applyFill="1" applyBorder="1" applyAlignment="1" applyProtection="1">
      <alignment horizontal="center" vertical="center"/>
      <protection hidden="1"/>
    </xf>
    <xf numFmtId="167" fontId="59" fillId="5" borderId="12" xfId="0" applyNumberFormat="1" applyFont="1" applyFill="1" applyBorder="1" applyAlignment="1" applyProtection="1">
      <alignment horizontal="center" vertical="center"/>
      <protection hidden="1"/>
    </xf>
    <xf numFmtId="167" fontId="59" fillId="5" borderId="1" xfId="0" applyNumberFormat="1" applyFont="1" applyFill="1" applyBorder="1" applyAlignment="1">
      <alignment horizontal="center" vertical="center"/>
    </xf>
    <xf numFmtId="167" fontId="59" fillId="5" borderId="12" xfId="0" applyNumberFormat="1" applyFont="1" applyFill="1" applyBorder="1" applyAlignment="1">
      <alignment horizontal="center" vertical="center"/>
    </xf>
    <xf numFmtId="167" fontId="55" fillId="5" borderId="1" xfId="0" applyNumberFormat="1" applyFont="1" applyFill="1" applyBorder="1" applyAlignment="1">
      <alignment horizontal="center" vertical="center"/>
    </xf>
    <xf numFmtId="167" fontId="55" fillId="5" borderId="12" xfId="0" applyNumberFormat="1" applyFont="1" applyFill="1" applyBorder="1" applyAlignment="1">
      <alignment horizontal="center" vertical="center"/>
    </xf>
    <xf numFmtId="167" fontId="22" fillId="2" borderId="0" xfId="0" applyNumberFormat="1" applyFont="1" applyFill="1" applyBorder="1" applyAlignment="1" applyProtection="1">
      <alignment horizontal="center"/>
      <protection hidden="1"/>
    </xf>
    <xf numFmtId="0" fontId="37" fillId="2" borderId="0" xfId="0" applyFont="1" applyFill="1" applyAlignment="1">
      <alignment horizontal="center"/>
    </xf>
    <xf numFmtId="167" fontId="55" fillId="9" borderId="26" xfId="0" applyNumberFormat="1" applyFont="1" applyFill="1" applyBorder="1" applyAlignment="1">
      <alignment horizontal="center" vertical="center"/>
    </xf>
    <xf numFmtId="0" fontId="53" fillId="2" borderId="4" xfId="28" applyFont="1" applyFill="1" applyBorder="1" applyAlignment="1">
      <alignment horizontal="center"/>
    </xf>
    <xf numFmtId="0" fontId="36" fillId="9" borderId="25" xfId="0" applyFont="1" applyFill="1" applyBorder="1" applyAlignment="1">
      <alignment horizontal="center" vertical="center"/>
    </xf>
    <xf numFmtId="0" fontId="36" fillId="9" borderId="45" xfId="0" applyFont="1" applyFill="1" applyBorder="1" applyAlignment="1">
      <alignment horizontal="center" vertical="center"/>
    </xf>
    <xf numFmtId="167" fontId="55" fillId="9" borderId="26" xfId="0" applyNumberFormat="1" applyFont="1" applyFill="1" applyBorder="1" applyAlignment="1" applyProtection="1">
      <alignment horizontal="center" vertical="center"/>
      <protection hidden="1"/>
    </xf>
    <xf numFmtId="2" fontId="45" fillId="8" borderId="9" xfId="0" applyNumberFormat="1" applyFont="1" applyFill="1" applyBorder="1" applyAlignment="1">
      <alignment horizontal="center" vertical="center"/>
    </xf>
    <xf numFmtId="2" fontId="45" fillId="8" borderId="10" xfId="0" applyNumberFormat="1" applyFont="1" applyFill="1" applyBorder="1" applyAlignment="1">
      <alignment horizontal="center" vertical="center"/>
    </xf>
    <xf numFmtId="0" fontId="23" fillId="2" borderId="4" xfId="28" applyFont="1" applyFill="1" applyBorder="1" applyAlignment="1">
      <alignment horizontal="center"/>
    </xf>
    <xf numFmtId="167" fontId="55" fillId="5" borderId="26" xfId="0" applyNumberFormat="1" applyFont="1" applyFill="1" applyBorder="1" applyAlignment="1">
      <alignment horizontal="center" vertical="center"/>
    </xf>
    <xf numFmtId="167" fontId="55" fillId="5" borderId="26" xfId="0" applyNumberFormat="1" applyFont="1" applyFill="1" applyBorder="1" applyAlignment="1" applyProtection="1">
      <alignment horizontal="center" vertical="center"/>
      <protection hidden="1"/>
    </xf>
    <xf numFmtId="0" fontId="23" fillId="2" borderId="4" xfId="27" applyFont="1" applyFill="1" applyBorder="1" applyAlignment="1">
      <alignment horizontal="center"/>
    </xf>
    <xf numFmtId="167" fontId="37" fillId="2" borderId="0" xfId="28" applyNumberFormat="1" applyFont="1" applyFill="1" applyBorder="1" applyAlignment="1" applyProtection="1">
      <alignment horizontal="center" vertical="center"/>
      <protection hidden="1"/>
    </xf>
    <xf numFmtId="0" fontId="37" fillId="2" borderId="0" xfId="28" applyFont="1" applyFill="1" applyBorder="1" applyAlignment="1">
      <alignment horizontal="center"/>
    </xf>
    <xf numFmtId="0" fontId="37" fillId="2" borderId="0" xfId="28" applyFont="1" applyFill="1" applyAlignment="1">
      <alignment horizontal="center"/>
    </xf>
    <xf numFmtId="167" fontId="37" fillId="11" borderId="26" xfId="28" applyNumberFormat="1" applyFont="1" applyFill="1" applyBorder="1" applyAlignment="1" applyProtection="1">
      <alignment horizontal="center" vertical="center"/>
      <protection hidden="1"/>
    </xf>
    <xf numFmtId="167" fontId="37" fillId="11" borderId="26" xfId="28" applyNumberFormat="1" applyFont="1" applyFill="1" applyBorder="1" applyAlignment="1">
      <alignment horizontal="center" vertical="center"/>
    </xf>
    <xf numFmtId="2" fontId="45" fillId="10" borderId="33" xfId="28" applyNumberFormat="1" applyFont="1" applyFill="1" applyBorder="1" applyAlignment="1">
      <alignment horizontal="center" vertical="center"/>
    </xf>
    <xf numFmtId="2" fontId="45" fillId="10" borderId="6" xfId="28" applyNumberFormat="1" applyFont="1" applyFill="1" applyBorder="1" applyAlignment="1">
      <alignment horizontal="center" vertical="center"/>
    </xf>
    <xf numFmtId="0" fontId="36" fillId="11" borderId="46" xfId="28" applyFont="1" applyFill="1" applyBorder="1" applyAlignment="1">
      <alignment horizontal="center" vertical="center"/>
    </xf>
    <xf numFmtId="167" fontId="60" fillId="11" borderId="1" xfId="28" applyNumberFormat="1" applyFont="1" applyFill="1" applyBorder="1" applyAlignment="1">
      <alignment horizontal="center" vertical="center"/>
    </xf>
    <xf numFmtId="167" fontId="60" fillId="11" borderId="12" xfId="28" applyNumberFormat="1" applyFont="1" applyFill="1" applyBorder="1" applyAlignment="1">
      <alignment horizontal="center" vertical="center"/>
    </xf>
    <xf numFmtId="0" fontId="36" fillId="0" borderId="0" xfId="28" applyFont="1" applyFill="1" applyBorder="1" applyAlignment="1">
      <alignment horizontal="center" wrapText="1"/>
    </xf>
    <xf numFmtId="0" fontId="37" fillId="0" borderId="0" xfId="28" applyFont="1" applyFill="1" applyBorder="1"/>
    <xf numFmtId="0" fontId="35" fillId="13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textRotation="45"/>
    </xf>
    <xf numFmtId="0" fontId="31" fillId="0" borderId="0" xfId="0" applyFont="1" applyFill="1" applyBorder="1" applyAlignment="1">
      <alignment horizontal="center" vertical="center"/>
    </xf>
    <xf numFmtId="16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 textRotation="45"/>
    </xf>
  </cellXfs>
  <cellStyles count="53">
    <cellStyle name="1 indent" xfId="1"/>
    <cellStyle name="1 indent 2" xfId="42"/>
    <cellStyle name="2 indents" xfId="2"/>
    <cellStyle name="2 indents 2" xfId="43"/>
    <cellStyle name="3 indents" xfId="3"/>
    <cellStyle name="3 indents 2" xfId="44"/>
    <cellStyle name="4 indents" xfId="4"/>
    <cellStyle name="4 indents 2" xfId="45"/>
    <cellStyle name="Comma" xfId="41" builtinId="3"/>
    <cellStyle name="Date" xfId="5"/>
    <cellStyle name="Excel Built-in Normal" xfId="52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one decimal 2" xfId="46"/>
    <cellStyle name="imf-zero decimal" xfId="17"/>
    <cellStyle name="imf-zero decimal 2" xfId="4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22"/>
    <cellStyle name="Normal 11" xfId="23"/>
    <cellStyle name="Normal 12" xfId="24"/>
    <cellStyle name="Normal 13" xfId="40"/>
    <cellStyle name="Normal 15" xfId="25"/>
    <cellStyle name="Normal 16" xfId="26"/>
    <cellStyle name="Normal 2" xfId="27"/>
    <cellStyle name="Normal 2 2" xfId="28"/>
    <cellStyle name="Normal 2 2 2" xfId="51"/>
    <cellStyle name="Normal 3" xfId="29"/>
    <cellStyle name="Normal 4" xfId="30"/>
    <cellStyle name="Normal 4 2" xfId="49"/>
    <cellStyle name="Normal 48" xfId="31"/>
    <cellStyle name="Normal 5" xfId="32"/>
    <cellStyle name="Normal 6" xfId="33"/>
    <cellStyle name="Normal 7" xfId="34"/>
    <cellStyle name="Normal 8" xfId="35"/>
    <cellStyle name="Normal 9" xfId="36"/>
    <cellStyle name="Obično_KnjigaZIKS i Min pomorstva i saobracaja" xfId="37"/>
    <cellStyle name="Percent 2" xfId="50"/>
    <cellStyle name="percentage difference" xfId="38"/>
    <cellStyle name="percentage difference 2" xfId="48"/>
    <cellStyle name="Publication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4.xml><?xml version="1.0" encoding="utf-8"?>
<formControlPr xmlns="http://schemas.microsoft.com/office/spreadsheetml/2009/9/main" objectType="List" dx="16" fmlaLink="[3]MasterSheet!$A$1" fmlaRange="[3]MasterSheet!$B$27:$B$28" noThreeD="1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13</xdr:row>
      <xdr:rowOff>142875</xdr:rowOff>
    </xdr:from>
    <xdr:to>
      <xdr:col>8</xdr:col>
      <xdr:colOff>352425</xdr:colOff>
      <xdr:row>37</xdr:row>
      <xdr:rowOff>104775</xdr:rowOff>
    </xdr:to>
    <xdr:pic>
      <xdr:nvPicPr>
        <xdr:cNvPr id="43229" name="Picture 1" descr="Crna Gora_mapa.jpg">
          <a:extLst>
            <a:ext uri="{FF2B5EF4-FFF2-40B4-BE49-F238E27FC236}">
              <a16:creationId xmlns:a16="http://schemas.microsoft.com/office/drawing/2014/main" xmlns="" id="{00000000-0008-0000-0000-0000DD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2486025"/>
          <a:ext cx="4105275" cy="414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523875</xdr:colOff>
      <xdr:row>1</xdr:row>
      <xdr:rowOff>28575</xdr:rowOff>
    </xdr:from>
    <xdr:to>
      <xdr:col>11</xdr:col>
      <xdr:colOff>95250</xdr:colOff>
      <xdr:row>5</xdr:row>
      <xdr:rowOff>104775</xdr:rowOff>
    </xdr:to>
    <xdr:pic>
      <xdr:nvPicPr>
        <xdr:cNvPr id="43230" name="Picture 3" descr="520px-Coat_of_arms_of_Montenegro.svg.png">
          <a:extLst>
            <a:ext uri="{FF2B5EF4-FFF2-40B4-BE49-F238E27FC236}">
              <a16:creationId xmlns:a16="http://schemas.microsoft.com/office/drawing/2014/main" xmlns="" id="{00000000-0008-0000-0000-0000DE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91225" y="190500"/>
          <a:ext cx="7905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0</xdr:row>
      <xdr:rowOff>104775</xdr:rowOff>
    </xdr:from>
    <xdr:to>
      <xdr:col>10</xdr:col>
      <xdr:colOff>276225</xdr:colOff>
      <xdr:row>5</xdr:row>
      <xdr:rowOff>142875</xdr:rowOff>
    </xdr:to>
    <xdr:pic>
      <xdr:nvPicPr>
        <xdr:cNvPr id="38007" name="Picture 1" descr="520px-Coat_of_arms_of_Montenegro.svg.png">
          <a:extLst>
            <a:ext uri="{FF2B5EF4-FFF2-40B4-BE49-F238E27FC236}">
              <a16:creationId xmlns:a16="http://schemas.microsoft.com/office/drawing/2014/main" xmlns="" id="{00000000-0008-0000-0500-0000779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104775"/>
          <a:ext cx="8001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sr-Latn-CS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 txBox="1"/>
      </xdr:nvSpPr>
      <xdr:spPr>
        <a:xfrm>
          <a:off x="26355675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nko/Downloads/Projekcije%20za%20Smjernice%202016-2019%2019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nko.krvavac/Dropbox/MINISTARSTVO%20FINANSIJA/SEP/Smjernice%202016-2019/Projekcije%20za%20Smjernice%202016-2019%2019%20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andar.bozovic/AppData/Local/Microsoft/Windows/Temporary%20Internet%20Files/Content.Outlook/YYGSSEML/GDDS%202006-2015-prema%20zavrsnom%20racun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cal Korekc"/>
      <sheetName val="Sheet1 (2)"/>
      <sheetName val="Korekcije budzeta"/>
      <sheetName val="CBS"/>
      <sheetName val="Cental Budget"/>
      <sheetName val="Cental Budget - hwy"/>
      <sheetName val="Cental Budget - bez AP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  <sheetName val="Sheet2"/>
      <sheetName val="Sheet3"/>
      <sheetName val="izvrsenje SAP 08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2</v>
          </cell>
        </row>
        <row r="70">
          <cell r="B70" t="str">
            <v>Budžet Crne Gore</v>
          </cell>
          <cell r="C70" t="str">
            <v>mil. €</v>
          </cell>
        </row>
        <row r="72">
          <cell r="B72" t="str">
            <v>Izvorni prihodi</v>
          </cell>
          <cell r="C72" t="str">
            <v>Current revenues</v>
          </cell>
        </row>
        <row r="73">
          <cell r="B73" t="str">
            <v>Porezi</v>
          </cell>
          <cell r="C73" t="str">
            <v>Taxes</v>
          </cell>
        </row>
        <row r="74">
          <cell r="B74" t="str">
            <v>Porez na dohodak fizičkih lica</v>
          </cell>
          <cell r="C74" t="str">
            <v>Personal income tax</v>
          </cell>
        </row>
        <row r="75">
          <cell r="B75" t="str">
            <v>Porez na dobit pravnih lica</v>
          </cell>
          <cell r="C75" t="str">
            <v>Tax on Profits of Legal Person</v>
          </cell>
        </row>
        <row r="76">
          <cell r="B76" t="str">
            <v>Porez na promet nepokretnosti</v>
          </cell>
          <cell r="C76" t="str">
            <v xml:space="preserve">Taxes on Property </v>
          </cell>
        </row>
        <row r="77">
          <cell r="B77" t="str">
            <v>Porez na dodatu vrijednost</v>
          </cell>
          <cell r="C77" t="str">
            <v>Value Added Tax</v>
          </cell>
        </row>
        <row r="78">
          <cell r="B78" t="str">
            <v>Akcize</v>
          </cell>
          <cell r="C78" t="str">
            <v>Excises</v>
          </cell>
        </row>
        <row r="79">
          <cell r="B79" t="str">
            <v>Porez na međunarodnu trgovinu i transakcije</v>
          </cell>
          <cell r="C79" t="str">
            <v>Tax on International Trade and Transactions</v>
          </cell>
        </row>
        <row r="80">
          <cell r="B80" t="str">
            <v>Ostali državni porezi</v>
          </cell>
          <cell r="C80" t="str">
            <v>Other State Taxes</v>
          </cell>
        </row>
        <row r="81">
          <cell r="B81" t="str">
            <v>Doprinosi</v>
          </cell>
          <cell r="C81" t="str">
            <v>Contributions</v>
          </cell>
        </row>
        <row r="82">
          <cell r="B82" t="str">
            <v>Doprinosi za penzijsko i invalidsko osiguranje</v>
          </cell>
          <cell r="C82" t="str">
            <v>Contributions for Pension and Disability Insurance</v>
          </cell>
        </row>
        <row r="83">
          <cell r="B83" t="str">
            <v>Doprinosi za zdravstveno osiguranje</v>
          </cell>
          <cell r="C83" t="str">
            <v>Contributions for Health Insurance</v>
          </cell>
        </row>
        <row r="84">
          <cell r="B84" t="str">
            <v>Doprinosi za osiguranje od nezaposlenosti</v>
          </cell>
          <cell r="C84" t="str">
            <v>Contributions for Insurance from Unemployment</v>
          </cell>
        </row>
        <row r="85">
          <cell r="B85" t="str">
            <v>Ostali doprinosi</v>
          </cell>
          <cell r="C85" t="str">
            <v>Other contributions</v>
          </cell>
        </row>
        <row r="86">
          <cell r="B86" t="str">
            <v>Takse</v>
          </cell>
          <cell r="C86" t="str">
            <v>Duties</v>
          </cell>
        </row>
        <row r="87">
          <cell r="B87" t="str">
            <v>Administrativne takse</v>
          </cell>
          <cell r="C87" t="str">
            <v>Administrative duties</v>
          </cell>
        </row>
        <row r="88">
          <cell r="B88" t="str">
            <v>Sudske takse</v>
          </cell>
          <cell r="C88" t="str">
            <v>Court duties</v>
          </cell>
        </row>
        <row r="89">
          <cell r="B89" t="str">
            <v>Boravišne takse</v>
          </cell>
          <cell r="C89" t="str">
            <v>Residential duty</v>
          </cell>
        </row>
        <row r="90">
          <cell r="B90" t="str">
            <v>Ostale takse</v>
          </cell>
          <cell r="C90" t="str">
            <v>Other duties</v>
          </cell>
        </row>
        <row r="91">
          <cell r="B91" t="str">
            <v>Naknade</v>
          </cell>
          <cell r="C91" t="str">
            <v>Fees</v>
          </cell>
        </row>
        <row r="92">
          <cell r="B92" t="str">
            <v>Naknade za korišćenje dobara od opšteg interesa</v>
          </cell>
          <cell r="C92" t="str">
            <v>Fees for use of goods of common interest</v>
          </cell>
        </row>
        <row r="93">
          <cell r="B93" t="str">
            <v>Naknade za korišćenje prirodnih dobara</v>
          </cell>
          <cell r="C93" t="str">
            <v>Fees for use of natural resources</v>
          </cell>
        </row>
        <row r="94">
          <cell r="B94" t="str">
            <v>Ekološke naknade</v>
          </cell>
          <cell r="C94" t="str">
            <v>Ecological fees</v>
          </cell>
        </row>
        <row r="95">
          <cell r="B95" t="str">
            <v>Naknade za priređivanje igara na sreću</v>
          </cell>
          <cell r="C95" t="str">
            <v>Fee for organizing games of chance</v>
          </cell>
        </row>
        <row r="96">
          <cell r="B96" t="str">
            <v>Naknada za puteve</v>
          </cell>
          <cell r="C96" t="str">
            <v xml:space="preserve">Road fees </v>
          </cell>
        </row>
        <row r="97">
          <cell r="B97" t="str">
            <v>Ostale naknade</v>
          </cell>
          <cell r="C97" t="str">
            <v>Other fees</v>
          </cell>
        </row>
        <row r="98">
          <cell r="B98" t="str">
            <v>Ostali prihodi</v>
          </cell>
          <cell r="C98" t="str">
            <v>Other revenues</v>
          </cell>
        </row>
        <row r="99">
          <cell r="B99" t="str">
            <v>Prihodi od kapitala</v>
          </cell>
          <cell r="C99" t="str">
            <v>Revenues from capital</v>
          </cell>
        </row>
        <row r="100">
          <cell r="B100" t="str">
            <v>Novčane kazne i oduzete imovinske koristi</v>
          </cell>
          <cell r="C100" t="str">
            <v>Fines and seized property gains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cal Korekc"/>
      <sheetName val="Sheet1 (2)"/>
      <sheetName val="Korekcije budzeta"/>
      <sheetName val="CBS"/>
      <sheetName val="Cental Budget"/>
      <sheetName val="Cental Budget - hwy"/>
      <sheetName val="Cental Budget - bez AP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  <sheetName val="Sheet2"/>
      <sheetName val="Sheet3"/>
      <sheetName val="izvrsenje SAP 08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2</v>
          </cell>
        </row>
        <row r="70">
          <cell r="B70" t="str">
            <v>Budžet Crne Gore</v>
          </cell>
          <cell r="C70" t="str">
            <v>mil. €</v>
          </cell>
        </row>
        <row r="72">
          <cell r="B72" t="str">
            <v>Izvorni prihodi</v>
          </cell>
          <cell r="C72" t="str">
            <v>Current revenues</v>
          </cell>
        </row>
        <row r="73">
          <cell r="B73" t="str">
            <v>Porezi</v>
          </cell>
          <cell r="C73" t="str">
            <v>Taxes</v>
          </cell>
        </row>
        <row r="74">
          <cell r="B74" t="str">
            <v>Porez na dohodak fizičkih lica</v>
          </cell>
          <cell r="C74" t="str">
            <v>Personal income tax</v>
          </cell>
        </row>
        <row r="75">
          <cell r="B75" t="str">
            <v>Porez na dobit pravnih lica</v>
          </cell>
          <cell r="C75" t="str">
            <v>Tax on Profits of Legal Person</v>
          </cell>
        </row>
        <row r="76">
          <cell r="B76" t="str">
            <v>Porez na promet nepokretnosti</v>
          </cell>
          <cell r="C76" t="str">
            <v xml:space="preserve">Taxes on Property </v>
          </cell>
        </row>
        <row r="77">
          <cell r="B77" t="str">
            <v>Porez na dodatu vrijednost</v>
          </cell>
          <cell r="C77" t="str">
            <v>Value Added Tax</v>
          </cell>
        </row>
        <row r="78">
          <cell r="B78" t="str">
            <v>Akcize</v>
          </cell>
          <cell r="C78" t="str">
            <v>Excises</v>
          </cell>
        </row>
        <row r="79">
          <cell r="B79" t="str">
            <v>Porez na međunarodnu trgovinu i transakcije</v>
          </cell>
          <cell r="C79" t="str">
            <v>Tax on International Trade and Transactions</v>
          </cell>
        </row>
        <row r="80">
          <cell r="B80" t="str">
            <v>Ostali državni porezi</v>
          </cell>
          <cell r="C80" t="str">
            <v>Other State Taxes</v>
          </cell>
        </row>
        <row r="81">
          <cell r="B81" t="str">
            <v>Doprinosi</v>
          </cell>
          <cell r="C81" t="str">
            <v>Contributions</v>
          </cell>
        </row>
        <row r="82">
          <cell r="B82" t="str">
            <v>Doprinosi za penzijsko i invalidsko osiguranje</v>
          </cell>
          <cell r="C82" t="str">
            <v>Contributions for Pension and Disability Insurance</v>
          </cell>
        </row>
        <row r="83">
          <cell r="B83" t="str">
            <v>Doprinosi za zdravstveno osiguranje</v>
          </cell>
          <cell r="C83" t="str">
            <v>Contributions for Health Insurance</v>
          </cell>
        </row>
        <row r="84">
          <cell r="B84" t="str">
            <v>Doprinosi za osiguranje od nezaposlenosti</v>
          </cell>
          <cell r="C84" t="str">
            <v>Contributions for Insurance from Unemployment</v>
          </cell>
        </row>
        <row r="85">
          <cell r="B85" t="str">
            <v>Ostali doprinosi</v>
          </cell>
          <cell r="C85" t="str">
            <v>Other contributions</v>
          </cell>
        </row>
        <row r="86">
          <cell r="B86" t="str">
            <v>Takse</v>
          </cell>
          <cell r="C86" t="str">
            <v>Duties</v>
          </cell>
        </row>
        <row r="87">
          <cell r="B87" t="str">
            <v>Administrativne takse</v>
          </cell>
          <cell r="C87" t="str">
            <v>Administrative duties</v>
          </cell>
        </row>
        <row r="88">
          <cell r="B88" t="str">
            <v>Sudske takse</v>
          </cell>
          <cell r="C88" t="str">
            <v>Court duties</v>
          </cell>
        </row>
        <row r="89">
          <cell r="B89" t="str">
            <v>Boravišne takse</v>
          </cell>
          <cell r="C89" t="str">
            <v>Residential duty</v>
          </cell>
        </row>
        <row r="90">
          <cell r="B90" t="str">
            <v>Ostale takse</v>
          </cell>
          <cell r="C90" t="str">
            <v>Other duties</v>
          </cell>
        </row>
        <row r="91">
          <cell r="B91" t="str">
            <v>Naknade</v>
          </cell>
          <cell r="C91" t="str">
            <v>Fees</v>
          </cell>
        </row>
        <row r="92">
          <cell r="B92" t="str">
            <v>Naknade za korišćenje dobara od opšteg interesa</v>
          </cell>
          <cell r="C92" t="str">
            <v>Fees for use of goods of common interest</v>
          </cell>
        </row>
        <row r="93">
          <cell r="B93" t="str">
            <v>Naknade za korišćenje prirodnih dobara</v>
          </cell>
          <cell r="C93" t="str">
            <v>Fees for use of natural resources</v>
          </cell>
        </row>
        <row r="94">
          <cell r="B94" t="str">
            <v>Ekološke naknade</v>
          </cell>
          <cell r="C94" t="str">
            <v>Ecological fees</v>
          </cell>
        </row>
        <row r="95">
          <cell r="B95" t="str">
            <v>Naknade za priređivanje igara na sreću</v>
          </cell>
          <cell r="C95" t="str">
            <v>Fee for organizing games of chance</v>
          </cell>
        </row>
        <row r="96">
          <cell r="B96" t="str">
            <v>Naknada za puteve</v>
          </cell>
          <cell r="C96" t="str">
            <v xml:space="preserve">Road fees </v>
          </cell>
        </row>
        <row r="97">
          <cell r="B97" t="str">
            <v>Ostale naknade</v>
          </cell>
          <cell r="C97" t="str">
            <v>Other fees</v>
          </cell>
        </row>
        <row r="98">
          <cell r="B98" t="str">
            <v>Ostali prihodi</v>
          </cell>
          <cell r="C98" t="str">
            <v>Other revenues</v>
          </cell>
        </row>
        <row r="99">
          <cell r="B99" t="str">
            <v>Prihodi od kapitala</v>
          </cell>
          <cell r="C99" t="str">
            <v>Revenues from capital</v>
          </cell>
        </row>
        <row r="100">
          <cell r="B100" t="str">
            <v>Novčane kazne i oduzete imovinske koristi</v>
          </cell>
          <cell r="C100" t="str">
            <v>Fines and seized property gains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Welcome tab"/>
      <sheetName val="Core data tab"/>
      <sheetName val="Cental Budget_int"/>
      <sheetName val="Local Government_int"/>
      <sheetName val="Public expenditure_int"/>
      <sheetName val="MasterSheet"/>
      <sheetName val="Sheet1"/>
    </sheetNames>
    <sheetDataSet>
      <sheetData sheetId="0" refreshError="1"/>
      <sheetData sheetId="1" refreshError="1"/>
      <sheetData sheetId="2" refreshError="1">
        <row r="11">
          <cell r="C11" t="str">
            <v>BDP (u mil. €)</v>
          </cell>
          <cell r="D11">
            <v>2148900000</v>
          </cell>
          <cell r="F11">
            <v>2680500000</v>
          </cell>
          <cell r="H11">
            <v>3085600000</v>
          </cell>
          <cell r="J11">
            <v>2981000000</v>
          </cell>
          <cell r="L11">
            <v>3125000000</v>
          </cell>
          <cell r="N11">
            <v>3265000000</v>
          </cell>
          <cell r="P11">
            <v>3181000000</v>
          </cell>
          <cell r="R11">
            <v>3362000000</v>
          </cell>
          <cell r="T11">
            <v>3457900000</v>
          </cell>
        </row>
        <row r="17">
          <cell r="D17">
            <v>72493703.819999963</v>
          </cell>
          <cell r="F17">
            <v>85402227.900000006</v>
          </cell>
          <cell r="H17">
            <v>111918603.98999999</v>
          </cell>
          <cell r="J17">
            <v>94990514</v>
          </cell>
          <cell r="L17">
            <v>89753928.969999999</v>
          </cell>
          <cell r="N17">
            <v>81640031.710000008</v>
          </cell>
          <cell r="P17">
            <v>82261833.280000001</v>
          </cell>
          <cell r="R17">
            <v>95618433.910000011</v>
          </cell>
          <cell r="T17">
            <v>104405821.67</v>
          </cell>
          <cell r="V17">
            <v>104766319.15999998</v>
          </cell>
        </row>
        <row r="18">
          <cell r="D18">
            <v>12681282.079999981</v>
          </cell>
          <cell r="F18">
            <v>39076661.670000002</v>
          </cell>
          <cell r="H18">
            <v>62803344.119999997</v>
          </cell>
          <cell r="J18">
            <v>54738223</v>
          </cell>
          <cell r="L18">
            <v>20270971.710000001</v>
          </cell>
          <cell r="N18">
            <v>36101185.260000005</v>
          </cell>
          <cell r="P18">
            <v>64016557.520000003</v>
          </cell>
          <cell r="R18">
            <v>40638726.390000008</v>
          </cell>
          <cell r="T18">
            <v>45020371.5</v>
          </cell>
          <cell r="V18">
            <v>42151728.179999992</v>
          </cell>
        </row>
        <row r="19">
          <cell r="D19">
            <v>7371892.8599999985</v>
          </cell>
          <cell r="F19">
            <v>20590669.43</v>
          </cell>
          <cell r="H19">
            <v>11428331.24</v>
          </cell>
          <cell r="J19">
            <v>5206820</v>
          </cell>
          <cell r="L19">
            <v>4938431.08</v>
          </cell>
          <cell r="N19">
            <v>1237096.94</v>
          </cell>
          <cell r="P19">
            <v>1441449.4</v>
          </cell>
          <cell r="R19">
            <v>1440565.3199999998</v>
          </cell>
          <cell r="T19">
            <v>1479399.88</v>
          </cell>
          <cell r="V19">
            <v>1486795.3800000001</v>
          </cell>
        </row>
        <row r="20">
          <cell r="D20">
            <v>273156637.07999986</v>
          </cell>
          <cell r="F20">
            <v>393174255.16000003</v>
          </cell>
          <cell r="H20">
            <v>440064484.29000002</v>
          </cell>
          <cell r="J20">
            <v>370776942</v>
          </cell>
          <cell r="L20">
            <v>364177041.45999998</v>
          </cell>
          <cell r="N20">
            <v>392235880.90999997</v>
          </cell>
          <cell r="P20">
            <v>354714031.35000002</v>
          </cell>
          <cell r="R20">
            <v>429195069.32999998</v>
          </cell>
          <cell r="T20">
            <v>497589192.80000001</v>
          </cell>
          <cell r="V20">
            <v>457115481.22000003</v>
          </cell>
        </row>
        <row r="21">
          <cell r="D21">
            <v>72376242.180000007</v>
          </cell>
          <cell r="F21">
            <v>94538367.25</v>
          </cell>
          <cell r="H21">
            <v>120303864.65000001</v>
          </cell>
          <cell r="J21">
            <v>128684864</v>
          </cell>
          <cell r="L21">
            <v>134261371.03</v>
          </cell>
          <cell r="N21">
            <v>143379590.77000001</v>
          </cell>
          <cell r="P21">
            <v>151766097.75999999</v>
          </cell>
          <cell r="R21">
            <v>161445470.17000002</v>
          </cell>
          <cell r="T21">
            <v>156466946.75</v>
          </cell>
          <cell r="V21">
            <v>170010238.31999999</v>
          </cell>
        </row>
        <row r="22">
          <cell r="D22">
            <v>56766223.619999953</v>
          </cell>
          <cell r="F22">
            <v>68495722.040000007</v>
          </cell>
          <cell r="H22">
            <v>72926890</v>
          </cell>
          <cell r="J22">
            <v>49121124</v>
          </cell>
          <cell r="L22">
            <v>50811537.57</v>
          </cell>
          <cell r="N22">
            <v>45327985.280000009</v>
          </cell>
          <cell r="P22">
            <v>28965025.329999998</v>
          </cell>
          <cell r="R22">
            <v>22269382.640000001</v>
          </cell>
          <cell r="T22">
            <v>22270229.460000001</v>
          </cell>
          <cell r="V22">
            <v>22887481.920000002</v>
          </cell>
        </row>
        <row r="23">
          <cell r="D23">
            <v>4535766.87</v>
          </cell>
          <cell r="F23">
            <v>6739308.9000000004</v>
          </cell>
          <cell r="H23">
            <v>8529592.9000000004</v>
          </cell>
          <cell r="J23">
            <v>8920856</v>
          </cell>
          <cell r="L23">
            <v>11587063.199999999</v>
          </cell>
          <cell r="N23">
            <v>4148584.0999999996</v>
          </cell>
          <cell r="P23">
            <v>4279140.05</v>
          </cell>
          <cell r="R23">
            <v>5088811.75</v>
          </cell>
          <cell r="T23">
            <v>5971620.4600000009</v>
          </cell>
          <cell r="V23">
            <v>7119542.1799999997</v>
          </cell>
        </row>
        <row r="25">
          <cell r="D25">
            <v>138179769.16</v>
          </cell>
          <cell r="F25">
            <v>173517241.65000001</v>
          </cell>
          <cell r="H25">
            <v>213850904.31999999</v>
          </cell>
          <cell r="J25">
            <v>199510659.24000001</v>
          </cell>
          <cell r="L25">
            <v>233496116.37</v>
          </cell>
          <cell r="N25">
            <v>213452220.68000001</v>
          </cell>
          <cell r="P25">
            <v>216501675.27000001</v>
          </cell>
          <cell r="R25">
            <v>241949355.72999999</v>
          </cell>
          <cell r="T25">
            <v>270120228.04000002</v>
          </cell>
          <cell r="V25">
            <v>264099239.14000005</v>
          </cell>
        </row>
        <row r="26">
          <cell r="D26">
            <v>110592983</v>
          </cell>
          <cell r="F26">
            <v>125446267</v>
          </cell>
          <cell r="H26">
            <v>115860488.59999999</v>
          </cell>
          <cell r="J26">
            <v>97587763</v>
          </cell>
          <cell r="L26">
            <v>129895634.22</v>
          </cell>
          <cell r="N26">
            <v>120890439.24000001</v>
          </cell>
          <cell r="P26">
            <v>125738855</v>
          </cell>
          <cell r="R26">
            <v>134703897.09</v>
          </cell>
          <cell r="T26">
            <v>151034703.57999998</v>
          </cell>
          <cell r="V26">
            <v>150309788.34999993</v>
          </cell>
        </row>
        <row r="27">
          <cell r="D27">
            <v>6384379.9699999997</v>
          </cell>
          <cell r="F27">
            <v>7824299.6800000006</v>
          </cell>
          <cell r="H27">
            <v>10201238.92</v>
          </cell>
          <cell r="J27">
            <v>10445931</v>
          </cell>
          <cell r="L27">
            <v>10149691.789999999</v>
          </cell>
          <cell r="N27">
            <v>10764704.380000001</v>
          </cell>
          <cell r="P27">
            <v>9987592.2599999998</v>
          </cell>
          <cell r="R27">
            <v>10770190.189999999</v>
          </cell>
          <cell r="T27">
            <v>12160117.389999999</v>
          </cell>
          <cell r="V27">
            <v>12114496.520000001</v>
          </cell>
        </row>
        <row r="28">
          <cell r="D28">
            <v>0</v>
          </cell>
          <cell r="F28">
            <v>0</v>
          </cell>
          <cell r="H28">
            <v>0</v>
          </cell>
          <cell r="J28">
            <v>0</v>
          </cell>
          <cell r="L28">
            <v>6215554.0999999996</v>
          </cell>
          <cell r="N28">
            <v>8470089.0300000012</v>
          </cell>
          <cell r="P28">
            <v>10022287.07</v>
          </cell>
          <cell r="R28">
            <v>11070841.180000002</v>
          </cell>
          <cell r="T28">
            <v>10988195.539999999</v>
          </cell>
          <cell r="V28">
            <v>10765296.66</v>
          </cell>
        </row>
        <row r="29">
          <cell r="D29">
            <v>15777845.709999993</v>
          </cell>
          <cell r="F29">
            <v>21847073.970000003</v>
          </cell>
          <cell r="H29">
            <v>26594093.5</v>
          </cell>
          <cell r="J29">
            <v>22516562.169999998</v>
          </cell>
          <cell r="L29">
            <v>20544226.239999998</v>
          </cell>
          <cell r="N29">
            <v>16011669.92</v>
          </cell>
          <cell r="P29">
            <v>17998206.289999999</v>
          </cell>
          <cell r="R29">
            <v>27179432.649999999</v>
          </cell>
          <cell r="T29">
            <v>15038439.810000001</v>
          </cell>
          <cell r="V29">
            <v>13154413.690000001</v>
          </cell>
        </row>
        <row r="34">
          <cell r="D34">
            <v>17868340.149999995</v>
          </cell>
          <cell r="F34">
            <v>22895117.909999996</v>
          </cell>
          <cell r="H34">
            <v>38239154.099999994</v>
          </cell>
          <cell r="J34">
            <v>28332415.080000002</v>
          </cell>
          <cell r="L34">
            <v>27428633.469999999</v>
          </cell>
          <cell r="N34">
            <v>25699255.23</v>
          </cell>
          <cell r="P34">
            <v>12706115.310000001</v>
          </cell>
          <cell r="R34">
            <v>13233490.18</v>
          </cell>
          <cell r="T34">
            <v>17342019.190000001</v>
          </cell>
          <cell r="V34">
            <v>29630001.300000001</v>
          </cell>
        </row>
        <row r="41">
          <cell r="D41">
            <v>60725640.779999994</v>
          </cell>
          <cell r="F41">
            <v>58512071.479999997</v>
          </cell>
          <cell r="H41">
            <v>45480397.879999995</v>
          </cell>
          <cell r="J41">
            <v>43622195.68</v>
          </cell>
          <cell r="L41">
            <v>31858288.899999999</v>
          </cell>
          <cell r="N41">
            <v>24777629.66</v>
          </cell>
          <cell r="P41">
            <v>35120651.189999998</v>
          </cell>
          <cell r="R41">
            <v>33675934.090000004</v>
          </cell>
          <cell r="T41">
            <v>29705548.170000002</v>
          </cell>
          <cell r="V41">
            <v>26566961.210000001</v>
          </cell>
        </row>
        <row r="46">
          <cell r="D46">
            <v>12337841.16</v>
          </cell>
          <cell r="F46">
            <v>10241165.600000001</v>
          </cell>
          <cell r="H46">
            <v>8998827.7799999993</v>
          </cell>
          <cell r="J46">
            <v>54812548</v>
          </cell>
          <cell r="L46">
            <v>4969313.91</v>
          </cell>
          <cell r="N46">
            <v>5006443.9800000004</v>
          </cell>
          <cell r="P46">
            <v>5498802.5</v>
          </cell>
          <cell r="R46">
            <v>8633294.2100000009</v>
          </cell>
          <cell r="T46">
            <v>8522051.1899999995</v>
          </cell>
          <cell r="V46">
            <v>7929787.8700000001</v>
          </cell>
        </row>
        <row r="47">
          <cell r="D47">
            <v>189875.77</v>
          </cell>
          <cell r="F47">
            <v>86112.85</v>
          </cell>
          <cell r="H47">
            <v>2235692.06</v>
          </cell>
          <cell r="J47">
            <v>6019555.9299999997</v>
          </cell>
          <cell r="L47">
            <v>2781827</v>
          </cell>
          <cell r="N47">
            <v>4014349.98</v>
          </cell>
          <cell r="P47">
            <v>5036438.91</v>
          </cell>
          <cell r="R47">
            <v>6614829.6400000006</v>
          </cell>
          <cell r="T47">
            <v>5554927.7199999997</v>
          </cell>
          <cell r="V47">
            <v>6598063.9000000004</v>
          </cell>
        </row>
        <row r="51">
          <cell r="R51">
            <v>371004370.17000002</v>
          </cell>
          <cell r="T51">
            <v>387342557.38999999</v>
          </cell>
          <cell r="V51">
            <v>382177081.81999993</v>
          </cell>
        </row>
        <row r="57">
          <cell r="D57">
            <v>15461447.869999999</v>
          </cell>
          <cell r="F57">
            <v>27511729.489999998</v>
          </cell>
          <cell r="H57">
            <v>21753186.010000002</v>
          </cell>
          <cell r="J57">
            <v>21646046.59</v>
          </cell>
          <cell r="L57">
            <v>18835767.040000003</v>
          </cell>
          <cell r="N57">
            <v>12829673.57</v>
          </cell>
          <cell r="P57">
            <v>10336327.24</v>
          </cell>
          <cell r="R57">
            <v>12119032.27</v>
          </cell>
          <cell r="T57">
            <v>11957808.1</v>
          </cell>
          <cell r="V57">
            <v>14740493.810000001</v>
          </cell>
        </row>
        <row r="58">
          <cell r="D58">
            <v>112547776.84</v>
          </cell>
          <cell r="F58">
            <v>137071242.36000001</v>
          </cell>
          <cell r="H58">
            <v>121034828</v>
          </cell>
          <cell r="J58">
            <v>109956288.45999999</v>
          </cell>
          <cell r="L58">
            <v>112683384.09</v>
          </cell>
          <cell r="N58">
            <v>110492923</v>
          </cell>
          <cell r="P58">
            <v>153691947.66</v>
          </cell>
          <cell r="R58">
            <v>77138116.629999995</v>
          </cell>
          <cell r="T58">
            <v>82668934.020000011</v>
          </cell>
          <cell r="V58">
            <v>84046561.560000002</v>
          </cell>
        </row>
        <row r="59">
          <cell r="D59">
            <v>20449366.720000003</v>
          </cell>
          <cell r="F59">
            <v>22633631.750000004</v>
          </cell>
          <cell r="H59">
            <v>22151878.379999999</v>
          </cell>
          <cell r="J59">
            <v>5130736.91</v>
          </cell>
          <cell r="L59">
            <v>28005189.850000001</v>
          </cell>
          <cell r="N59">
            <v>23542025.550000001</v>
          </cell>
          <cell r="P59">
            <v>22543512.98</v>
          </cell>
          <cell r="R59">
            <v>20415784.169999998</v>
          </cell>
          <cell r="T59">
            <v>21273630.079999998</v>
          </cell>
          <cell r="V59">
            <v>20121139.949999999</v>
          </cell>
        </row>
        <row r="60">
          <cell r="D60">
            <v>23398994.059999999</v>
          </cell>
          <cell r="F60">
            <v>27098929.48</v>
          </cell>
          <cell r="H60">
            <v>22531993.84</v>
          </cell>
          <cell r="J60">
            <v>24512028.640000001</v>
          </cell>
          <cell r="L60">
            <v>30256278.469999999</v>
          </cell>
          <cell r="N60">
            <v>45092350.030000001</v>
          </cell>
          <cell r="P60">
            <v>56859854.539999999</v>
          </cell>
          <cell r="R60">
            <v>67922775.540000007</v>
          </cell>
          <cell r="T60">
            <v>75516395.409999996</v>
          </cell>
          <cell r="V60">
            <v>81802749.749999985</v>
          </cell>
        </row>
        <row r="61">
          <cell r="D61">
            <v>2663918.17</v>
          </cell>
          <cell r="F61">
            <v>4927168.12</v>
          </cell>
          <cell r="H61">
            <v>8361199.96</v>
          </cell>
          <cell r="J61">
            <v>8038103.2300000004</v>
          </cell>
          <cell r="L61">
            <v>8015830.71</v>
          </cell>
          <cell r="N61">
            <v>7376287.9199999999</v>
          </cell>
          <cell r="P61">
            <v>7110247.5800000001</v>
          </cell>
          <cell r="R61">
            <v>7928041.8099999996</v>
          </cell>
          <cell r="T61">
            <v>8033102.0199999996</v>
          </cell>
          <cell r="V61">
            <v>7918742.3199999994</v>
          </cell>
        </row>
        <row r="62">
          <cell r="D62">
            <v>6072666.8299999991</v>
          </cell>
          <cell r="F62">
            <v>13072586.5</v>
          </cell>
          <cell r="H62">
            <v>18592791.149999999</v>
          </cell>
          <cell r="J62">
            <v>49824327.469999999</v>
          </cell>
          <cell r="L62">
            <v>39035362.68</v>
          </cell>
          <cell r="N62">
            <v>45400496.520000003</v>
          </cell>
          <cell r="P62">
            <v>25853418.300000001</v>
          </cell>
          <cell r="R62">
            <v>17425749.960000001</v>
          </cell>
          <cell r="T62">
            <v>18426863.34</v>
          </cell>
          <cell r="V62">
            <v>19618046.830000006</v>
          </cell>
        </row>
        <row r="63">
          <cell r="D63">
            <v>3904147.64</v>
          </cell>
          <cell r="F63">
            <v>5748223.0299999993</v>
          </cell>
          <cell r="H63">
            <v>6038203</v>
          </cell>
          <cell r="J63">
            <v>7631912.3799999999</v>
          </cell>
          <cell r="L63">
            <v>5231302.66</v>
          </cell>
          <cell r="N63">
            <v>5518538.25</v>
          </cell>
          <cell r="P63">
            <v>7005486.3200000003</v>
          </cell>
          <cell r="R63">
            <v>23613640.459999997</v>
          </cell>
          <cell r="T63">
            <v>29807470.829999998</v>
          </cell>
          <cell r="V63">
            <v>30746760.07</v>
          </cell>
        </row>
        <row r="64">
          <cell r="D64">
            <v>40141835.139999993</v>
          </cell>
          <cell r="F64">
            <v>0</v>
          </cell>
          <cell r="H64">
            <v>68265521.540000007</v>
          </cell>
          <cell r="J64">
            <v>26511453.920000002</v>
          </cell>
          <cell r="L64">
            <v>19371879.949999999</v>
          </cell>
          <cell r="N64">
            <v>10524223.029999999</v>
          </cell>
          <cell r="P64">
            <v>8948881.8499999996</v>
          </cell>
          <cell r="R64">
            <v>8075119.8499999996</v>
          </cell>
          <cell r="T64">
            <v>66246313.219999999</v>
          </cell>
          <cell r="V64">
            <v>28485480.849999994</v>
          </cell>
        </row>
        <row r="66">
          <cell r="D66">
            <v>34076058.170000002</v>
          </cell>
          <cell r="F66">
            <v>39187983.710000001</v>
          </cell>
          <cell r="H66">
            <v>42104253.460000001</v>
          </cell>
          <cell r="J66">
            <v>46907484</v>
          </cell>
          <cell r="L66">
            <v>51591720.359999999</v>
          </cell>
          <cell r="N66">
            <v>59330834.700000003</v>
          </cell>
          <cell r="P66">
            <v>65188636.469999999</v>
          </cell>
          <cell r="R66">
            <v>64036543.990000002</v>
          </cell>
          <cell r="T66">
            <v>61864914.020000003</v>
          </cell>
          <cell r="V66">
            <v>60836104.649999991</v>
          </cell>
        </row>
        <row r="67">
          <cell r="D67">
            <v>9796008.3399999999</v>
          </cell>
          <cell r="F67">
            <v>11417546.32</v>
          </cell>
          <cell r="H67">
            <v>30206318.57</v>
          </cell>
          <cell r="J67">
            <v>19907692</v>
          </cell>
          <cell r="L67">
            <v>20073795.120000001</v>
          </cell>
          <cell r="N67">
            <v>17323007.039999999</v>
          </cell>
          <cell r="P67">
            <v>16130418.140000001</v>
          </cell>
          <cell r="R67">
            <v>13086355.520000001</v>
          </cell>
          <cell r="T67">
            <v>22587777.399999999</v>
          </cell>
          <cell r="V67">
            <v>16655316.650000002</v>
          </cell>
        </row>
        <row r="68">
          <cell r="D68">
            <v>199416686.40000001</v>
          </cell>
          <cell r="F68">
            <v>228365332.86000001</v>
          </cell>
          <cell r="H68">
            <v>250935783.35999998</v>
          </cell>
          <cell r="J68">
            <v>323500545</v>
          </cell>
          <cell r="L68">
            <v>330972340.54000008</v>
          </cell>
          <cell r="N68">
            <v>356875323.42000002</v>
          </cell>
          <cell r="P68">
            <v>378962096.58999997</v>
          </cell>
          <cell r="R68">
            <v>383190248.31999987</v>
          </cell>
          <cell r="T68">
            <v>384390842.85000002</v>
          </cell>
          <cell r="V68">
            <v>387038896.73000014</v>
          </cell>
        </row>
        <row r="69">
          <cell r="D69">
            <v>10828245</v>
          </cell>
          <cell r="F69">
            <v>12762198</v>
          </cell>
          <cell r="H69">
            <v>15724080</v>
          </cell>
          <cell r="J69">
            <v>14442818</v>
          </cell>
          <cell r="L69">
            <v>12638749.91</v>
          </cell>
          <cell r="N69">
            <v>12978814.83</v>
          </cell>
          <cell r="P69">
            <v>13497405.869999999</v>
          </cell>
          <cell r="R69">
            <v>14792096.089999998</v>
          </cell>
          <cell r="T69">
            <v>15215135.74</v>
          </cell>
          <cell r="V69">
            <v>14449999.999999998</v>
          </cell>
        </row>
        <row r="70">
          <cell r="D70">
            <v>5651577</v>
          </cell>
          <cell r="F70">
            <v>6775917</v>
          </cell>
          <cell r="H70">
            <v>7567643</v>
          </cell>
          <cell r="J70">
            <v>7707976</v>
          </cell>
          <cell r="L70">
            <v>7871886.5700000003</v>
          </cell>
          <cell r="N70">
            <v>8254170.3099999996</v>
          </cell>
          <cell r="P70">
            <v>7855049.4100000001</v>
          </cell>
          <cell r="R70">
            <v>7862525.3600000013</v>
          </cell>
          <cell r="T70">
            <v>8089340.1100000003</v>
          </cell>
          <cell r="V70">
            <v>8061542.0699999994</v>
          </cell>
        </row>
        <row r="75">
          <cell r="N75">
            <v>1067088.02</v>
          </cell>
          <cell r="P75">
            <v>847020.99</v>
          </cell>
        </row>
        <row r="78">
          <cell r="D78">
            <v>0</v>
          </cell>
          <cell r="F78">
            <v>82459238.990000024</v>
          </cell>
          <cell r="H78">
            <v>73370859.459999993</v>
          </cell>
          <cell r="J78">
            <v>112364696.64</v>
          </cell>
          <cell r="L78">
            <v>63250368.810000002</v>
          </cell>
          <cell r="N78">
            <v>67115187.969999999</v>
          </cell>
          <cell r="P78">
            <v>58737973</v>
          </cell>
          <cell r="R78">
            <v>77219227.430000007</v>
          </cell>
          <cell r="T78">
            <v>67725837.019999996</v>
          </cell>
          <cell r="V78">
            <v>228003108.56999999</v>
          </cell>
        </row>
        <row r="79">
          <cell r="D79">
            <v>15376170.280000001</v>
          </cell>
          <cell r="F79">
            <v>7854938.71</v>
          </cell>
          <cell r="H79">
            <v>62542537.890000001</v>
          </cell>
          <cell r="J79">
            <v>17652931</v>
          </cell>
          <cell r="L79">
            <v>4074638.38</v>
          </cell>
          <cell r="N79">
            <v>2091768.6</v>
          </cell>
          <cell r="P79">
            <v>1775633.69</v>
          </cell>
          <cell r="R79">
            <v>2752781.98</v>
          </cell>
          <cell r="T79">
            <v>2484899.77</v>
          </cell>
          <cell r="V79">
            <v>2975830.1199999996</v>
          </cell>
        </row>
        <row r="80">
          <cell r="D80">
            <v>27204434.309999999</v>
          </cell>
          <cell r="F80">
            <v>10844803.16</v>
          </cell>
          <cell r="H80">
            <v>12437562.109999999</v>
          </cell>
          <cell r="J80">
            <v>10901702</v>
          </cell>
          <cell r="L80">
            <v>12589952.310000001</v>
          </cell>
          <cell r="N80">
            <v>11789476.779999999</v>
          </cell>
          <cell r="P80">
            <v>18078018.460000001</v>
          </cell>
          <cell r="R80">
            <v>14126844.789999999</v>
          </cell>
          <cell r="T80">
            <v>13532542.720000001</v>
          </cell>
          <cell r="V80">
            <v>16643694.030000001</v>
          </cell>
        </row>
        <row r="81">
          <cell r="D81">
            <v>1050939.44</v>
          </cell>
          <cell r="F81">
            <v>0</v>
          </cell>
          <cell r="H81">
            <v>50207</v>
          </cell>
          <cell r="J81">
            <v>1769094</v>
          </cell>
          <cell r="L81">
            <v>0</v>
          </cell>
          <cell r="N81">
            <v>33915163.380000003</v>
          </cell>
          <cell r="P81">
            <v>24719832.629999999</v>
          </cell>
          <cell r="R81">
            <v>107230592.5</v>
          </cell>
          <cell r="T81">
            <v>15258930.949999999</v>
          </cell>
          <cell r="V81">
            <v>0</v>
          </cell>
        </row>
        <row r="82">
          <cell r="D82">
            <v>0</v>
          </cell>
          <cell r="F82">
            <v>0</v>
          </cell>
          <cell r="H82">
            <v>0</v>
          </cell>
          <cell r="J82">
            <v>29123695</v>
          </cell>
          <cell r="L82">
            <v>29801619</v>
          </cell>
          <cell r="N82">
            <v>29193709</v>
          </cell>
          <cell r="P82">
            <v>33114247</v>
          </cell>
          <cell r="R82">
            <v>60543190.100000001</v>
          </cell>
          <cell r="T82">
            <v>65221299.670000002</v>
          </cell>
          <cell r="V82">
            <v>77407937.149999946</v>
          </cell>
        </row>
        <row r="83">
          <cell r="D83">
            <v>0</v>
          </cell>
          <cell r="F83">
            <v>0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P83">
            <v>0</v>
          </cell>
          <cell r="R83">
            <v>14438105.227300003</v>
          </cell>
          <cell r="T83">
            <v>4091274.1600000113</v>
          </cell>
          <cell r="V83">
            <v>-15133946.66</v>
          </cell>
        </row>
        <row r="84">
          <cell r="H84">
            <v>15119711.529999733</v>
          </cell>
          <cell r="J84">
            <v>-132095524.85449982</v>
          </cell>
          <cell r="L84">
            <v>-112243831.52999973</v>
          </cell>
        </row>
        <row r="86">
          <cell r="H86">
            <v>-7412282.3100002669</v>
          </cell>
          <cell r="J86">
            <v>-107583496.21449982</v>
          </cell>
          <cell r="L86">
            <v>-81987553.059999734</v>
          </cell>
          <cell r="N86">
            <v>-144581243.83999988</v>
          </cell>
        </row>
        <row r="88">
          <cell r="D88">
            <v>34109764.159999996</v>
          </cell>
          <cell r="F88">
            <v>23247139.440000001</v>
          </cell>
          <cell r="H88">
            <v>48375025.880000003</v>
          </cell>
          <cell r="J88">
            <v>68898727</v>
          </cell>
          <cell r="L88">
            <v>56807566.530000001</v>
          </cell>
          <cell r="N88">
            <v>31950887.579999998</v>
          </cell>
          <cell r="P88">
            <v>77940832.650000006</v>
          </cell>
          <cell r="R88">
            <v>92187296</v>
          </cell>
          <cell r="T88">
            <v>239006096.46000001</v>
          </cell>
          <cell r="V88">
            <v>221708220.00999999</v>
          </cell>
        </row>
        <row r="89">
          <cell r="D89">
            <v>14260035.939999999</v>
          </cell>
          <cell r="F89">
            <v>84151518.439999998</v>
          </cell>
          <cell r="H89">
            <v>16762329.57</v>
          </cell>
          <cell r="J89">
            <v>25402766</v>
          </cell>
          <cell r="L89">
            <v>45342776.32</v>
          </cell>
          <cell r="N89">
            <v>59510365.689999998</v>
          </cell>
          <cell r="P89">
            <v>54874811.390000001</v>
          </cell>
          <cell r="R89">
            <v>66404431</v>
          </cell>
          <cell r="T89">
            <v>195055115.47999999</v>
          </cell>
          <cell r="V89">
            <v>320033316.63999999</v>
          </cell>
        </row>
        <row r="90">
          <cell r="D90">
            <v>55676065.859999999</v>
          </cell>
          <cell r="F90">
            <v>53564873.539999999</v>
          </cell>
          <cell r="H90">
            <v>57775938</v>
          </cell>
          <cell r="J90">
            <v>56919463</v>
          </cell>
          <cell r="L90">
            <v>83862788</v>
          </cell>
          <cell r="N90">
            <v>41306494</v>
          </cell>
          <cell r="P90">
            <v>2623840.39</v>
          </cell>
          <cell r="R90">
            <v>0</v>
          </cell>
          <cell r="T90">
            <v>0</v>
          </cell>
        </row>
        <row r="93">
          <cell r="D93">
            <v>10687379.58</v>
          </cell>
          <cell r="F93">
            <v>8315797</v>
          </cell>
          <cell r="H93">
            <v>7657882.2599999998</v>
          </cell>
          <cell r="J93">
            <v>108130461</v>
          </cell>
          <cell r="L93">
            <v>20068251.93</v>
          </cell>
          <cell r="N93">
            <v>47000000</v>
          </cell>
          <cell r="P93">
            <v>63454375.850000001</v>
          </cell>
          <cell r="R93">
            <v>145350142</v>
          </cell>
          <cell r="T93">
            <v>244935100</v>
          </cell>
          <cell r="V93">
            <v>175248203.14000002</v>
          </cell>
        </row>
        <row r="94">
          <cell r="D94">
            <v>13153290.85</v>
          </cell>
          <cell r="F94">
            <v>1996377.48</v>
          </cell>
          <cell r="H94">
            <v>2981267.98</v>
          </cell>
          <cell r="J94">
            <v>148637806</v>
          </cell>
          <cell r="L94">
            <v>205373059</v>
          </cell>
          <cell r="N94">
            <v>187652611.97999999</v>
          </cell>
          <cell r="P94">
            <v>258129375.97</v>
          </cell>
          <cell r="R94">
            <v>188517208.25</v>
          </cell>
          <cell r="T94">
            <v>290814025.5</v>
          </cell>
          <cell r="V94">
            <v>657542120.07999992</v>
          </cell>
        </row>
        <row r="96">
          <cell r="D96">
            <v>20434516.260000002</v>
          </cell>
          <cell r="F96">
            <v>27533307.520000003</v>
          </cell>
          <cell r="H96">
            <v>24817482.77</v>
          </cell>
          <cell r="J96">
            <v>107021362</v>
          </cell>
          <cell r="L96">
            <v>5128634</v>
          </cell>
          <cell r="N96">
            <v>3351251.94</v>
          </cell>
          <cell r="P96">
            <v>3484625.4</v>
          </cell>
          <cell r="R96">
            <v>11948846.35</v>
          </cell>
          <cell r="T96">
            <v>6691829.7000000002</v>
          </cell>
          <cell r="V96">
            <v>7843144.3499999996</v>
          </cell>
        </row>
        <row r="97">
          <cell r="D97">
            <v>-13608071.219999671</v>
          </cell>
          <cell r="H97">
            <v>70101257</v>
          </cell>
          <cell r="J97">
            <v>-86496209</v>
          </cell>
          <cell r="L97">
            <v>64911113</v>
          </cell>
          <cell r="N97">
            <v>80423128</v>
          </cell>
          <cell r="P97">
            <v>891026</v>
          </cell>
          <cell r="R97">
            <v>14038525</v>
          </cell>
          <cell r="T97">
            <v>-5356216</v>
          </cell>
          <cell r="V97">
            <v>-7640432.4100000001</v>
          </cell>
        </row>
      </sheetData>
      <sheetData sheetId="3" refreshError="1">
        <row r="16">
          <cell r="D16">
            <v>20525829.359999999</v>
          </cell>
          <cell r="F16">
            <v>19429716.5</v>
          </cell>
          <cell r="H16">
            <v>29186949.5</v>
          </cell>
          <cell r="J16">
            <v>26380038.800000001</v>
          </cell>
          <cell r="L16">
            <v>23372210.269999996</v>
          </cell>
          <cell r="N16">
            <v>31587816.781999998</v>
          </cell>
          <cell r="P16">
            <v>27420611.093333334</v>
          </cell>
          <cell r="R16">
            <v>28533236.52</v>
          </cell>
          <cell r="T16">
            <v>32416791.079999998</v>
          </cell>
          <cell r="V16">
            <v>30961599.59</v>
          </cell>
        </row>
        <row r="17">
          <cell r="D17">
            <v>17498111.469999999</v>
          </cell>
          <cell r="F17">
            <v>22881452.5</v>
          </cell>
          <cell r="H17">
            <v>25325384.5</v>
          </cell>
          <cell r="J17">
            <v>14591081.619999999</v>
          </cell>
          <cell r="L17">
            <v>13293351.899999999</v>
          </cell>
          <cell r="N17">
            <v>14419589.217999998</v>
          </cell>
          <cell r="P17">
            <v>12973044.599999998</v>
          </cell>
          <cell r="R17">
            <v>12690069.07</v>
          </cell>
          <cell r="T17">
            <v>13399589.07</v>
          </cell>
          <cell r="V17">
            <v>13076258.108000001</v>
          </cell>
        </row>
        <row r="18">
          <cell r="D18">
            <v>17125994.16</v>
          </cell>
          <cell r="F18">
            <v>32617784</v>
          </cell>
          <cell r="H18">
            <v>39769507</v>
          </cell>
          <cell r="J18">
            <v>42246040.649999999</v>
          </cell>
          <cell r="L18">
            <v>44590000</v>
          </cell>
          <cell r="N18">
            <v>44446728.650000006</v>
          </cell>
          <cell r="P18">
            <v>58153320.149999999</v>
          </cell>
          <cell r="R18">
            <v>66596000.75</v>
          </cell>
          <cell r="T18">
            <v>71096555.519999996</v>
          </cell>
          <cell r="V18">
            <v>75997609.719999999</v>
          </cell>
        </row>
        <row r="19">
          <cell r="D19">
            <v>13516659.34</v>
          </cell>
          <cell r="F19">
            <v>11714225.140000001</v>
          </cell>
          <cell r="H19">
            <v>8914171</v>
          </cell>
          <cell r="J19">
            <v>6511851.5600000005</v>
          </cell>
          <cell r="L19">
            <v>5742344.5599999996</v>
          </cell>
          <cell r="N19">
            <v>5969432.7699999996</v>
          </cell>
          <cell r="P19">
            <v>5497737.2399999993</v>
          </cell>
          <cell r="R19">
            <v>6117329.8700000001</v>
          </cell>
          <cell r="T19">
            <v>5746427.6000000006</v>
          </cell>
          <cell r="V19">
            <v>5281653.3100000005</v>
          </cell>
        </row>
        <row r="25">
          <cell r="D25">
            <v>40119518.649999999</v>
          </cell>
          <cell r="F25">
            <v>98081287</v>
          </cell>
          <cell r="H25">
            <v>131770149</v>
          </cell>
          <cell r="J25">
            <v>77248621.400000006</v>
          </cell>
          <cell r="L25">
            <v>74565413.390000015</v>
          </cell>
          <cell r="N25">
            <v>46874546.219999984</v>
          </cell>
          <cell r="P25">
            <v>61038752.68</v>
          </cell>
          <cell r="R25">
            <v>55001655.600000009</v>
          </cell>
          <cell r="T25">
            <v>54511713.119999997</v>
          </cell>
          <cell r="V25">
            <v>54060686.439999998</v>
          </cell>
        </row>
        <row r="35">
          <cell r="D35">
            <v>7447067.6299999999</v>
          </cell>
          <cell r="F35">
            <v>12663792</v>
          </cell>
          <cell r="H35">
            <v>24814149</v>
          </cell>
          <cell r="J35">
            <v>16720160.26</v>
          </cell>
          <cell r="L35">
            <v>12231030.096000001</v>
          </cell>
          <cell r="N35">
            <v>12633856.32</v>
          </cell>
          <cell r="P35">
            <v>13803716.02</v>
          </cell>
          <cell r="R35">
            <v>16330291.689999999</v>
          </cell>
          <cell r="T35">
            <v>15100005.68</v>
          </cell>
          <cell r="V35">
            <v>12492829.039999999</v>
          </cell>
        </row>
        <row r="40">
          <cell r="D40">
            <v>2780504.02</v>
          </cell>
          <cell r="F40">
            <v>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P40">
            <v>0</v>
          </cell>
          <cell r="R40">
            <v>0</v>
          </cell>
          <cell r="T40">
            <v>113989.07</v>
          </cell>
          <cell r="V40">
            <v>301707.61</v>
          </cell>
        </row>
        <row r="42">
          <cell r="D42">
            <v>1053772.6200000001</v>
          </cell>
          <cell r="F42">
            <v>1560565.85</v>
          </cell>
          <cell r="H42">
            <v>1980484</v>
          </cell>
          <cell r="J42">
            <v>5542134.3700000001</v>
          </cell>
          <cell r="L42">
            <v>3075774.67</v>
          </cell>
          <cell r="N42">
            <v>4244191.55</v>
          </cell>
          <cell r="P42">
            <v>2880000</v>
          </cell>
          <cell r="R42">
            <v>3102369.06</v>
          </cell>
          <cell r="T42">
            <v>3750358.55</v>
          </cell>
          <cell r="V42">
            <v>6933606.0099999998</v>
          </cell>
        </row>
        <row r="46">
          <cell r="R46">
            <v>36040618.039999999</v>
          </cell>
          <cell r="T46">
            <v>36835921.669999994</v>
          </cell>
          <cell r="V46">
            <v>46614673.850000001</v>
          </cell>
        </row>
        <row r="52">
          <cell r="D52">
            <v>4368113.9400000004</v>
          </cell>
          <cell r="F52">
            <v>6156084.9900000002</v>
          </cell>
          <cell r="H52">
            <v>7324615.1400000006</v>
          </cell>
          <cell r="J52">
            <v>6026649.0199999996</v>
          </cell>
          <cell r="L52">
            <v>5720000</v>
          </cell>
          <cell r="N52">
            <v>7347314.0199999996</v>
          </cell>
          <cell r="P52">
            <v>2935022.82</v>
          </cell>
          <cell r="R52">
            <v>2483676.67</v>
          </cell>
          <cell r="T52">
            <v>2308248.6</v>
          </cell>
          <cell r="V52">
            <v>5051688.9400000004</v>
          </cell>
        </row>
        <row r="53">
          <cell r="D53">
            <v>14680010.780000001</v>
          </cell>
          <cell r="F53">
            <v>21387573.460000001</v>
          </cell>
          <cell r="H53">
            <v>23827708.100000005</v>
          </cell>
          <cell r="J53">
            <v>19998061.219999999</v>
          </cell>
          <cell r="L53">
            <v>17840000</v>
          </cell>
          <cell r="N53">
            <v>15836529.350000001</v>
          </cell>
          <cell r="P53">
            <v>16836563.879999999</v>
          </cell>
          <cell r="R53">
            <v>15003900.02</v>
          </cell>
          <cell r="T53">
            <v>14404200.050000001</v>
          </cell>
          <cell r="V53">
            <v>16570787.253</v>
          </cell>
        </row>
        <row r="54">
          <cell r="D54">
            <v>4644683.17</v>
          </cell>
          <cell r="F54">
            <v>7490889.2599999998</v>
          </cell>
          <cell r="H54">
            <v>7868618.580000001</v>
          </cell>
          <cell r="J54">
            <v>4862089.4800000004</v>
          </cell>
          <cell r="L54">
            <v>4840000</v>
          </cell>
          <cell r="N54">
            <v>4621732.5999999996</v>
          </cell>
          <cell r="P54">
            <v>5028758.51</v>
          </cell>
          <cell r="R54">
            <v>3852982.72</v>
          </cell>
          <cell r="T54">
            <v>3951278.9599999995</v>
          </cell>
          <cell r="V54">
            <v>4761373.5799999982</v>
          </cell>
        </row>
        <row r="55">
          <cell r="D55">
            <v>455669.44</v>
          </cell>
          <cell r="F55">
            <v>836173.69</v>
          </cell>
          <cell r="H55">
            <v>1273698.22</v>
          </cell>
          <cell r="J55">
            <v>1010709.4</v>
          </cell>
          <cell r="L55">
            <v>1150000</v>
          </cell>
          <cell r="N55">
            <v>2510915.6800000002</v>
          </cell>
          <cell r="P55">
            <v>2860462.2</v>
          </cell>
          <cell r="R55">
            <v>3347292.06</v>
          </cell>
          <cell r="T55">
            <v>3385393.0399999996</v>
          </cell>
          <cell r="V55">
            <v>4442822.2999999989</v>
          </cell>
        </row>
        <row r="56">
          <cell r="D56">
            <v>422746.26</v>
          </cell>
          <cell r="F56">
            <v>681936.29</v>
          </cell>
          <cell r="H56">
            <v>813077.09</v>
          </cell>
          <cell r="J56">
            <v>729952.59</v>
          </cell>
          <cell r="L56">
            <v>570000</v>
          </cell>
          <cell r="N56">
            <v>330969.98</v>
          </cell>
          <cell r="P56">
            <v>317175.2</v>
          </cell>
          <cell r="R56">
            <v>435777.18</v>
          </cell>
          <cell r="T56">
            <v>455172.39</v>
          </cell>
          <cell r="V56">
            <v>583055.70000000007</v>
          </cell>
        </row>
        <row r="57">
          <cell r="D57">
            <v>535086.44999999995</v>
          </cell>
          <cell r="F57">
            <v>797354.68</v>
          </cell>
          <cell r="H57">
            <v>1570180</v>
          </cell>
          <cell r="J57">
            <v>1131782.23</v>
          </cell>
          <cell r="L57">
            <v>750000</v>
          </cell>
          <cell r="N57">
            <v>952860</v>
          </cell>
          <cell r="P57">
            <v>754203.5</v>
          </cell>
          <cell r="R57">
            <v>758994.65</v>
          </cell>
          <cell r="T57">
            <v>417432.82999999996</v>
          </cell>
          <cell r="V57">
            <v>667323.80999999994</v>
          </cell>
        </row>
        <row r="58">
          <cell r="D58">
            <v>1240417.81</v>
          </cell>
          <cell r="F58">
            <v>2013836.12</v>
          </cell>
          <cell r="H58">
            <v>532599.9</v>
          </cell>
          <cell r="J58">
            <v>833178.99</v>
          </cell>
          <cell r="L58">
            <v>980000</v>
          </cell>
          <cell r="N58">
            <v>1230492.5799999998</v>
          </cell>
          <cell r="P58">
            <v>842778.14999999991</v>
          </cell>
          <cell r="R58">
            <v>1301521.27</v>
          </cell>
          <cell r="T58">
            <v>2535092.0100000002</v>
          </cell>
          <cell r="V58">
            <v>2412256.4500000002</v>
          </cell>
        </row>
        <row r="60">
          <cell r="D60">
            <v>254133.9</v>
          </cell>
          <cell r="F60">
            <v>195543.38</v>
          </cell>
          <cell r="H60">
            <v>3801208.7</v>
          </cell>
          <cell r="J60">
            <v>549056.49</v>
          </cell>
          <cell r="L60">
            <v>0</v>
          </cell>
          <cell r="N60">
            <v>761932.83999999985</v>
          </cell>
          <cell r="P60">
            <v>453275.36</v>
          </cell>
          <cell r="R60">
            <v>436472.52</v>
          </cell>
          <cell r="T60">
            <v>604518.25249999994</v>
          </cell>
          <cell r="V60">
            <v>817712.74</v>
          </cell>
        </row>
        <row r="61">
          <cell r="D61">
            <v>31045</v>
          </cell>
          <cell r="F61">
            <v>71579</v>
          </cell>
          <cell r="H61">
            <v>75791.399999999994</v>
          </cell>
          <cell r="J61">
            <v>55835</v>
          </cell>
          <cell r="L61">
            <v>440000</v>
          </cell>
          <cell r="N61">
            <v>0</v>
          </cell>
          <cell r="P61">
            <v>0</v>
          </cell>
          <cell r="R61">
            <v>0</v>
          </cell>
          <cell r="T61">
            <v>0</v>
          </cell>
          <cell r="V61">
            <v>0</v>
          </cell>
        </row>
        <row r="62">
          <cell r="D62">
            <v>0</v>
          </cell>
          <cell r="F62">
            <v>0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P62">
            <v>0</v>
          </cell>
          <cell r="R62">
            <v>0</v>
          </cell>
          <cell r="T62">
            <v>0</v>
          </cell>
          <cell r="V62">
            <v>0</v>
          </cell>
        </row>
        <row r="63">
          <cell r="D63">
            <v>0</v>
          </cell>
          <cell r="F63">
            <v>0</v>
          </cell>
          <cell r="H63">
            <v>0</v>
          </cell>
          <cell r="J63">
            <v>0</v>
          </cell>
          <cell r="L63">
            <v>0</v>
          </cell>
          <cell r="N63">
            <v>0</v>
          </cell>
          <cell r="P63">
            <v>0</v>
          </cell>
          <cell r="R63">
            <v>0</v>
          </cell>
          <cell r="T63">
            <v>0</v>
          </cell>
          <cell r="V63">
            <v>0</v>
          </cell>
        </row>
        <row r="64">
          <cell r="D64">
            <v>0</v>
          </cell>
          <cell r="F64">
            <v>0</v>
          </cell>
          <cell r="H64">
            <v>0</v>
          </cell>
          <cell r="J64">
            <v>0</v>
          </cell>
          <cell r="L64">
            <v>0</v>
          </cell>
          <cell r="N64">
            <v>0</v>
          </cell>
          <cell r="P64">
            <v>0</v>
          </cell>
          <cell r="R64">
            <v>0</v>
          </cell>
          <cell r="T64">
            <v>0</v>
          </cell>
          <cell r="V64">
            <v>0</v>
          </cell>
        </row>
        <row r="71">
          <cell r="D71">
            <v>56911483.659999996</v>
          </cell>
          <cell r="F71">
            <v>104902148.42999999</v>
          </cell>
          <cell r="H71">
            <v>166401109.03999996</v>
          </cell>
          <cell r="J71">
            <v>112335160</v>
          </cell>
          <cell r="L71">
            <v>83150000</v>
          </cell>
          <cell r="N71">
            <v>51469674.490000002</v>
          </cell>
          <cell r="P71">
            <v>48316705.07</v>
          </cell>
          <cell r="R71">
            <v>47167542.18</v>
          </cell>
          <cell r="T71">
            <v>49380655.789999999</v>
          </cell>
          <cell r="V71">
            <v>40132842.900000006</v>
          </cell>
        </row>
        <row r="72">
          <cell r="D72">
            <v>1165260.56</v>
          </cell>
          <cell r="F72">
            <v>1714709.32</v>
          </cell>
          <cell r="H72">
            <v>971121</v>
          </cell>
          <cell r="J72">
            <v>609500</v>
          </cell>
          <cell r="L72">
            <v>970000</v>
          </cell>
          <cell r="N72">
            <v>2142181.59</v>
          </cell>
          <cell r="P72">
            <v>1189239.27</v>
          </cell>
          <cell r="R72">
            <v>1376437.67</v>
          </cell>
          <cell r="T72">
            <v>1276416.05</v>
          </cell>
          <cell r="V72">
            <v>1723394.15</v>
          </cell>
        </row>
        <row r="73">
          <cell r="D73">
            <v>0</v>
          </cell>
          <cell r="F73">
            <v>0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P73">
            <v>0</v>
          </cell>
          <cell r="R73">
            <v>0</v>
          </cell>
          <cell r="T73">
            <v>40559662.529999994</v>
          </cell>
          <cell r="V73">
            <v>47118710.25</v>
          </cell>
        </row>
        <row r="74">
          <cell r="D74">
            <v>4882891.71</v>
          </cell>
          <cell r="F74">
            <v>8103979.8300000001</v>
          </cell>
          <cell r="H74">
            <v>6900498.129999999</v>
          </cell>
          <cell r="J74">
            <v>3613548.59</v>
          </cell>
          <cell r="L74">
            <v>3250000</v>
          </cell>
          <cell r="N74">
            <v>2296279.0099999998</v>
          </cell>
          <cell r="P74">
            <v>3457991.1</v>
          </cell>
          <cell r="R74">
            <v>1816209.27</v>
          </cell>
          <cell r="T74">
            <v>2464920.5699999998</v>
          </cell>
          <cell r="V74">
            <v>1883983.68</v>
          </cell>
        </row>
        <row r="75">
          <cell r="D75">
            <v>0</v>
          </cell>
          <cell r="F75">
            <v>0</v>
          </cell>
          <cell r="H75">
            <v>0</v>
          </cell>
          <cell r="J75">
            <v>0</v>
          </cell>
          <cell r="L75">
            <v>0</v>
          </cell>
          <cell r="N75">
            <v>197478.01</v>
          </cell>
          <cell r="P75">
            <v>0</v>
          </cell>
          <cell r="R75">
            <v>0</v>
          </cell>
          <cell r="T75">
            <v>0</v>
          </cell>
          <cell r="V75">
            <v>0</v>
          </cell>
        </row>
        <row r="76">
          <cell r="D76">
            <v>0</v>
          </cell>
          <cell r="F76">
            <v>0</v>
          </cell>
          <cell r="H76">
            <v>0</v>
          </cell>
          <cell r="J76">
            <v>0</v>
          </cell>
          <cell r="L76">
            <v>0</v>
          </cell>
          <cell r="N76">
            <v>-4851519.62</v>
          </cell>
          <cell r="P76">
            <v>11275907.500000015</v>
          </cell>
          <cell r="R76">
            <v>7430857.25</v>
          </cell>
          <cell r="T76">
            <v>2421937.75</v>
          </cell>
          <cell r="V76">
            <v>-22526157.100000009</v>
          </cell>
        </row>
        <row r="77">
          <cell r="H77">
            <v>-32117731.74999994</v>
          </cell>
          <cell r="J77">
            <v>-36405675.530000001</v>
          </cell>
          <cell r="L77">
            <v>-6065613.2839999627</v>
          </cell>
        </row>
        <row r="79">
          <cell r="H79">
            <v>-30844033.529999942</v>
          </cell>
          <cell r="J79">
            <v>-35394966.130000003</v>
          </cell>
          <cell r="L79">
            <v>-4915613.2839999627</v>
          </cell>
          <cell r="N79">
            <v>16006884.839999985</v>
          </cell>
        </row>
        <row r="81">
          <cell r="D81">
            <v>11024495.749999998</v>
          </cell>
          <cell r="F81">
            <v>6578374.8200000003</v>
          </cell>
          <cell r="H81">
            <v>6383400.2400000002</v>
          </cell>
          <cell r="J81">
            <v>7754843.96</v>
          </cell>
          <cell r="L81">
            <v>5330000</v>
          </cell>
          <cell r="N81">
            <v>7608617.8899999997</v>
          </cell>
          <cell r="P81">
            <v>5489000</v>
          </cell>
          <cell r="R81">
            <v>12296750.719999999</v>
          </cell>
          <cell r="T81">
            <v>15347125.99</v>
          </cell>
          <cell r="V81">
            <v>24886206.350000001</v>
          </cell>
        </row>
        <row r="82">
          <cell r="D82">
            <v>0</v>
          </cell>
          <cell r="F82">
            <v>0</v>
          </cell>
          <cell r="H82">
            <v>0</v>
          </cell>
          <cell r="J82">
            <v>0</v>
          </cell>
          <cell r="L82">
            <v>0</v>
          </cell>
          <cell r="N82">
            <v>806645.45</v>
          </cell>
          <cell r="P82">
            <v>5000000</v>
          </cell>
          <cell r="R82">
            <v>1915776.82</v>
          </cell>
          <cell r="T82">
            <v>2744942.8</v>
          </cell>
          <cell r="V82">
            <v>2037836.9700000002</v>
          </cell>
        </row>
        <row r="83">
          <cell r="D83">
            <v>6204942.3400000008</v>
          </cell>
          <cell r="F83">
            <v>14937422.99</v>
          </cell>
          <cell r="H83">
            <v>13574577.060000002</v>
          </cell>
          <cell r="J83">
            <v>28806572.18</v>
          </cell>
          <cell r="L83">
            <v>37474902.359999999</v>
          </cell>
          <cell r="N83">
            <v>41286910.969999999</v>
          </cell>
          <cell r="P83">
            <v>44461812.849999994</v>
          </cell>
          <cell r="R83">
            <v>52693444.259999998</v>
          </cell>
          <cell r="T83">
            <v>0</v>
          </cell>
        </row>
        <row r="86">
          <cell r="D86">
            <v>5893589.3600000003</v>
          </cell>
          <cell r="F86">
            <v>10707710</v>
          </cell>
          <cell r="H86">
            <v>17313887</v>
          </cell>
          <cell r="J86">
            <v>17528712.059999999</v>
          </cell>
          <cell r="L86">
            <v>22050000</v>
          </cell>
          <cell r="N86">
            <v>19346883.030000001</v>
          </cell>
          <cell r="P86">
            <v>7816189.2200000007</v>
          </cell>
          <cell r="R86">
            <v>5945795.6100001307</v>
          </cell>
          <cell r="T86">
            <v>5163551.93</v>
          </cell>
          <cell r="V86">
            <v>43804891.43</v>
          </cell>
        </row>
        <row r="87">
          <cell r="N87">
            <v>2067504.4</v>
          </cell>
          <cell r="R87">
            <v>2913870.6</v>
          </cell>
          <cell r="T87">
            <v>4579292</v>
          </cell>
          <cell r="V87">
            <v>3170050.35</v>
          </cell>
        </row>
        <row r="88">
          <cell r="D88">
            <v>0</v>
          </cell>
          <cell r="F88">
            <v>78586670</v>
          </cell>
          <cell r="H88">
            <v>13738634</v>
          </cell>
          <cell r="J88">
            <v>22730850.149999999</v>
          </cell>
          <cell r="L88">
            <v>22290000</v>
          </cell>
          <cell r="N88">
            <v>11633716.220000001</v>
          </cell>
          <cell r="P88">
            <v>10530729.020000001</v>
          </cell>
          <cell r="R88">
            <v>14834043.460000001</v>
          </cell>
          <cell r="T88">
            <v>7853495.3499999996</v>
          </cell>
          <cell r="V88">
            <v>1832083.79</v>
          </cell>
        </row>
        <row r="89">
          <cell r="D89">
            <v>13420905.799800023</v>
          </cell>
          <cell r="H89">
            <v>19042704.050000001</v>
          </cell>
          <cell r="J89">
            <v>27165395.09</v>
          </cell>
          <cell r="L89">
            <v>1452863.78599995</v>
          </cell>
          <cell r="N89">
            <v>-1086090.05</v>
          </cell>
          <cell r="P89">
            <v>14290000</v>
          </cell>
          <cell r="R89">
            <v>-3406607.2200000025</v>
          </cell>
          <cell r="T89">
            <v>-4373142.1375000142</v>
          </cell>
          <cell r="V89">
            <v>-11783771.454999957</v>
          </cell>
        </row>
        <row r="90">
          <cell r="D90">
            <v>0</v>
          </cell>
          <cell r="F90">
            <v>4522417</v>
          </cell>
          <cell r="H90">
            <v>4417379</v>
          </cell>
          <cell r="J90">
            <v>2574042.41</v>
          </cell>
          <cell r="L90">
            <v>1892155.33</v>
          </cell>
          <cell r="N90">
            <v>1067088.02</v>
          </cell>
          <cell r="P90">
            <v>847020.99</v>
          </cell>
          <cell r="R90">
            <v>4705739.93</v>
          </cell>
          <cell r="T90">
            <v>2801985.19</v>
          </cell>
          <cell r="V90">
            <v>1390107.69</v>
          </cell>
        </row>
      </sheetData>
      <sheetData sheetId="4" refreshError="1"/>
      <sheetData sheetId="5" refreshError="1">
        <row r="1">
          <cell r="A1">
            <v>2</v>
          </cell>
        </row>
        <row r="70">
          <cell r="C70" t="str">
            <v>mil. €</v>
          </cell>
          <cell r="D70" t="str">
            <v>% BDP</v>
          </cell>
          <cell r="E70" t="str">
            <v>mil. €</v>
          </cell>
          <cell r="F70" t="str">
            <v>% BDP</v>
          </cell>
          <cell r="G70" t="str">
            <v>mil. €</v>
          </cell>
          <cell r="H70" t="str">
            <v>% BDP</v>
          </cell>
          <cell r="I70" t="str">
            <v>mil. €</v>
          </cell>
          <cell r="J70" t="str">
            <v>% BDP</v>
          </cell>
          <cell r="K70" t="str">
            <v>mil. €</v>
          </cell>
          <cell r="L70" t="str">
            <v>% BDP</v>
          </cell>
          <cell r="M70" t="str">
            <v>mil. €</v>
          </cell>
          <cell r="N70" t="str">
            <v>% BDP</v>
          </cell>
          <cell r="O70" t="str">
            <v>mil. €</v>
          </cell>
          <cell r="P70" t="str">
            <v>% BDP</v>
          </cell>
          <cell r="Q70" t="str">
            <v>mil. €</v>
          </cell>
          <cell r="R70" t="str">
            <v>% BDP</v>
          </cell>
          <cell r="S70" t="str">
            <v>mil. €</v>
          </cell>
          <cell r="T70" t="str">
            <v>% BDP</v>
          </cell>
          <cell r="U70" t="str">
            <v>mil. €</v>
          </cell>
          <cell r="V70" t="str">
            <v>% BDP</v>
          </cell>
        </row>
        <row r="71">
          <cell r="C71" t="str">
            <v>mil. €</v>
          </cell>
          <cell r="D71" t="str">
            <v>% GDP</v>
          </cell>
          <cell r="E71" t="str">
            <v>mil. €</v>
          </cell>
          <cell r="F71" t="str">
            <v>% GDP</v>
          </cell>
          <cell r="G71" t="str">
            <v>mil. €</v>
          </cell>
          <cell r="H71" t="str">
            <v>% GDP</v>
          </cell>
          <cell r="I71" t="str">
            <v>mil. €</v>
          </cell>
          <cell r="J71" t="str">
            <v>% GDP</v>
          </cell>
          <cell r="K71" t="str">
            <v>mil. €</v>
          </cell>
          <cell r="L71" t="str">
            <v>% GDP</v>
          </cell>
          <cell r="M71" t="str">
            <v>mil. €</v>
          </cell>
          <cell r="N71" t="str">
            <v>% GDP</v>
          </cell>
          <cell r="O71" t="str">
            <v>mil. €</v>
          </cell>
          <cell r="P71" t="str">
            <v>% GDP</v>
          </cell>
          <cell r="Q71" t="str">
            <v>mil. €</v>
          </cell>
          <cell r="R71" t="str">
            <v>% GDP</v>
          </cell>
          <cell r="S71" t="str">
            <v>mil. €</v>
          </cell>
          <cell r="T71" t="str">
            <v>% GDP</v>
          </cell>
          <cell r="U71" t="str">
            <v>mil. €</v>
          </cell>
          <cell r="V71" t="str">
            <v>% GDP</v>
          </cell>
        </row>
        <row r="159">
          <cell r="B159" t="str">
            <v>Lokalna samouprava</v>
          </cell>
        </row>
        <row r="160">
          <cell r="B160" t="str">
            <v>Local Government</v>
          </cell>
        </row>
        <row r="162">
          <cell r="B162" t="str">
            <v>Izvorni prihodi</v>
          </cell>
          <cell r="C162" t="str">
            <v>Current revenues</v>
          </cell>
        </row>
        <row r="163">
          <cell r="B163" t="str">
            <v>Porezi</v>
          </cell>
          <cell r="C163" t="str">
            <v>Taxes</v>
          </cell>
        </row>
        <row r="164">
          <cell r="B164" t="str">
            <v>Porez na dohodak fizičkih lica</v>
          </cell>
          <cell r="C164" t="str">
            <v>Personal Income Tax</v>
          </cell>
        </row>
        <row r="166">
          <cell r="B166" t="str">
            <v>Porez na promet nepokretnosti</v>
          </cell>
          <cell r="C166" t="str">
            <v xml:space="preserve">Taxes on Property </v>
          </cell>
        </row>
        <row r="168">
          <cell r="B168" t="str">
            <v>Lokalni porezi</v>
          </cell>
          <cell r="C168" t="str">
            <v>Local Taxes</v>
          </cell>
        </row>
        <row r="177">
          <cell r="B177" t="str">
            <v>Takse</v>
          </cell>
          <cell r="C177" t="str">
            <v>Duties</v>
          </cell>
        </row>
        <row r="178">
          <cell r="B178" t="str">
            <v>Administrativne takse</v>
          </cell>
          <cell r="C178" t="str">
            <v>Administrative duties</v>
          </cell>
        </row>
        <row r="179">
          <cell r="B179" t="str">
            <v>Sudske takse</v>
          </cell>
          <cell r="C179" t="str">
            <v>Court duties</v>
          </cell>
        </row>
        <row r="180">
          <cell r="B180" t="str">
            <v>Boravišne takse</v>
          </cell>
          <cell r="C180" t="str">
            <v>Residential duties</v>
          </cell>
        </row>
        <row r="181">
          <cell r="B181" t="str">
            <v>Lokalne komunalne takse</v>
          </cell>
          <cell r="C181" t="str">
            <v>Lolacl utility duties</v>
          </cell>
        </row>
        <row r="182">
          <cell r="B182" t="str">
            <v>Ostale takse</v>
          </cell>
          <cell r="C182" t="str">
            <v>Other duties</v>
          </cell>
        </row>
        <row r="183">
          <cell r="B183" t="str">
            <v>Naknade</v>
          </cell>
          <cell r="C183" t="str">
            <v>Fees</v>
          </cell>
        </row>
        <row r="184">
          <cell r="B184" t="str">
            <v>Naknade za korišćenje dobara od opšteg interesa</v>
          </cell>
          <cell r="C184" t="str">
            <v>Fees for use of goods of common interest</v>
          </cell>
        </row>
        <row r="185">
          <cell r="B185" t="str">
            <v>Naknade za korišćenje prirodnih dobara</v>
          </cell>
          <cell r="C185" t="str">
            <v>Fees for use of natural resources</v>
          </cell>
        </row>
        <row r="186">
          <cell r="B186" t="str">
            <v>Naknade za komunalno opremanje građevinskog zemljišta</v>
          </cell>
          <cell r="C186" t="str">
            <v>Fees for municipal residental land</v>
          </cell>
        </row>
        <row r="187">
          <cell r="B187" t="str">
            <v>Naknade za korišćenje građevinskog zemljišta</v>
          </cell>
          <cell r="C187" t="str">
            <v>Fees for usage of construction land</v>
          </cell>
        </row>
        <row r="188">
          <cell r="B188" t="str">
            <v>Ekološke naknade</v>
          </cell>
          <cell r="C188" t="str">
            <v>Ecological fees</v>
          </cell>
        </row>
        <row r="189">
          <cell r="B189" t="str">
            <v>Naknade za priređivanje igara na sreću</v>
          </cell>
          <cell r="C189" t="str">
            <v>Fee for organizing games of chance</v>
          </cell>
        </row>
        <row r="190">
          <cell r="B190" t="str">
            <v>Naknade za lokalne puteve</v>
          </cell>
          <cell r="C190" t="str">
            <v>Local road fees</v>
          </cell>
        </row>
        <row r="191">
          <cell r="B191" t="str">
            <v>Naknada za puteve</v>
          </cell>
          <cell r="C191" t="str">
            <v xml:space="preserve">Road fees </v>
          </cell>
        </row>
        <row r="192">
          <cell r="B192" t="str">
            <v>Ostale naknade</v>
          </cell>
          <cell r="C192" t="str">
            <v>Other fees</v>
          </cell>
        </row>
        <row r="193">
          <cell r="B193" t="str">
            <v>Ostali prihodi</v>
          </cell>
          <cell r="C193" t="str">
            <v>Other revenues</v>
          </cell>
        </row>
        <row r="194">
          <cell r="B194" t="str">
            <v>Prihodi od kapitala</v>
          </cell>
          <cell r="C194" t="str">
            <v>Revenues from capital</v>
          </cell>
        </row>
        <row r="195">
          <cell r="B195" t="str">
            <v>Novčane kazne i oduzete imovinske koristi</v>
          </cell>
          <cell r="C195" t="str">
            <v>Fines and seized property gains</v>
          </cell>
        </row>
        <row r="196">
          <cell r="B196" t="str">
            <v>Prihodi koje organi ostvaruju vršenjem svoje djelatnosti</v>
          </cell>
          <cell r="C196" t="str">
            <v>Revenues from own activities of government bodies</v>
          </cell>
        </row>
        <row r="197">
          <cell r="B197" t="str">
            <v>Ostali prihodi</v>
          </cell>
          <cell r="C197" t="str">
            <v>Other revenues</v>
          </cell>
        </row>
        <row r="198">
          <cell r="B198" t="str">
            <v xml:space="preserve">Primici od otplate kredita </v>
          </cell>
          <cell r="C198" t="str">
            <v>Receipts from repayment of loans</v>
          </cell>
        </row>
        <row r="199">
          <cell r="B199" t="str">
            <v>Donacije</v>
          </cell>
          <cell r="C199" t="str">
            <v>Grants</v>
          </cell>
        </row>
        <row r="200">
          <cell r="B200" t="str">
            <v>Izdaci</v>
          </cell>
          <cell r="C200" t="str">
            <v>Expenditures</v>
          </cell>
        </row>
        <row r="201">
          <cell r="B201" t="str">
            <v>Tekuća potrošnja lokalne samouprave</v>
          </cell>
          <cell r="C201" t="str">
            <v>Current local government expenditure</v>
          </cell>
        </row>
        <row r="202">
          <cell r="B202" t="str">
            <v>Tekući izdaci</v>
          </cell>
          <cell r="C202" t="str">
            <v>Current expenditures</v>
          </cell>
        </row>
        <row r="203">
          <cell r="B203" t="str">
            <v>Bruto zarade i doprinosi na teret poslodavca</v>
          </cell>
          <cell r="C203" t="str">
            <v>Gross salaries and contributions charged to employer</v>
          </cell>
        </row>
        <row r="204">
          <cell r="B204" t="str">
            <v>Neto zarade</v>
          </cell>
          <cell r="C204" t="str">
            <v>Net salaries</v>
          </cell>
        </row>
        <row r="205">
          <cell r="B205" t="str">
            <v>Porez na zarade</v>
          </cell>
          <cell r="C205" t="str">
            <v>Personal income tax</v>
          </cell>
        </row>
        <row r="206">
          <cell r="B206" t="str">
            <v>Doprinosi na teret zaposlenog</v>
          </cell>
          <cell r="C206" t="str">
            <v>Contributions charged to employee</v>
          </cell>
        </row>
        <row r="207">
          <cell r="B207" t="str">
            <v>Doprinosi na teret poslodavca</v>
          </cell>
          <cell r="C207" t="str">
            <v>Contributions charged to employer</v>
          </cell>
        </row>
        <row r="208">
          <cell r="B208" t="str">
            <v>Prirez na porez</v>
          </cell>
          <cell r="C208" t="str">
            <v>Surtaxe on PIT</v>
          </cell>
        </row>
        <row r="209">
          <cell r="B209" t="str">
            <v>Ostala lična primanja</v>
          </cell>
          <cell r="C209" t="str">
            <v>Other personal income</v>
          </cell>
        </row>
        <row r="210">
          <cell r="B210" t="str">
            <v>Rashodi za materijal i usluge</v>
          </cell>
          <cell r="C210" t="str">
            <v>Expenditures for supplies and services</v>
          </cell>
        </row>
        <row r="211">
          <cell r="B211" t="str">
            <v>Tekuće održavanje</v>
          </cell>
          <cell r="C211" t="str">
            <v>Current maintenance</v>
          </cell>
        </row>
        <row r="212">
          <cell r="B212" t="str">
            <v>Kamate</v>
          </cell>
          <cell r="C212" t="str">
            <v>Interests</v>
          </cell>
        </row>
        <row r="213">
          <cell r="B213" t="str">
            <v>Renta</v>
          </cell>
          <cell r="C213" t="str">
            <v>Rent</v>
          </cell>
        </row>
        <row r="214">
          <cell r="B214" t="str">
            <v>Subvencije</v>
          </cell>
          <cell r="C214" t="str">
            <v>Subsidies</v>
          </cell>
        </row>
        <row r="215">
          <cell r="B215" t="str">
            <v>Ostali izdaci</v>
          </cell>
          <cell r="C215" t="str">
            <v>Other expenditures</v>
          </cell>
        </row>
        <row r="216">
          <cell r="B216" t="str">
            <v>Transferi za socijalnu zaštitu</v>
          </cell>
          <cell r="C216" t="str">
            <v>Social security transfers</v>
          </cell>
        </row>
        <row r="217">
          <cell r="B217" t="str">
            <v>Prava iz oblasti socijalne zaštite</v>
          </cell>
          <cell r="C217" t="str">
            <v>Social security related rights</v>
          </cell>
        </row>
        <row r="218">
          <cell r="B218" t="str">
            <v>Sredstva za tehnološke viškove</v>
          </cell>
          <cell r="C218" t="str">
            <v>Funds for redundant labor</v>
          </cell>
        </row>
        <row r="219">
          <cell r="B219" t="str">
            <v>Prava iz oblasti penzijskog i invalidskog osiguranja</v>
          </cell>
          <cell r="C219" t="str">
            <v>Pension and disability insurance rights</v>
          </cell>
        </row>
        <row r="220">
          <cell r="B220" t="str">
            <v>Ostala prava iz oblasti zdravstvene zaštite</v>
          </cell>
          <cell r="C220" t="str">
            <v>Other rights related to health care</v>
          </cell>
        </row>
        <row r="221">
          <cell r="B221" t="str">
            <v>Ostala prava iz oblasti zdravstvenog osiguranja</v>
          </cell>
          <cell r="C221" t="str">
            <v>Other rights related to health care insurance</v>
          </cell>
        </row>
        <row r="222">
          <cell r="B222" t="str">
            <v>Transferi inst. pojedinicima NVO i javnom sektoru</v>
          </cell>
          <cell r="C222" t="str">
            <v xml:space="preserve">Transfers to institutions, individuals, NGO and public sector </v>
          </cell>
        </row>
        <row r="223">
          <cell r="B223" t="str">
            <v>Transferi javnim institucijama</v>
          </cell>
          <cell r="C223" t="str">
            <v>Transfers to public institutions</v>
          </cell>
        </row>
        <row r="224">
          <cell r="B224" t="str">
            <v>Transferi nevladinim organizacijama</v>
          </cell>
          <cell r="C224" t="str">
            <v>Transfers to NGOs</v>
          </cell>
        </row>
        <row r="225">
          <cell r="B225" t="str">
            <v>Transferi pojedincima</v>
          </cell>
          <cell r="C225" t="str">
            <v>Transfers to individuals</v>
          </cell>
        </row>
        <row r="226">
          <cell r="B226" t="str">
            <v>Transferi opštinama</v>
          </cell>
          <cell r="C226" t="str">
            <v>Transfers to municipalities</v>
          </cell>
        </row>
        <row r="227">
          <cell r="B227" t="str">
            <v>Transferi javnim preduzećima</v>
          </cell>
          <cell r="C227" t="str">
            <v>Transfers to public enterprises</v>
          </cell>
        </row>
        <row r="228">
          <cell r="B228" t="str">
            <v xml:space="preserve">Kapitalni budzet </v>
          </cell>
          <cell r="C228" t="str">
            <v>Capital expenditures</v>
          </cell>
        </row>
        <row r="230">
          <cell r="B230" t="str">
            <v>Pozajmice i krediti</v>
          </cell>
          <cell r="C230" t="str">
            <v>Loans and credits</v>
          </cell>
        </row>
        <row r="232">
          <cell r="B232" t="str">
            <v>Otplata neizmirenih obaveza iz prethodnog perioda</v>
          </cell>
          <cell r="C232" t="str">
            <v>Repayment of liabilities from previous years</v>
          </cell>
        </row>
        <row r="233">
          <cell r="B233" t="str">
            <v>Rezerve</v>
          </cell>
          <cell r="C233" t="str">
            <v>Reserves</v>
          </cell>
        </row>
        <row r="234">
          <cell r="B234" t="str">
            <v>Neto povećanje obaveza</v>
          </cell>
          <cell r="C234" t="str">
            <v xml:space="preserve">Net increse of liabilities </v>
          </cell>
        </row>
        <row r="235">
          <cell r="B235" t="str">
            <v>Suficit/deficit</v>
          </cell>
          <cell r="C235" t="str">
            <v>Surplus/deficit</v>
          </cell>
        </row>
        <row r="236">
          <cell r="B236" t="str">
            <v>Primarni deficit</v>
          </cell>
          <cell r="C236" t="str">
            <v>Primary deficit</v>
          </cell>
        </row>
        <row r="237">
          <cell r="B237" t="str">
            <v>Otplata duga</v>
          </cell>
          <cell r="C237" t="str">
            <v>Repayment of debt</v>
          </cell>
        </row>
        <row r="238">
          <cell r="B238" t="str">
            <v>Otplata glavnice rezidentima</v>
          </cell>
          <cell r="C238" t="str">
            <v>Repayment of principal to residents</v>
          </cell>
        </row>
        <row r="239">
          <cell r="B239" t="str">
            <v>Otplata glavnice nerezidentima</v>
          </cell>
          <cell r="C239" t="str">
            <v>Repayment of principal to nonresidents</v>
          </cell>
        </row>
        <row r="240">
          <cell r="B240" t="str">
            <v>Otplata  obaveza iz prethodnog perioda</v>
          </cell>
          <cell r="C240" t="str">
            <v>Repayment of Arrears</v>
          </cell>
        </row>
        <row r="241">
          <cell r="B241" t="str">
            <v>Otplata garancija</v>
          </cell>
          <cell r="C241" t="str">
            <v>Repayment of Garantees</v>
          </cell>
        </row>
        <row r="242">
          <cell r="B242" t="str">
            <v>Nedostajuća sredstva</v>
          </cell>
        </row>
        <row r="243">
          <cell r="B243" t="str">
            <v>Finansiranje</v>
          </cell>
        </row>
        <row r="244">
          <cell r="B244" t="str">
            <v>Pozajmice i krediti iz domaćih izvora</v>
          </cell>
          <cell r="C244" t="str">
            <v>Borrowings and credits from domestic sources</v>
          </cell>
        </row>
        <row r="245">
          <cell r="B245" t="str">
            <v>Pozajmice i krediti iz inostranih izvora</v>
          </cell>
          <cell r="C245" t="str">
            <v>Borrowings and credits from foreign sources</v>
          </cell>
        </row>
        <row r="246">
          <cell r="C246" t="str">
            <v>Privatisation revenues</v>
          </cell>
        </row>
        <row r="247">
          <cell r="B247" t="str">
            <v>Donacije</v>
          </cell>
          <cell r="C247" t="str">
            <v>Grants</v>
          </cell>
        </row>
        <row r="248">
          <cell r="B248" t="str">
            <v>Korišćenje depozita lokalne samouprave</v>
          </cell>
          <cell r="C248" t="str">
            <v>Deposits of local government</v>
          </cell>
        </row>
        <row r="249">
          <cell r="B249" t="str">
            <v>Transferi iz budžeta CG</v>
          </cell>
          <cell r="C249" t="str">
            <v>Transfers from the Central Budget</v>
          </cell>
        </row>
        <row r="250">
          <cell r="B250" t="str">
            <v>Izvor: Ministarstvo finansija Crne Gore</v>
          </cell>
          <cell r="C250" t="str">
            <v>Sourse: Ministry of Finance of Montenegro</v>
          </cell>
        </row>
        <row r="257">
          <cell r="B257" t="str">
            <v>Javna potrošnja</v>
          </cell>
          <cell r="C257" t="str">
            <v>mil. €</v>
          </cell>
          <cell r="D257" t="str">
            <v xml:space="preserve"> % BDP</v>
          </cell>
          <cell r="E257" t="str">
            <v>mil. €</v>
          </cell>
          <cell r="F257" t="str">
            <v xml:space="preserve"> % BDP</v>
          </cell>
          <cell r="G257" t="str">
            <v>mil. €</v>
          </cell>
          <cell r="H257" t="str">
            <v xml:space="preserve"> % BDP</v>
          </cell>
          <cell r="I257" t="str">
            <v>mil. €</v>
          </cell>
          <cell r="J257" t="str">
            <v xml:space="preserve"> % BDP</v>
          </cell>
          <cell r="K257" t="str">
            <v>mil. €</v>
          </cell>
          <cell r="L257" t="str">
            <v xml:space="preserve"> % BDP</v>
          </cell>
          <cell r="M257" t="str">
            <v>mil. €</v>
          </cell>
          <cell r="N257" t="str">
            <v xml:space="preserve"> % BDP</v>
          </cell>
          <cell r="O257" t="str">
            <v>mil. €</v>
          </cell>
          <cell r="P257" t="str">
            <v xml:space="preserve"> % BDP</v>
          </cell>
          <cell r="Q257" t="str">
            <v>mil. €</v>
          </cell>
          <cell r="R257" t="str">
            <v xml:space="preserve"> % BDP</v>
          </cell>
          <cell r="S257" t="str">
            <v>mil. €</v>
          </cell>
          <cell r="T257" t="str">
            <v xml:space="preserve"> % BDP</v>
          </cell>
          <cell r="U257" t="str">
            <v>mil. €</v>
          </cell>
          <cell r="V257" t="str">
            <v xml:space="preserve"> % BDP</v>
          </cell>
        </row>
        <row r="258">
          <cell r="B258" t="str">
            <v>Public expenditure</v>
          </cell>
          <cell r="C258" t="str">
            <v>mil. €</v>
          </cell>
          <cell r="D258" t="str">
            <v xml:space="preserve"> % GDP</v>
          </cell>
          <cell r="E258" t="str">
            <v>mil. €</v>
          </cell>
          <cell r="F258" t="str">
            <v xml:space="preserve"> % GDP</v>
          </cell>
          <cell r="G258" t="str">
            <v>mil. €</v>
          </cell>
          <cell r="H258" t="str">
            <v xml:space="preserve"> % GDP</v>
          </cell>
          <cell r="I258" t="str">
            <v>mil. €</v>
          </cell>
          <cell r="J258" t="str">
            <v xml:space="preserve"> % GDP</v>
          </cell>
          <cell r="K258" t="str">
            <v>mil. €</v>
          </cell>
          <cell r="L258" t="str">
            <v xml:space="preserve"> % GDP</v>
          </cell>
          <cell r="M258" t="str">
            <v>mil. €</v>
          </cell>
          <cell r="N258" t="str">
            <v xml:space="preserve"> % GDP</v>
          </cell>
          <cell r="O258" t="str">
            <v>mil. €</v>
          </cell>
          <cell r="P258" t="str">
            <v xml:space="preserve"> % GDP</v>
          </cell>
          <cell r="Q258" t="str">
            <v>mil. €</v>
          </cell>
          <cell r="R258" t="str">
            <v xml:space="preserve"> % GDP</v>
          </cell>
          <cell r="S258" t="str">
            <v>mil. €</v>
          </cell>
          <cell r="T258" t="str">
            <v xml:space="preserve"> % GDP</v>
          </cell>
          <cell r="U258" t="str">
            <v>mil. €</v>
          </cell>
          <cell r="V258" t="str">
            <v xml:space="preserve"> % GDP</v>
          </cell>
        </row>
        <row r="259">
          <cell r="B259" t="str">
            <v>Izvorni prihodi</v>
          </cell>
          <cell r="C259" t="str">
            <v>Current revenues</v>
          </cell>
        </row>
        <row r="260">
          <cell r="B260" t="str">
            <v>Porezi</v>
          </cell>
          <cell r="C260" t="str">
            <v>Taxes</v>
          </cell>
        </row>
        <row r="261">
          <cell r="B261" t="str">
            <v>Porez na dohodak fizičkih lica</v>
          </cell>
          <cell r="C261" t="str">
            <v>Personal Income Tax</v>
          </cell>
        </row>
        <row r="262">
          <cell r="B262" t="str">
            <v>Porez na dobit pravnih lica</v>
          </cell>
          <cell r="C262" t="str">
            <v>Tax on Profits of Legal Persons</v>
          </cell>
        </row>
        <row r="263">
          <cell r="B263" t="str">
            <v>Porez na promet nepokretnosti</v>
          </cell>
          <cell r="C263" t="str">
            <v xml:space="preserve">Taxes on Property </v>
          </cell>
        </row>
        <row r="264">
          <cell r="B264" t="str">
            <v>Porez na dodatu vrijednost</v>
          </cell>
          <cell r="C264" t="str">
            <v>Value Added Tax</v>
          </cell>
        </row>
        <row r="265">
          <cell r="B265" t="str">
            <v>Akcize</v>
          </cell>
          <cell r="C265" t="str">
            <v>Excises</v>
          </cell>
        </row>
        <row r="266">
          <cell r="B266" t="str">
            <v>Porez na međunarodnu trgovinu i transakcije</v>
          </cell>
          <cell r="C266" t="str">
            <v>Tax on International Trade and Transactions</v>
          </cell>
        </row>
        <row r="267">
          <cell r="B267" t="str">
            <v>Lokalni porezi</v>
          </cell>
          <cell r="C267" t="str">
            <v>Local taxes</v>
          </cell>
        </row>
        <row r="268">
          <cell r="B268" t="str">
            <v>Ostali državni porezi</v>
          </cell>
          <cell r="C268" t="str">
            <v>Other State Taxes</v>
          </cell>
        </row>
        <row r="269">
          <cell r="B269" t="str">
            <v>Doprinosi</v>
          </cell>
          <cell r="C269" t="str">
            <v>Contributions</v>
          </cell>
        </row>
        <row r="270">
          <cell r="B270" t="str">
            <v>Doprinosi za penzijsko i invalidsko osiguranje</v>
          </cell>
          <cell r="C270" t="str">
            <v>Contributions for Pension and Disability Insurance</v>
          </cell>
        </row>
        <row r="271">
          <cell r="B271" t="str">
            <v>Doprinosi za zdravstveno osiguranje</v>
          </cell>
          <cell r="C271" t="str">
            <v>Contributions for Health Insurance</v>
          </cell>
        </row>
        <row r="272">
          <cell r="B272" t="str">
            <v>Doprinosi za osiguranje od nezaposlenosti</v>
          </cell>
          <cell r="C272" t="str">
            <v>Contributions for Insurance from Unemployment</v>
          </cell>
        </row>
        <row r="273">
          <cell r="B273" t="str">
            <v>Ostali doprinosi</v>
          </cell>
          <cell r="C273" t="str">
            <v>Other contributions</v>
          </cell>
        </row>
        <row r="274">
          <cell r="B274" t="str">
            <v>Takse</v>
          </cell>
          <cell r="C274" t="str">
            <v>Duties</v>
          </cell>
        </row>
        <row r="275">
          <cell r="B275" t="str">
            <v>Naknade</v>
          </cell>
          <cell r="C275" t="str">
            <v>Fees</v>
          </cell>
        </row>
        <row r="276">
          <cell r="B276" t="str">
            <v>Ostali prihodi</v>
          </cell>
          <cell r="C276" t="str">
            <v>Other revenues</v>
          </cell>
        </row>
        <row r="277">
          <cell r="B277" t="str">
            <v>Primici od otplate kredita</v>
          </cell>
          <cell r="C277" t="str">
            <v xml:space="preserve">Receipts from repayment of loans </v>
          </cell>
        </row>
        <row r="278">
          <cell r="B278" t="str">
            <v>Javna potrošnja</v>
          </cell>
          <cell r="C278" t="str">
            <v>Public expenditures</v>
          </cell>
        </row>
        <row r="279">
          <cell r="B279" t="str">
            <v>Tekuća javna potrošnja</v>
          </cell>
          <cell r="C279" t="str">
            <v>Current public expenditures</v>
          </cell>
        </row>
        <row r="280">
          <cell r="B280" t="str">
            <v>Tekući izdaci</v>
          </cell>
          <cell r="C280" t="str">
            <v>Current expenditures</v>
          </cell>
        </row>
        <row r="281">
          <cell r="B281" t="str">
            <v>Bruto zarade i doprinosi na teret poslodavca</v>
          </cell>
          <cell r="C281" t="str">
            <v>Gross salaries and contributions charged to employer</v>
          </cell>
        </row>
        <row r="287">
          <cell r="B287" t="str">
            <v>Ostala lična primanja</v>
          </cell>
          <cell r="C287" t="str">
            <v>Other personal income</v>
          </cell>
        </row>
        <row r="288">
          <cell r="B288" t="str">
            <v>Rashodi za materijal i usluge</v>
          </cell>
          <cell r="C288" t="str">
            <v>Expenditures for supplies and services</v>
          </cell>
        </row>
        <row r="289">
          <cell r="B289" t="str">
            <v>Tekuće održavanje</v>
          </cell>
          <cell r="C289" t="str">
            <v>Current maintenance</v>
          </cell>
        </row>
        <row r="290">
          <cell r="B290" t="str">
            <v>Kamate</v>
          </cell>
          <cell r="C290" t="str">
            <v>Interests</v>
          </cell>
        </row>
        <row r="291">
          <cell r="B291" t="str">
            <v>Renta</v>
          </cell>
          <cell r="C291" t="str">
            <v>Rent</v>
          </cell>
        </row>
        <row r="292">
          <cell r="B292" t="str">
            <v>Subvencije</v>
          </cell>
          <cell r="C292" t="str">
            <v>Subsidies</v>
          </cell>
        </row>
        <row r="293">
          <cell r="B293" t="str">
            <v>Ostali izdaci</v>
          </cell>
          <cell r="C293" t="str">
            <v>Other expenditures</v>
          </cell>
        </row>
        <row r="294">
          <cell r="B294" t="str">
            <v xml:space="preserve">Kapitalni izdaci tekućeg budžeta </v>
          </cell>
          <cell r="C294" t="str">
            <v>Capital expenditures of Current Budget and State Funds</v>
          </cell>
        </row>
        <row r="295">
          <cell r="B295" t="str">
            <v>Transferi za socijalnu zaštitu</v>
          </cell>
          <cell r="C295" t="str">
            <v>Social security transfers</v>
          </cell>
        </row>
        <row r="296">
          <cell r="B296" t="str">
            <v>Prava iz oblasti socijalne zaštite</v>
          </cell>
          <cell r="C296" t="str">
            <v>Social security related rights</v>
          </cell>
        </row>
        <row r="297">
          <cell r="B297" t="str">
            <v>Sredstva za tehnološke viškove</v>
          </cell>
          <cell r="C297" t="str">
            <v>Funds for redundant labor</v>
          </cell>
        </row>
        <row r="298">
          <cell r="B298" t="str">
            <v>Prava iz oblasti penzijskog i invalidskog osiguranja</v>
          </cell>
          <cell r="C298" t="str">
            <v>Pension and disability insurance rights</v>
          </cell>
        </row>
        <row r="299">
          <cell r="B299" t="str">
            <v>Ostala prava iz oblasti zdravstvene zaštite</v>
          </cell>
          <cell r="C299" t="str">
            <v>Other rights related to health care</v>
          </cell>
        </row>
        <row r="300">
          <cell r="B300" t="str">
            <v>Ostala prava iz oblasti zdravstvenog osiguranja</v>
          </cell>
          <cell r="C300" t="str">
            <v>Other rights related to health care insurance</v>
          </cell>
        </row>
        <row r="301">
          <cell r="B301" t="str">
            <v>Transferi instit. pojed. NVO i javnom sektoru</v>
          </cell>
          <cell r="C301" t="str">
            <v xml:space="preserve">Transfers to institutions, individuals, NGO and public sector </v>
          </cell>
        </row>
        <row r="306">
          <cell r="B306" t="str">
            <v>Kapitalni budžet</v>
          </cell>
          <cell r="C306" t="str">
            <v>Capital expenditures</v>
          </cell>
        </row>
        <row r="307">
          <cell r="B307" t="str">
            <v>Kapitalni budžet CG</v>
          </cell>
          <cell r="C307" t="str">
            <v>Capital Budget of Montenegro</v>
          </cell>
        </row>
        <row r="308">
          <cell r="B308" t="str">
            <v>Kapitalni budžet lokalne samouprave</v>
          </cell>
          <cell r="C308" t="str">
            <v>Capital Budget of Local Government</v>
          </cell>
        </row>
        <row r="309">
          <cell r="B309" t="str">
            <v>Pozajmice i krediti</v>
          </cell>
          <cell r="C309" t="str">
            <v>Loans and credits</v>
          </cell>
        </row>
        <row r="311">
          <cell r="B311" t="str">
            <v>Otplata obaveza iz prethodnog perioda</v>
          </cell>
          <cell r="C311" t="str">
            <v>Repayment of liabilities from previous years</v>
          </cell>
        </row>
        <row r="312">
          <cell r="B312" t="str">
            <v>Rezerve</v>
          </cell>
          <cell r="C312" t="str">
            <v>Reserves</v>
          </cell>
        </row>
        <row r="313">
          <cell r="B313" t="str">
            <v>Neto povećanje obaveza</v>
          </cell>
          <cell r="C313" t="str">
            <v xml:space="preserve">Net increse of liabilities </v>
          </cell>
        </row>
        <row r="314">
          <cell r="B314" t="str">
            <v>Suficit/deficit</v>
          </cell>
          <cell r="C314" t="str">
            <v>Surplus/deficit</v>
          </cell>
        </row>
        <row r="315">
          <cell r="B315" t="str">
            <v>Primarni deficit</v>
          </cell>
          <cell r="C315" t="str">
            <v>Primary deficit</v>
          </cell>
        </row>
        <row r="316">
          <cell r="B316" t="str">
            <v>Otplata duga</v>
          </cell>
          <cell r="C316" t="str">
            <v>Repayment of debt</v>
          </cell>
        </row>
        <row r="317">
          <cell r="B317" t="str">
            <v>Otplata glavnice rezidentima</v>
          </cell>
          <cell r="C317" t="str">
            <v>Repayment of principal to residents</v>
          </cell>
        </row>
        <row r="318">
          <cell r="B318" t="str">
            <v>Otplata glavnice nerezidentima</v>
          </cell>
          <cell r="C318" t="str">
            <v>Repayment of principal to nonresidents</v>
          </cell>
        </row>
        <row r="319">
          <cell r="B319" t="str">
            <v>Otplata obaveza iz prethodnog perioda</v>
          </cell>
          <cell r="C319" t="str">
            <v>Repayment of Arrears</v>
          </cell>
        </row>
        <row r="320">
          <cell r="B320" t="str">
            <v>Otplata garancija</v>
          </cell>
          <cell r="C320" t="str">
            <v>Repayment of Garantees</v>
          </cell>
        </row>
        <row r="321">
          <cell r="B321" t="str">
            <v>Nedostajuća sredstva</v>
          </cell>
          <cell r="C321" t="str">
            <v>Financing needs</v>
          </cell>
        </row>
        <row r="322">
          <cell r="B322" t="str">
            <v>Finansiranje</v>
          </cell>
          <cell r="C322" t="str">
            <v>Financing</v>
          </cell>
        </row>
        <row r="323">
          <cell r="B323" t="str">
            <v>Pozajmice i krediti iz domaćih izvora</v>
          </cell>
          <cell r="C323" t="str">
            <v>Borrowings and credits from domestic sources</v>
          </cell>
        </row>
        <row r="324">
          <cell r="B324" t="str">
            <v>Pozajmice i krediti iz inostranih izvora</v>
          </cell>
          <cell r="C324" t="str">
            <v>Borrowings and credits from foreign sources</v>
          </cell>
        </row>
        <row r="325">
          <cell r="B325" t="str">
            <v>Donacije</v>
          </cell>
          <cell r="C325" t="str">
            <v>Grants</v>
          </cell>
        </row>
        <row r="326">
          <cell r="B326" t="str">
            <v>Prihodi od privatizacije i prodaje imovine</v>
          </cell>
          <cell r="C326" t="str">
            <v>Privatisation revenues or selling property</v>
          </cell>
        </row>
        <row r="327">
          <cell r="B327" t="str">
            <v>Korišćenje depozita države</v>
          </cell>
          <cell r="C327" t="str">
            <v>Increase/Decrease of deposits</v>
          </cell>
        </row>
        <row r="328">
          <cell r="B328" t="str">
            <v>Izvor: Ministarstvo finansija Crne Gore</v>
          </cell>
          <cell r="C328" t="str">
            <v>Sourse: Ministry of Finance of Montenegro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AI100"/>
  <sheetViews>
    <sheetView zoomScale="85" zoomScaleNormal="85" zoomScaleSheetLayoutView="100" workbookViewId="0">
      <selection activeCell="V31" sqref="V31"/>
    </sheetView>
  </sheetViews>
  <sheetFormatPr defaultColWidth="9.140625" defaultRowHeight="12.75"/>
  <cols>
    <col min="1" max="4" width="9.140625" style="40"/>
    <col min="5" max="5" width="8.85546875" style="40" customWidth="1"/>
    <col min="6" max="11" width="9.140625" style="40"/>
    <col min="12" max="12" width="8.5703125" style="40" customWidth="1"/>
    <col min="13" max="13" width="12" style="40" customWidth="1"/>
    <col min="14" max="14" width="9.140625" style="40"/>
    <col min="15" max="15" width="12.85546875" style="40" customWidth="1"/>
    <col min="16" max="16384" width="9.140625" style="40"/>
  </cols>
  <sheetData>
    <row r="1" spans="1:35" ht="12.75" customHeight="1">
      <c r="A1" s="39"/>
      <c r="B1" s="39"/>
      <c r="D1" s="41"/>
      <c r="E1" s="41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ht="12.75" customHeight="1">
      <c r="A2" s="39"/>
      <c r="B2" s="42"/>
      <c r="C2" s="41"/>
      <c r="D2" s="41"/>
      <c r="E2" s="41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27" customHeight="1">
      <c r="A3" s="39"/>
      <c r="B3" s="529" t="str">
        <f>IF(MasterSheet!$A$1=1,MasterSheet!B30,MasterSheet!B31)</f>
        <v>Napomena: Informacija je urađena na engleskom i crnogorskom jeziku</v>
      </c>
      <c r="C3" s="530"/>
      <c r="D3" s="530"/>
      <c r="E3" s="531"/>
      <c r="G3" s="39"/>
      <c r="H3" s="42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5">
      <c r="A4" s="39"/>
      <c r="B4" s="39"/>
      <c r="C4" s="41"/>
      <c r="D4" s="41"/>
      <c r="E4" s="41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5" spans="1:3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6" spans="1:3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</row>
    <row r="7" spans="1:3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1:35" ht="15">
      <c r="A8" s="39"/>
      <c r="B8" s="39"/>
      <c r="C8" s="39"/>
      <c r="D8" s="39"/>
      <c r="E8" s="39"/>
      <c r="F8" s="39"/>
      <c r="G8" s="39"/>
      <c r="H8" s="39"/>
      <c r="I8" s="39"/>
      <c r="J8" s="532" t="str">
        <f>IF(MasterSheet!$A$1 = 1, MasterSheet!C5,MasterSheet!B5)</f>
        <v>CRNA GORA</v>
      </c>
      <c r="K8" s="532"/>
      <c r="L8" s="532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ht="15">
      <c r="A9" s="39"/>
      <c r="B9" s="39"/>
      <c r="C9" s="39"/>
      <c r="D9" s="39"/>
      <c r="E9" s="39"/>
      <c r="F9" s="39"/>
      <c r="G9" s="39"/>
      <c r="H9" s="39"/>
      <c r="I9" s="532" t="str">
        <f>IF(MasterSheet!$A$1 = 1, MasterSheet!C6,MasterSheet!B6)</f>
        <v>MINISTARSTVO FINANSIJA</v>
      </c>
      <c r="J9" s="532"/>
      <c r="K9" s="532"/>
      <c r="L9" s="532"/>
      <c r="M9" s="532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</row>
    <row r="10" spans="1:3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</row>
    <row r="11" spans="1:3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3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3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</row>
    <row r="15" spans="1:3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1:3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1:3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 ht="14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533" t="str">
        <f>IF(MasterSheet!$A$1=1, MasterSheet!C8,MasterSheet!B8)</f>
        <v>Površina (km²)</v>
      </c>
      <c r="L18" s="533"/>
      <c r="M18" s="533"/>
      <c r="N18" s="533"/>
      <c r="O18" s="103">
        <v>13812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</row>
    <row r="19" spans="1:35" ht="14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534" t="str">
        <f>IF(MasterSheet!$A$1=1, MasterSheet!C9,MasterSheet!B9)</f>
        <v>Broj stanovnika (Popis 2011)</v>
      </c>
      <c r="L19" s="534"/>
      <c r="M19" s="534"/>
      <c r="N19" s="534"/>
      <c r="O19" s="104">
        <v>625266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 ht="14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105"/>
      <c r="L20" s="105"/>
      <c r="M20" s="105"/>
      <c r="N20" s="105"/>
      <c r="O20" s="10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 ht="14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533" t="str">
        <f>IF(MasterSheet!$A$1=1, MasterSheet!C10,MasterSheet!B10)</f>
        <v>Glavni grad</v>
      </c>
      <c r="L21" s="533"/>
      <c r="M21" s="533"/>
      <c r="N21" s="533"/>
      <c r="O21" s="107" t="s">
        <v>216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 ht="14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534" t="str">
        <f>IF(MasterSheet!$A$1=1, MasterSheet!C11,MasterSheet!B11)</f>
        <v>Prijestonica</v>
      </c>
      <c r="L22" s="534"/>
      <c r="M22" s="534"/>
      <c r="N22" s="534"/>
      <c r="O22" s="108" t="s">
        <v>217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ht="14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105"/>
      <c r="L23" s="105"/>
      <c r="M23" s="105"/>
      <c r="N23" s="105"/>
      <c r="O23" s="106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5" ht="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534" t="str">
        <f>IF(MasterSheet!$A$1=1, MasterSheet!C12,MasterSheet!B12)</f>
        <v>Valuta</v>
      </c>
      <c r="L24" s="534"/>
      <c r="M24" s="534"/>
      <c r="N24" s="534"/>
      <c r="O24" s="107" t="s">
        <v>393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35" ht="14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105"/>
      <c r="L25" s="109"/>
      <c r="M25" s="109"/>
      <c r="N25" s="109"/>
      <c r="O25" s="110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1:35" ht="14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533" t="str">
        <f>IF(MasterSheet!$A$1=1, MasterSheet!C13,MasterSheet!B13)</f>
        <v>BDP (mil. €)*</v>
      </c>
      <c r="L26" s="533"/>
      <c r="M26" s="533"/>
      <c r="N26" s="533"/>
      <c r="O26" s="111" t="e">
        <f>+#REF!</f>
        <v>#REF!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ht="14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533" t="str">
        <f>IF(MasterSheet!$A$1=1, MasterSheet!C14,MasterSheet!B14)</f>
        <v>BDP per capita (€)*</v>
      </c>
      <c r="L27" s="533"/>
      <c r="M27" s="533"/>
      <c r="N27" s="533"/>
      <c r="O27" s="103" t="e">
        <f>O26/O19</f>
        <v>#REF!</v>
      </c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ht="14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533" t="str">
        <f>IF(MasterSheet!$A$1=1, MasterSheet!C15,MasterSheet!B15)</f>
        <v xml:space="preserve">   Inflacija (%)</v>
      </c>
      <c r="L28" s="533"/>
      <c r="M28" s="533"/>
      <c r="N28" s="533"/>
      <c r="O28" s="112">
        <v>1.5</v>
      </c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 ht="14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534" t="str">
        <f>IF(MasterSheet!$A$1=1, MasterSheet!C17,MasterSheet!B17)</f>
        <v xml:space="preserve">   Javna potrošnja (% BDP)</v>
      </c>
      <c r="L29" s="534"/>
      <c r="M29" s="534"/>
      <c r="N29" s="534"/>
      <c r="O29" s="113" t="e">
        <f>+#REF!</f>
        <v>#REF!</v>
      </c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5" ht="14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114"/>
      <c r="L30" s="115"/>
      <c r="M30" s="116"/>
      <c r="N30" s="116"/>
      <c r="O30" s="103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35" ht="14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533" t="str">
        <f>IF(MasterSheet!$A$1=1, MasterSheet!C18,MasterSheet!B18)</f>
        <v>Prosječna neto zarada (€)</v>
      </c>
      <c r="L31" s="533"/>
      <c r="M31" s="533"/>
      <c r="N31" s="533"/>
      <c r="O31" s="103">
        <v>486</v>
      </c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ht="14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534" t="str">
        <f>IF(MasterSheet!$A$1=1, MasterSheet!C19,MasterSheet!B19)</f>
        <v>Stopa nezaposlenosti (%)</v>
      </c>
      <c r="L32" s="534"/>
      <c r="M32" s="534"/>
      <c r="N32" s="534"/>
      <c r="O32" s="113">
        <v>14.9</v>
      </c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3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43" t="str">
        <f>IF(MasterSheet!$A$1=1, MasterSheet!C21,MasterSheet!B21)</f>
        <v>Izvor: ZZZ, Monstat, Ministarstvo finansija</v>
      </c>
      <c r="L33" s="39"/>
      <c r="M33" s="39"/>
      <c r="N33" s="39"/>
      <c r="O33" s="44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45" t="str">
        <f>IF(MasterSheet!$A$1=1, MasterSheet!B25,MasterSheet!B24)</f>
        <v>*podaci su procjena Ministarstva finansija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</row>
    <row r="35" spans="1: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</row>
    <row r="36" spans="1:3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</row>
    <row r="38" spans="1:3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 t="str">
        <f>IF(MasterSheet!$A$1=1,MasterSheet!C22,MasterSheet!B22)</f>
        <v>Ažurirano:</v>
      </c>
      <c r="L39" s="527">
        <v>41329</v>
      </c>
      <c r="M39" s="528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</row>
    <row r="41" spans="1:3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44" t="s">
        <v>392</v>
      </c>
      <c r="L41" s="39"/>
      <c r="M41" s="71" t="s">
        <v>391</v>
      </c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</row>
    <row r="42" spans="1:3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</row>
    <row r="43" spans="1:3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</row>
    <row r="44" spans="1:3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</row>
    <row r="45" spans="1:3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3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</row>
    <row r="47" spans="1:3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3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</row>
    <row r="50" spans="1:3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</row>
    <row r="51" spans="1:3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1:3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1:3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54" spans="1:3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3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</row>
    <row r="56" spans="1:3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</row>
    <row r="57" spans="1:3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</row>
    <row r="58" spans="1:3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</row>
    <row r="59" spans="1:3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</row>
    <row r="60" spans="1:3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</row>
    <row r="61" spans="1:3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</row>
    <row r="62" spans="1:3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</row>
    <row r="63" spans="1:3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1:3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1:3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66" spans="1:3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</row>
    <row r="67" spans="1:3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</row>
    <row r="68" spans="1:3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</row>
    <row r="69" spans="1:3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</row>
    <row r="70" spans="1:3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</row>
    <row r="71" spans="1:3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</row>
    <row r="72" spans="1:3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</row>
    <row r="73" spans="1:3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</row>
    <row r="74" spans="1:3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</row>
    <row r="75" spans="1:3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1:3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1:3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78" spans="1:3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</row>
    <row r="79" spans="1:3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</row>
    <row r="80" spans="1:3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</row>
    <row r="81" spans="1:3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</row>
    <row r="82" spans="1:3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</row>
    <row r="83" spans="1:3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</row>
    <row r="84" spans="1:3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</row>
    <row r="85" spans="1:3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</row>
    <row r="86" spans="1:3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</row>
    <row r="87" spans="1:3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</row>
    <row r="88" spans="1:3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</row>
    <row r="89" spans="1:3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</row>
    <row r="90" spans="1:3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</row>
    <row r="91" spans="1:3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1:3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1:3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94" spans="1:3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</row>
    <row r="95" spans="1:3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</row>
    <row r="96" spans="1:3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</row>
    <row r="97" spans="1:3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</row>
    <row r="98" spans="1:3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</row>
    <row r="99" spans="1:3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</row>
    <row r="100" spans="1:3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</row>
  </sheetData>
  <sheetProtection formatCells="0" formatColumns="0" formatRows="0" insertHyperlinks="0" sort="0" autoFilter="0"/>
  <mergeCells count="15">
    <mergeCell ref="L39:M39"/>
    <mergeCell ref="B3:E3"/>
    <mergeCell ref="J8:L8"/>
    <mergeCell ref="I9:M9"/>
    <mergeCell ref="K31:N31"/>
    <mergeCell ref="K32:N32"/>
    <mergeCell ref="K26:N26"/>
    <mergeCell ref="K18:N18"/>
    <mergeCell ref="K19:N19"/>
    <mergeCell ref="K27:N27"/>
    <mergeCell ref="K21:N21"/>
    <mergeCell ref="K22:N22"/>
    <mergeCell ref="K24:N24"/>
    <mergeCell ref="K29:N29"/>
    <mergeCell ref="K28:N28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rowBreaks count="1" manualBreakCount="1">
    <brk id="78" max="16383" man="1"/>
  </rowBreaks>
  <colBreaks count="1" manualBreakCount="1">
    <brk id="20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B3:AF90"/>
  <sheetViews>
    <sheetView workbookViewId="0">
      <selection activeCell="AI11" sqref="AI11"/>
    </sheetView>
  </sheetViews>
  <sheetFormatPr defaultRowHeight="12.75"/>
  <cols>
    <col min="2" max="2" width="35.140625" customWidth="1"/>
    <col min="3" max="24" width="0" hidden="1" customWidth="1"/>
  </cols>
  <sheetData>
    <row r="3" spans="2:32" ht="13.5" thickBot="1"/>
    <row r="4" spans="2:32" ht="16.5" thickTop="1" thickBot="1">
      <c r="B4" s="38" t="s">
        <v>368</v>
      </c>
      <c r="C4" s="572">
        <v>2148900000</v>
      </c>
      <c r="D4" s="572"/>
      <c r="E4" s="571">
        <v>2680500000</v>
      </c>
      <c r="F4" s="571"/>
      <c r="G4" s="571">
        <v>3085600000</v>
      </c>
      <c r="H4" s="571"/>
      <c r="I4" s="571">
        <v>2981000000</v>
      </c>
      <c r="J4" s="571"/>
      <c r="K4" s="571">
        <v>3125000000</v>
      </c>
      <c r="L4" s="571"/>
      <c r="M4" s="571">
        <v>3265000000</v>
      </c>
      <c r="N4" s="571"/>
      <c r="O4" s="557">
        <v>3181000000</v>
      </c>
      <c r="P4" s="558"/>
      <c r="Q4" s="555">
        <v>3362000000</v>
      </c>
      <c r="R4" s="556"/>
      <c r="S4" s="552">
        <v>3457900000</v>
      </c>
      <c r="T4" s="553"/>
      <c r="U4" s="555">
        <v>3625000000</v>
      </c>
      <c r="V4" s="556"/>
      <c r="W4" s="555">
        <v>3729500000</v>
      </c>
      <c r="X4" s="556"/>
      <c r="Y4" s="555">
        <v>3928500000</v>
      </c>
      <c r="Z4" s="556"/>
      <c r="AA4" s="555">
        <v>4176900000</v>
      </c>
      <c r="AB4" s="556"/>
      <c r="AC4" s="555">
        <v>4357800000</v>
      </c>
      <c r="AD4" s="556"/>
      <c r="AE4" s="555">
        <v>4513000000</v>
      </c>
      <c r="AF4" s="556"/>
    </row>
    <row r="5" spans="2:32" ht="15" thickTop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573"/>
      <c r="N5" s="573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2:32" ht="13.5" thickTop="1">
      <c r="B6" s="548" t="s">
        <v>126</v>
      </c>
      <c r="C6" s="550">
        <v>2006</v>
      </c>
      <c r="D6" s="551"/>
      <c r="E6" s="550">
        <v>2007</v>
      </c>
      <c r="F6" s="551"/>
      <c r="G6" s="550">
        <v>2008</v>
      </c>
      <c r="H6" s="551"/>
      <c r="I6" s="550">
        <v>2009</v>
      </c>
      <c r="J6" s="551"/>
      <c r="K6" s="550">
        <v>2010</v>
      </c>
      <c r="L6" s="551"/>
      <c r="M6" s="550">
        <v>2011</v>
      </c>
      <c r="N6" s="551"/>
      <c r="O6" s="550">
        <v>2012</v>
      </c>
      <c r="P6" s="551"/>
      <c r="Q6" s="550">
        <v>2013</v>
      </c>
      <c r="R6" s="551"/>
      <c r="S6" s="550">
        <v>2014</v>
      </c>
      <c r="T6" s="551"/>
      <c r="U6" s="550">
        <v>2015</v>
      </c>
      <c r="V6" s="551"/>
      <c r="W6" s="550" t="s">
        <v>498</v>
      </c>
      <c r="X6" s="551"/>
      <c r="Y6" s="550" t="s">
        <v>417</v>
      </c>
      <c r="Z6" s="551"/>
      <c r="AA6" s="550" t="s">
        <v>418</v>
      </c>
      <c r="AB6" s="551"/>
      <c r="AC6" s="550" t="s">
        <v>419</v>
      </c>
      <c r="AD6" s="551"/>
      <c r="AE6" s="550" t="s">
        <v>423</v>
      </c>
      <c r="AF6" s="551"/>
    </row>
    <row r="7" spans="2:32" ht="13.5" thickBot="1">
      <c r="B7" s="549" t="s">
        <v>126</v>
      </c>
      <c r="C7" s="73" t="s">
        <v>261</v>
      </c>
      <c r="D7" s="74" t="s">
        <v>149</v>
      </c>
      <c r="E7" s="75" t="s">
        <v>261</v>
      </c>
      <c r="F7" s="76" t="s">
        <v>149</v>
      </c>
      <c r="G7" s="77" t="s">
        <v>261</v>
      </c>
      <c r="H7" s="76" t="s">
        <v>149</v>
      </c>
      <c r="I7" s="73" t="s">
        <v>261</v>
      </c>
      <c r="J7" s="75" t="s">
        <v>149</v>
      </c>
      <c r="K7" s="73" t="s">
        <v>261</v>
      </c>
      <c r="L7" s="74" t="s">
        <v>149</v>
      </c>
      <c r="M7" s="73" t="s">
        <v>261</v>
      </c>
      <c r="N7" s="78" t="s">
        <v>149</v>
      </c>
      <c r="O7" s="73" t="s">
        <v>261</v>
      </c>
      <c r="P7" s="78" t="s">
        <v>149</v>
      </c>
      <c r="Q7" s="73" t="s">
        <v>261</v>
      </c>
      <c r="R7" s="78" t="s">
        <v>149</v>
      </c>
      <c r="S7" s="73" t="s">
        <v>261</v>
      </c>
      <c r="T7" s="78" t="s">
        <v>149</v>
      </c>
      <c r="U7" s="73" t="s">
        <v>261</v>
      </c>
      <c r="V7" s="76" t="s">
        <v>149</v>
      </c>
      <c r="W7" s="73" t="s">
        <v>261</v>
      </c>
      <c r="X7" s="76" t="s">
        <v>149</v>
      </c>
      <c r="Y7" s="73" t="s">
        <v>261</v>
      </c>
      <c r="Z7" s="76" t="s">
        <v>149</v>
      </c>
      <c r="AA7" s="73" t="s">
        <v>261</v>
      </c>
      <c r="AB7" s="76" t="s">
        <v>149</v>
      </c>
      <c r="AC7" s="73" t="s">
        <v>261</v>
      </c>
      <c r="AD7" s="76" t="s">
        <v>149</v>
      </c>
      <c r="AE7" s="73" t="s">
        <v>261</v>
      </c>
      <c r="AF7" s="76" t="s">
        <v>149</v>
      </c>
    </row>
    <row r="8" spans="2:32" ht="14.25" thickTop="1" thickBot="1">
      <c r="B8" s="79" t="s">
        <v>127</v>
      </c>
      <c r="C8" s="94">
        <v>861248548.4399997</v>
      </c>
      <c r="D8" s="95">
        <v>40.078577339103717</v>
      </c>
      <c r="E8" s="94">
        <v>1128300449.6399999</v>
      </c>
      <c r="F8" s="96">
        <v>42.092909891438154</v>
      </c>
      <c r="G8" s="94">
        <v>1287200216.2899997</v>
      </c>
      <c r="H8" s="95">
        <v>41.716366874837945</v>
      </c>
      <c r="I8" s="94">
        <v>1169267417.1700001</v>
      </c>
      <c r="J8" s="96">
        <v>39.223999234149616</v>
      </c>
      <c r="K8" s="94">
        <v>1140357804.0200005</v>
      </c>
      <c r="L8" s="95">
        <v>36.491449728640013</v>
      </c>
      <c r="M8" s="94">
        <v>1129142807.0900002</v>
      </c>
      <c r="N8" s="95">
        <v>34.583240645941807</v>
      </c>
      <c r="O8" s="94">
        <v>1121018319.5799999</v>
      </c>
      <c r="P8" s="95">
        <v>35.241066318138948</v>
      </c>
      <c r="Q8" s="94">
        <v>1243527724.4700003</v>
      </c>
      <c r="R8" s="136">
        <v>36.987737194229631</v>
      </c>
      <c r="S8" s="94">
        <v>1353669813.1500003</v>
      </c>
      <c r="T8" s="95">
        <v>39.147164844269653</v>
      </c>
      <c r="U8" s="94">
        <v>1326705635</v>
      </c>
      <c r="V8" s="128">
        <v>36.598776137931033</v>
      </c>
      <c r="W8" s="94">
        <v>1484086796.9252129</v>
      </c>
      <c r="X8" s="128">
        <v>39.793183990487009</v>
      </c>
      <c r="Y8" s="94">
        <v>1551616663.4651301</v>
      </c>
      <c r="Z8" s="128">
        <v>39.496415004839761</v>
      </c>
      <c r="AA8" s="94">
        <v>1602448420.6632326</v>
      </c>
      <c r="AB8" s="128">
        <v>38.364538788652652</v>
      </c>
      <c r="AC8" s="94">
        <v>1633455871.4248416</v>
      </c>
      <c r="AD8" s="128">
        <v>37.483497898591992</v>
      </c>
      <c r="AE8" s="94">
        <v>1675110924.6579487</v>
      </c>
      <c r="AF8" s="128">
        <v>37.117458999732968</v>
      </c>
    </row>
    <row r="9" spans="2:32" ht="13.5" thickTop="1">
      <c r="B9" s="80" t="s">
        <v>2</v>
      </c>
      <c r="C9" s="97">
        <v>499381748.50999975</v>
      </c>
      <c r="D9" s="130">
        <v>23.238947764437608</v>
      </c>
      <c r="E9" s="98">
        <v>708017212.35000002</v>
      </c>
      <c r="F9" s="130">
        <v>26.413624784555122</v>
      </c>
      <c r="G9" s="97">
        <v>827975111.18999994</v>
      </c>
      <c r="H9" s="130">
        <v>26.833520585623539</v>
      </c>
      <c r="I9" s="97">
        <v>712439343</v>
      </c>
      <c r="J9" s="130">
        <v>23.899340590405906</v>
      </c>
      <c r="K9" s="97">
        <v>675800345.0200001</v>
      </c>
      <c r="L9" s="130">
        <v>21.625611040640003</v>
      </c>
      <c r="M9" s="97">
        <v>704070354.97000003</v>
      </c>
      <c r="N9" s="130">
        <v>21.564176262480856</v>
      </c>
      <c r="O9" s="97">
        <v>687444134.69000006</v>
      </c>
      <c r="P9" s="130">
        <v>21.610944190191766</v>
      </c>
      <c r="Q9" s="97">
        <v>755696459.51000011</v>
      </c>
      <c r="R9" s="131">
        <v>22.477586541047</v>
      </c>
      <c r="S9" s="97">
        <v>833203582.5200001</v>
      </c>
      <c r="T9" s="130">
        <v>24.095652925764195</v>
      </c>
      <c r="U9" s="120">
        <v>805537586.3599999</v>
      </c>
      <c r="V9" s="133">
        <v>22.221726520275858</v>
      </c>
      <c r="W9" s="120">
        <v>876060391.85449386</v>
      </c>
      <c r="X9" s="133">
        <v>23.490022572851423</v>
      </c>
      <c r="Y9" s="120">
        <v>944276594.26739192</v>
      </c>
      <c r="Z9" s="133">
        <v>24.036568518961229</v>
      </c>
      <c r="AA9" s="120">
        <v>986618168.66098988</v>
      </c>
      <c r="AB9" s="133">
        <v>23.620823305824651</v>
      </c>
      <c r="AC9" s="120">
        <v>1013173879.8302019</v>
      </c>
      <c r="AD9" s="133">
        <v>23.249664505718528</v>
      </c>
      <c r="AE9" s="120">
        <v>1040544160.1828337</v>
      </c>
      <c r="AF9" s="133">
        <v>23.056595616725765</v>
      </c>
    </row>
    <row r="10" spans="2:32">
      <c r="B10" s="81" t="s">
        <v>3</v>
      </c>
      <c r="C10" s="99">
        <v>72493703.819999963</v>
      </c>
      <c r="D10" s="131">
        <v>3.3735261678067832</v>
      </c>
      <c r="E10" s="99">
        <v>85402227.900000006</v>
      </c>
      <c r="F10" s="131">
        <v>3.1860558813654167</v>
      </c>
      <c r="G10" s="99">
        <v>111918603.98999999</v>
      </c>
      <c r="H10" s="131">
        <v>3.6271261339771841</v>
      </c>
      <c r="I10" s="99">
        <v>94990514</v>
      </c>
      <c r="J10" s="131">
        <v>3.1865318349547129</v>
      </c>
      <c r="K10" s="99">
        <v>89753928.969999999</v>
      </c>
      <c r="L10" s="131">
        <v>2.8721257270400002</v>
      </c>
      <c r="M10" s="99">
        <v>81640031.710000008</v>
      </c>
      <c r="N10" s="131">
        <v>2.5004603892802453</v>
      </c>
      <c r="O10" s="99">
        <v>82261833.280000001</v>
      </c>
      <c r="P10" s="131">
        <v>2.5860368839987427</v>
      </c>
      <c r="Q10" s="99">
        <v>95618433.910000011</v>
      </c>
      <c r="R10" s="131">
        <v>2.8440938105294471</v>
      </c>
      <c r="S10" s="99">
        <v>104405821.67</v>
      </c>
      <c r="T10" s="131">
        <v>3.0193418453396568</v>
      </c>
      <c r="U10" s="121">
        <v>104766319.15999998</v>
      </c>
      <c r="V10" s="134">
        <v>2.8901053561379304</v>
      </c>
      <c r="W10" s="121">
        <v>118836924.22996016</v>
      </c>
      <c r="X10" s="134">
        <v>3.1864036527673991</v>
      </c>
      <c r="Y10" s="121">
        <v>125583391.5402317</v>
      </c>
      <c r="Z10" s="134">
        <v>3.1967262705926363</v>
      </c>
      <c r="AA10" s="121">
        <v>128807588.91211513</v>
      </c>
      <c r="AB10" s="134">
        <v>3.0838083007042334</v>
      </c>
      <c r="AC10" s="121">
        <v>131661712.02538815</v>
      </c>
      <c r="AD10" s="134">
        <v>3.0212885406716268</v>
      </c>
      <c r="AE10" s="121">
        <v>134966420.99722537</v>
      </c>
      <c r="AF10" s="134">
        <v>2.9906142476673025</v>
      </c>
    </row>
    <row r="11" spans="2:32">
      <c r="B11" s="81" t="s">
        <v>5</v>
      </c>
      <c r="C11" s="99">
        <v>12681282.079999981</v>
      </c>
      <c r="D11" s="131">
        <v>0.59012899995346368</v>
      </c>
      <c r="E11" s="99">
        <v>39076661.670000002</v>
      </c>
      <c r="F11" s="131">
        <v>1.457812410744264</v>
      </c>
      <c r="G11" s="99">
        <v>62803344.119999997</v>
      </c>
      <c r="H11" s="131">
        <v>2.035368943479388</v>
      </c>
      <c r="I11" s="99">
        <v>54738223</v>
      </c>
      <c r="J11" s="131">
        <v>1.8362369339147935</v>
      </c>
      <c r="K11" s="99">
        <v>20270971.710000001</v>
      </c>
      <c r="L11" s="131">
        <v>0.64867109472000006</v>
      </c>
      <c r="M11" s="99">
        <v>36101185.260000005</v>
      </c>
      <c r="N11" s="131">
        <v>1.1057024581929558</v>
      </c>
      <c r="O11" s="99">
        <v>64016557.520000003</v>
      </c>
      <c r="P11" s="131">
        <v>2.0124664419993712</v>
      </c>
      <c r="Q11" s="99">
        <v>40638726.390000008</v>
      </c>
      <c r="R11" s="131">
        <v>1.2087664006543728</v>
      </c>
      <c r="S11" s="99">
        <v>45020371.5</v>
      </c>
      <c r="T11" s="131">
        <v>1.3019570114809567</v>
      </c>
      <c r="U11" s="121">
        <v>42151728.179999992</v>
      </c>
      <c r="V11" s="134">
        <v>1.1628062946206894</v>
      </c>
      <c r="W11" s="121">
        <v>45542233.551658332</v>
      </c>
      <c r="X11" s="134">
        <v>1.2211350999238055</v>
      </c>
      <c r="Y11" s="121">
        <v>46922688.056049615</v>
      </c>
      <c r="Z11" s="134">
        <v>1.1944174126524021</v>
      </c>
      <c r="AA11" s="121">
        <v>48731778.674482077</v>
      </c>
      <c r="AB11" s="134">
        <v>1.1666972796687036</v>
      </c>
      <c r="AC11" s="121">
        <v>50750151.483621776</v>
      </c>
      <c r="AD11" s="134">
        <v>1.164581933168612</v>
      </c>
      <c r="AE11" s="121">
        <v>52232461.908155397</v>
      </c>
      <c r="AF11" s="134">
        <v>1.1573778397552712</v>
      </c>
    </row>
    <row r="12" spans="2:32">
      <c r="B12" s="81" t="s">
        <v>7</v>
      </c>
      <c r="C12" s="99">
        <v>7371892.8599999985</v>
      </c>
      <c r="D12" s="131">
        <v>0.3430542538042719</v>
      </c>
      <c r="E12" s="99">
        <v>20590669.43</v>
      </c>
      <c r="F12" s="131">
        <v>0.76816524640925199</v>
      </c>
      <c r="G12" s="99">
        <v>11428331.24</v>
      </c>
      <c r="H12" s="131">
        <v>0.37037630412237488</v>
      </c>
      <c r="I12" s="99">
        <v>5206820</v>
      </c>
      <c r="J12" s="131">
        <v>0.17466689030526669</v>
      </c>
      <c r="K12" s="99">
        <v>4938431.08</v>
      </c>
      <c r="L12" s="131">
        <v>0.15802979455999999</v>
      </c>
      <c r="M12" s="99">
        <v>1237096.94</v>
      </c>
      <c r="N12" s="131">
        <v>3.7889645941807042E-2</v>
      </c>
      <c r="O12" s="99">
        <v>1441449.4</v>
      </c>
      <c r="P12" s="131">
        <v>4.5314347689405843E-2</v>
      </c>
      <c r="Q12" s="99">
        <v>1440565.3199999998</v>
      </c>
      <c r="R12" s="131">
        <v>4.284846281975014E-2</v>
      </c>
      <c r="S12" s="99">
        <v>1479399.88</v>
      </c>
      <c r="T12" s="131">
        <v>4.2783188640504351E-2</v>
      </c>
      <c r="U12" s="121">
        <v>1486795.3800000001</v>
      </c>
      <c r="V12" s="134">
        <v>4.1015044965517243E-2</v>
      </c>
      <c r="W12" s="121">
        <v>1408098.2378104241</v>
      </c>
      <c r="X12" s="134">
        <v>3.77556840812555E-2</v>
      </c>
      <c r="Y12" s="121">
        <v>2459394.3990422534</v>
      </c>
      <c r="Z12" s="134">
        <v>6.2603904773889607E-2</v>
      </c>
      <c r="AA12" s="121">
        <v>2506122.892624056</v>
      </c>
      <c r="AB12" s="134">
        <v>5.999959042888401E-2</v>
      </c>
      <c r="AC12" s="121">
        <v>2546220.8589060409</v>
      </c>
      <c r="AD12" s="134">
        <v>5.8429043528983454E-2</v>
      </c>
      <c r="AE12" s="121">
        <v>2584414.1717896312</v>
      </c>
      <c r="AF12" s="134">
        <v>5.7265990954789077E-2</v>
      </c>
    </row>
    <row r="13" spans="2:32">
      <c r="B13" s="81" t="s">
        <v>9</v>
      </c>
      <c r="C13" s="99">
        <v>273156637.07999986</v>
      </c>
      <c r="D13" s="131">
        <v>12.711463403601837</v>
      </c>
      <c r="E13" s="99">
        <v>393174255.16000003</v>
      </c>
      <c r="F13" s="131">
        <v>14.667944605857116</v>
      </c>
      <c r="G13" s="99">
        <v>440064484.29000002</v>
      </c>
      <c r="H13" s="131">
        <v>14.26187724559243</v>
      </c>
      <c r="I13" s="99">
        <v>370776942</v>
      </c>
      <c r="J13" s="131">
        <v>12.438005434417979</v>
      </c>
      <c r="K13" s="99">
        <v>364177041.45999998</v>
      </c>
      <c r="L13" s="131">
        <v>11.653665326719999</v>
      </c>
      <c r="M13" s="99">
        <v>392235880.90999997</v>
      </c>
      <c r="N13" s="131">
        <v>12.013350104441042</v>
      </c>
      <c r="O13" s="99">
        <v>354714031.35000002</v>
      </c>
      <c r="P13" s="131">
        <v>11.151022676831186</v>
      </c>
      <c r="Q13" s="99">
        <v>429195069.32999998</v>
      </c>
      <c r="R13" s="131">
        <v>12.766063930101129</v>
      </c>
      <c r="S13" s="99">
        <v>497589192.80000001</v>
      </c>
      <c r="T13" s="131">
        <v>14.38992431244397</v>
      </c>
      <c r="U13" s="121">
        <v>457115481.22000003</v>
      </c>
      <c r="V13" s="134">
        <v>12.610082240551726</v>
      </c>
      <c r="W13" s="121">
        <v>494449009.91917253</v>
      </c>
      <c r="X13" s="134">
        <v>13.257782810542231</v>
      </c>
      <c r="Y13" s="121">
        <v>524745437.38105094</v>
      </c>
      <c r="Z13" s="134">
        <v>13.357399449689472</v>
      </c>
      <c r="AA13" s="121">
        <v>556531818.45023739</v>
      </c>
      <c r="AB13" s="134">
        <v>13.324039801054308</v>
      </c>
      <c r="AC13" s="121">
        <v>574842652.98537683</v>
      </c>
      <c r="AD13" s="134">
        <v>13.191120588034716</v>
      </c>
      <c r="AE13" s="121">
        <v>594649162.61964762</v>
      </c>
      <c r="AF13" s="134">
        <v>13.17636079369926</v>
      </c>
    </row>
    <row r="14" spans="2:32">
      <c r="B14" s="81" t="s">
        <v>12</v>
      </c>
      <c r="C14" s="99">
        <v>72376242.180000007</v>
      </c>
      <c r="D14" s="131">
        <v>3.3680600390897673</v>
      </c>
      <c r="E14" s="99">
        <v>94538367.25</v>
      </c>
      <c r="F14" s="131">
        <v>3.526893014362992</v>
      </c>
      <c r="G14" s="99">
        <v>120303864.65000001</v>
      </c>
      <c r="H14" s="131">
        <v>3.8988807573891631</v>
      </c>
      <c r="I14" s="99">
        <v>128684864</v>
      </c>
      <c r="J14" s="131">
        <v>4.3168354243542435</v>
      </c>
      <c r="K14" s="99">
        <v>134261371.03</v>
      </c>
      <c r="L14" s="131">
        <v>4.2963638729600007</v>
      </c>
      <c r="M14" s="99">
        <v>143379590.77000001</v>
      </c>
      <c r="N14" s="131">
        <v>4.3914116621745789</v>
      </c>
      <c r="O14" s="99">
        <v>151766097.75999999</v>
      </c>
      <c r="P14" s="131">
        <v>4.7710184772084245</v>
      </c>
      <c r="Q14" s="99">
        <v>161445470.17000002</v>
      </c>
      <c r="R14" s="131">
        <v>4.802066334622249</v>
      </c>
      <c r="S14" s="99">
        <v>156466946.75</v>
      </c>
      <c r="T14" s="131">
        <v>4.5249124251713466</v>
      </c>
      <c r="U14" s="121">
        <v>170010238.31999999</v>
      </c>
      <c r="V14" s="134">
        <v>4.6899376088275861</v>
      </c>
      <c r="W14" s="121">
        <v>182524698.45681819</v>
      </c>
      <c r="X14" s="134">
        <v>4.8940795939621449</v>
      </c>
      <c r="Y14" s="121">
        <v>210481296.69963038</v>
      </c>
      <c r="Z14" s="134">
        <v>5.3578031487751145</v>
      </c>
      <c r="AA14" s="121">
        <v>215111885.22702226</v>
      </c>
      <c r="AB14" s="134">
        <v>5.1500367551778181</v>
      </c>
      <c r="AC14" s="121">
        <v>217908339.73497352</v>
      </c>
      <c r="AD14" s="134">
        <v>5.0004208484779822</v>
      </c>
      <c r="AE14" s="121">
        <v>220196377.30219072</v>
      </c>
      <c r="AF14" s="134">
        <v>4.879157485091751</v>
      </c>
    </row>
    <row r="15" spans="2:32">
      <c r="B15" s="81" t="s">
        <v>14</v>
      </c>
      <c r="C15" s="99">
        <v>56766223.619999953</v>
      </c>
      <c r="D15" s="131">
        <v>2.6416410079575572</v>
      </c>
      <c r="E15" s="99">
        <v>68495722.040000007</v>
      </c>
      <c r="F15" s="131">
        <v>2.5553337825032645</v>
      </c>
      <c r="G15" s="99">
        <v>72926890</v>
      </c>
      <c r="H15" s="131">
        <v>2.3634589707026183</v>
      </c>
      <c r="I15" s="99">
        <v>49121124</v>
      </c>
      <c r="J15" s="131">
        <v>1.6478069104327406</v>
      </c>
      <c r="K15" s="99">
        <v>50811537.57</v>
      </c>
      <c r="L15" s="131">
        <v>1.6259692022400001</v>
      </c>
      <c r="M15" s="99">
        <v>45327985.280000009</v>
      </c>
      <c r="N15" s="131">
        <v>1.3882997022970907</v>
      </c>
      <c r="O15" s="99">
        <v>28965025.329999998</v>
      </c>
      <c r="P15" s="131">
        <v>0.91056351241747879</v>
      </c>
      <c r="Q15" s="99">
        <v>22269382.640000001</v>
      </c>
      <c r="R15" s="131">
        <v>0.66238496847114814</v>
      </c>
      <c r="S15" s="99">
        <v>22270229.460000001</v>
      </c>
      <c r="T15" s="131">
        <v>0.64403914109719773</v>
      </c>
      <c r="U15" s="121">
        <v>22887481.920000002</v>
      </c>
      <c r="V15" s="134">
        <v>0.63137881158620701</v>
      </c>
      <c r="W15" s="121">
        <v>24037377.760315243</v>
      </c>
      <c r="X15" s="134">
        <v>0.64452011691420419</v>
      </c>
      <c r="Y15" s="121">
        <v>24426743.525325805</v>
      </c>
      <c r="Z15" s="134">
        <v>0.6217829585166299</v>
      </c>
      <c r="AA15" s="121">
        <v>24964131.882882971</v>
      </c>
      <c r="AB15" s="134">
        <v>0.59767128451442386</v>
      </c>
      <c r="AC15" s="121">
        <v>25288665.597360447</v>
      </c>
      <c r="AD15" s="134">
        <v>0.58030808199918416</v>
      </c>
      <c r="AE15" s="121">
        <v>25554196.586132731</v>
      </c>
      <c r="AF15" s="134">
        <v>0.56623524454094243</v>
      </c>
    </row>
    <row r="16" spans="2:32">
      <c r="B16" s="81" t="s">
        <v>404</v>
      </c>
      <c r="C16" s="99">
        <v>4535766.87</v>
      </c>
      <c r="D16" s="131">
        <v>0.21107389222392853</v>
      </c>
      <c r="E16" s="99">
        <v>6739308.9000000004</v>
      </c>
      <c r="F16" s="131">
        <v>0.25141984331281481</v>
      </c>
      <c r="G16" s="99">
        <v>8529592.9000000004</v>
      </c>
      <c r="H16" s="131">
        <v>0.27643223036038372</v>
      </c>
      <c r="I16" s="99">
        <v>8920856</v>
      </c>
      <c r="J16" s="131">
        <v>0.2992571620261657</v>
      </c>
      <c r="K16" s="99">
        <v>11587063.199999999</v>
      </c>
      <c r="L16" s="131">
        <v>0.37078602239999997</v>
      </c>
      <c r="M16" s="99">
        <v>4148584.0999999996</v>
      </c>
      <c r="N16" s="131">
        <v>0.12706230015313935</v>
      </c>
      <c r="O16" s="99">
        <v>4279140.05</v>
      </c>
      <c r="P16" s="131">
        <v>0.13452185004715497</v>
      </c>
      <c r="Q16" s="99">
        <v>5088811.75</v>
      </c>
      <c r="R16" s="131">
        <v>0.15136263384889945</v>
      </c>
      <c r="S16" s="99">
        <v>5971620.4600000009</v>
      </c>
      <c r="T16" s="131">
        <v>0.17269500159056075</v>
      </c>
      <c r="U16" s="121">
        <v>7119542.1799999997</v>
      </c>
      <c r="V16" s="134">
        <v>0.19640116358620691</v>
      </c>
      <c r="W16" s="121">
        <v>9262049.6987588499</v>
      </c>
      <c r="X16" s="134">
        <v>0.24834561466037941</v>
      </c>
      <c r="Y16" s="121">
        <v>9657642.6660613157</v>
      </c>
      <c r="Z16" s="134">
        <v>0.24583537396108734</v>
      </c>
      <c r="AA16" s="121">
        <v>9964842.6216260605</v>
      </c>
      <c r="AB16" s="134">
        <v>0.2385702942762829</v>
      </c>
      <c r="AC16" s="121">
        <v>10176137.14457502</v>
      </c>
      <c r="AD16" s="134">
        <v>0.23351546983741844</v>
      </c>
      <c r="AE16" s="121">
        <v>10361126.597691962</v>
      </c>
      <c r="AF16" s="134">
        <v>0.22958401501644055</v>
      </c>
    </row>
    <row r="17" spans="2:32">
      <c r="B17" s="80" t="s">
        <v>18</v>
      </c>
      <c r="C17" s="97">
        <v>255157132.13</v>
      </c>
      <c r="D17" s="131">
        <v>11.873848579738471</v>
      </c>
      <c r="E17" s="97">
        <v>306787808.32999998</v>
      </c>
      <c r="F17" s="131">
        <v>11.445170987875395</v>
      </c>
      <c r="G17" s="97">
        <v>339912631.83999997</v>
      </c>
      <c r="H17" s="131">
        <v>11.016095146486906</v>
      </c>
      <c r="I17" s="97">
        <v>307544353.24000001</v>
      </c>
      <c r="J17" s="131">
        <v>10.316818290506543</v>
      </c>
      <c r="K17" s="97">
        <v>379756996.48000008</v>
      </c>
      <c r="L17" s="131">
        <v>12.152223887360003</v>
      </c>
      <c r="M17" s="97">
        <v>353577453.33000004</v>
      </c>
      <c r="N17" s="131">
        <v>10.82932475742726</v>
      </c>
      <c r="O17" s="97">
        <v>362250409.59999996</v>
      </c>
      <c r="P17" s="131">
        <v>11.387941200880224</v>
      </c>
      <c r="Q17" s="97">
        <v>398494284.19</v>
      </c>
      <c r="R17" s="131">
        <v>11.852893640392622</v>
      </c>
      <c r="S17" s="97">
        <v>444303244.55000001</v>
      </c>
      <c r="T17" s="131">
        <v>12.848932720726452</v>
      </c>
      <c r="U17" s="120">
        <v>437288820.67000002</v>
      </c>
      <c r="V17" s="134">
        <v>12.063139880551725</v>
      </c>
      <c r="W17" s="120">
        <v>464323028.41630036</v>
      </c>
      <c r="X17" s="134">
        <v>12.450007465244681</v>
      </c>
      <c r="Y17" s="120">
        <v>492156792.05347669</v>
      </c>
      <c r="Z17" s="134">
        <v>12.527855213274194</v>
      </c>
      <c r="AA17" s="120">
        <v>504588348.22612327</v>
      </c>
      <c r="AB17" s="134">
        <v>12.080450770335016</v>
      </c>
      <c r="AC17" s="120">
        <v>515632463.13502002</v>
      </c>
      <c r="AD17" s="134">
        <v>11.832403119349673</v>
      </c>
      <c r="AE17" s="120">
        <v>528574837.95970899</v>
      </c>
      <c r="AF17" s="134">
        <v>11.712272057604897</v>
      </c>
    </row>
    <row r="18" spans="2:32">
      <c r="B18" s="81" t="s">
        <v>20</v>
      </c>
      <c r="C18" s="99">
        <v>138179769.16</v>
      </c>
      <c r="D18" s="131">
        <v>6.4302559058122766</v>
      </c>
      <c r="E18" s="99">
        <v>173517241.65000001</v>
      </c>
      <c r="F18" s="131">
        <v>6.473316233911584</v>
      </c>
      <c r="G18" s="99">
        <v>213850904.31999999</v>
      </c>
      <c r="H18" s="131">
        <v>6.9306100700025919</v>
      </c>
      <c r="I18" s="99">
        <v>199510659.24000001</v>
      </c>
      <c r="J18" s="131">
        <v>6.6927426782958737</v>
      </c>
      <c r="K18" s="99">
        <v>233496116.37</v>
      </c>
      <c r="L18" s="131">
        <v>7.4718757238400002</v>
      </c>
      <c r="M18" s="99">
        <v>213452220.68000001</v>
      </c>
      <c r="N18" s="131">
        <v>6.5375871571209805</v>
      </c>
      <c r="O18" s="99">
        <v>216501675.27000001</v>
      </c>
      <c r="P18" s="131">
        <v>6.8060885026721154</v>
      </c>
      <c r="Q18" s="99">
        <v>241949355.72999999</v>
      </c>
      <c r="R18" s="131">
        <v>7.196589997917906</v>
      </c>
      <c r="S18" s="99">
        <v>270120228.04000002</v>
      </c>
      <c r="T18" s="131">
        <v>7.8116842025506807</v>
      </c>
      <c r="U18" s="121">
        <v>264099239.14000005</v>
      </c>
      <c r="V18" s="134">
        <v>7.2854962521379321</v>
      </c>
      <c r="W18" s="121">
        <v>276048147.59794891</v>
      </c>
      <c r="X18" s="134">
        <v>7.4017468185533968</v>
      </c>
      <c r="Y18" s="121">
        <v>293612813.84136915</v>
      </c>
      <c r="Z18" s="134">
        <v>7.4739166053549484</v>
      </c>
      <c r="AA18" s="121">
        <v>300900973.45095742</v>
      </c>
      <c r="AB18" s="134">
        <v>7.2039305094916672</v>
      </c>
      <c r="AC18" s="121">
        <v>307400956.30562907</v>
      </c>
      <c r="AD18" s="134">
        <v>7.0540400272070567</v>
      </c>
      <c r="AE18" s="121">
        <v>315116720.30890036</v>
      </c>
      <c r="AF18" s="134">
        <v>6.9824223423199729</v>
      </c>
    </row>
    <row r="19" spans="2:32">
      <c r="B19" s="81" t="s">
        <v>22</v>
      </c>
      <c r="C19" s="99">
        <v>110592983</v>
      </c>
      <c r="D19" s="131">
        <v>5.1464927637395883</v>
      </c>
      <c r="E19" s="99">
        <v>125446267</v>
      </c>
      <c r="F19" s="131">
        <v>4.6799577317664616</v>
      </c>
      <c r="G19" s="99">
        <v>115860488.59999999</v>
      </c>
      <c r="H19" s="131">
        <v>3.7548771260046667</v>
      </c>
      <c r="I19" s="99">
        <v>97587763</v>
      </c>
      <c r="J19" s="131">
        <v>3.2736586044951359</v>
      </c>
      <c r="K19" s="99">
        <v>129895634.22</v>
      </c>
      <c r="L19" s="131">
        <v>4.15666029504</v>
      </c>
      <c r="M19" s="99">
        <v>120890439.24000001</v>
      </c>
      <c r="N19" s="131">
        <v>3.7026168220520677</v>
      </c>
      <c r="O19" s="99">
        <v>125738855</v>
      </c>
      <c r="P19" s="131">
        <v>3.9528090223200252</v>
      </c>
      <c r="Q19" s="99">
        <v>134703897.09</v>
      </c>
      <c r="R19" s="131">
        <v>4.0066596397977401</v>
      </c>
      <c r="S19" s="99">
        <v>151034703.57999998</v>
      </c>
      <c r="T19" s="131">
        <v>4.3678158298389187</v>
      </c>
      <c r="U19" s="121">
        <v>150309788.34999993</v>
      </c>
      <c r="V19" s="134">
        <v>4.1464769199999978</v>
      </c>
      <c r="W19" s="121">
        <v>163183755.64591512</v>
      </c>
      <c r="X19" s="134">
        <v>4.3754861414644086</v>
      </c>
      <c r="Y19" s="121">
        <v>172372932.7782324</v>
      </c>
      <c r="Z19" s="134">
        <v>4.3877544298900952</v>
      </c>
      <c r="AA19" s="121">
        <v>176801753.24287188</v>
      </c>
      <c r="AB19" s="134">
        <v>4.232846207543199</v>
      </c>
      <c r="AC19" s="121">
        <v>180721582.51242584</v>
      </c>
      <c r="AD19" s="134">
        <v>4.1470829894080925</v>
      </c>
      <c r="AE19" s="121">
        <v>185257694.23348773</v>
      </c>
      <c r="AF19" s="134">
        <v>4.1049788219252763</v>
      </c>
    </row>
    <row r="20" spans="2:32">
      <c r="B20" s="81" t="s">
        <v>24</v>
      </c>
      <c r="C20" s="99">
        <v>6384379.9699999997</v>
      </c>
      <c r="D20" s="131">
        <v>0.29709991018660709</v>
      </c>
      <c r="E20" s="99">
        <v>7824299.6800000006</v>
      </c>
      <c r="F20" s="131">
        <v>0.29189702219735131</v>
      </c>
      <c r="G20" s="99">
        <v>10201238.92</v>
      </c>
      <c r="H20" s="131">
        <v>0.33060795047964742</v>
      </c>
      <c r="I20" s="99">
        <v>10445931</v>
      </c>
      <c r="J20" s="131">
        <v>0.35041700771553169</v>
      </c>
      <c r="K20" s="99">
        <v>10149691.789999999</v>
      </c>
      <c r="L20" s="131">
        <v>0.32479013727999995</v>
      </c>
      <c r="M20" s="99">
        <v>10764704.380000001</v>
      </c>
      <c r="N20" s="131">
        <v>0.32969998101071979</v>
      </c>
      <c r="O20" s="99">
        <v>9987592.2599999998</v>
      </c>
      <c r="P20" s="131">
        <v>0.31397649355548568</v>
      </c>
      <c r="Q20" s="99">
        <v>10770190.189999999</v>
      </c>
      <c r="R20" s="131">
        <v>0.32035068976799519</v>
      </c>
      <c r="S20" s="99">
        <v>12160117.389999999</v>
      </c>
      <c r="T20" s="131">
        <v>0.35166191590271545</v>
      </c>
      <c r="U20" s="121">
        <v>12114496.520000001</v>
      </c>
      <c r="V20" s="134">
        <v>0.3341930074482759</v>
      </c>
      <c r="W20" s="121">
        <v>13153089.829222243</v>
      </c>
      <c r="X20" s="134">
        <v>0.35267702987591482</v>
      </c>
      <c r="Y20" s="121">
        <v>13897899.757465141</v>
      </c>
      <c r="Z20" s="134">
        <v>0.35377115330190001</v>
      </c>
      <c r="AA20" s="121">
        <v>14254458.435403747</v>
      </c>
      <c r="AB20" s="134">
        <v>0.34126884616351233</v>
      </c>
      <c r="AC20" s="121">
        <v>14570140.078974485</v>
      </c>
      <c r="AD20" s="134">
        <v>0.33434623156121174</v>
      </c>
      <c r="AE20" s="121">
        <v>14935850.594956743</v>
      </c>
      <c r="AF20" s="134">
        <v>0.3309517082862119</v>
      </c>
    </row>
    <row r="21" spans="2:32">
      <c r="B21" s="81" t="s">
        <v>26</v>
      </c>
      <c r="C21" s="99">
        <v>0</v>
      </c>
      <c r="D21" s="131">
        <v>0</v>
      </c>
      <c r="E21" s="99">
        <v>0</v>
      </c>
      <c r="F21" s="131">
        <v>0</v>
      </c>
      <c r="G21" s="99">
        <v>0</v>
      </c>
      <c r="H21" s="131">
        <v>0</v>
      </c>
      <c r="I21" s="99">
        <v>0</v>
      </c>
      <c r="J21" s="131">
        <v>0</v>
      </c>
      <c r="K21" s="99">
        <v>6215554.0999999996</v>
      </c>
      <c r="L21" s="131">
        <v>0.19889773119999998</v>
      </c>
      <c r="M21" s="99">
        <v>8470089.0300000012</v>
      </c>
      <c r="N21" s="131">
        <v>0.25942079724349165</v>
      </c>
      <c r="O21" s="99">
        <v>10022287.07</v>
      </c>
      <c r="P21" s="131">
        <v>0.31506718233259984</v>
      </c>
      <c r="Q21" s="99">
        <v>11070841.180000002</v>
      </c>
      <c r="R21" s="131">
        <v>0.32929331290898278</v>
      </c>
      <c r="S21" s="99">
        <v>10988195.539999999</v>
      </c>
      <c r="T21" s="131">
        <v>0.31777077243413632</v>
      </c>
      <c r="U21" s="121">
        <v>10765296.66</v>
      </c>
      <c r="V21" s="134">
        <v>0.29697370096551723</v>
      </c>
      <c r="W21" s="121">
        <v>11938035.343214052</v>
      </c>
      <c r="X21" s="134">
        <v>0.32009747535095995</v>
      </c>
      <c r="Y21" s="121">
        <v>12273145.676410023</v>
      </c>
      <c r="Z21" s="134">
        <v>0.31241302472725019</v>
      </c>
      <c r="AA21" s="121">
        <v>12631163.096890237</v>
      </c>
      <c r="AB21" s="134">
        <v>0.30240520713663815</v>
      </c>
      <c r="AC21" s="121">
        <v>12939784.237990601</v>
      </c>
      <c r="AD21" s="134">
        <v>0.29693387117331221</v>
      </c>
      <c r="AE21" s="121">
        <v>13264572.822364165</v>
      </c>
      <c r="AF21" s="134">
        <v>0.29391918507343595</v>
      </c>
    </row>
    <row r="22" spans="2:32">
      <c r="B22" s="80" t="s">
        <v>28</v>
      </c>
      <c r="C22" s="97">
        <v>15777845.709999993</v>
      </c>
      <c r="D22" s="131">
        <v>0.73422894085345958</v>
      </c>
      <c r="E22" s="97">
        <v>21847073.970000003</v>
      </c>
      <c r="F22" s="131">
        <v>0.81503726804700616</v>
      </c>
      <c r="G22" s="97">
        <v>26594093.5</v>
      </c>
      <c r="H22" s="131">
        <v>0.86187754407570649</v>
      </c>
      <c r="I22" s="97">
        <v>22516562.169999998</v>
      </c>
      <c r="J22" s="131">
        <v>0.75533586615229786</v>
      </c>
      <c r="K22" s="97">
        <v>20544226.239999998</v>
      </c>
      <c r="L22" s="131">
        <v>0.65741523967999993</v>
      </c>
      <c r="M22" s="97">
        <v>16011669.92</v>
      </c>
      <c r="N22" s="131">
        <v>0.49040336661562017</v>
      </c>
      <c r="O22" s="97">
        <v>17998206.289999999</v>
      </c>
      <c r="P22" s="131">
        <v>0.56580340427538511</v>
      </c>
      <c r="Q22" s="97">
        <v>27179432.649999999</v>
      </c>
      <c r="R22" s="131">
        <v>0.8084304773944081</v>
      </c>
      <c r="S22" s="97">
        <v>15038439.810000001</v>
      </c>
      <c r="T22" s="131">
        <v>0.43490094594985401</v>
      </c>
      <c r="U22" s="120">
        <v>13154413.690000001</v>
      </c>
      <c r="V22" s="134">
        <v>0.36288037765517245</v>
      </c>
      <c r="W22" s="120">
        <v>13522498.464518579</v>
      </c>
      <c r="X22" s="134">
        <v>0.36258207439384849</v>
      </c>
      <c r="Y22" s="120">
        <v>13832275.892059397</v>
      </c>
      <c r="Z22" s="134">
        <v>0.35210069726509857</v>
      </c>
      <c r="AA22" s="120">
        <v>14125580.496368745</v>
      </c>
      <c r="AB22" s="134">
        <v>0.3381833535964171</v>
      </c>
      <c r="AC22" s="120">
        <v>14364322.977232274</v>
      </c>
      <c r="AD22" s="134">
        <v>0.32962327268879421</v>
      </c>
      <c r="AE22" s="120">
        <v>14587626.375453308</v>
      </c>
      <c r="AF22" s="134">
        <v>0.32323568303685596</v>
      </c>
    </row>
    <row r="23" spans="2:32">
      <c r="B23" s="81" t="s">
        <v>30</v>
      </c>
      <c r="C23" s="99">
        <v>7506509.4799999958</v>
      </c>
      <c r="D23" s="131">
        <v>0.34931869700777124</v>
      </c>
      <c r="E23" s="99">
        <v>9153048.3600000013</v>
      </c>
      <c r="F23" s="131">
        <v>0.34146794851706774</v>
      </c>
      <c r="G23" s="99">
        <v>18319319.420000002</v>
      </c>
      <c r="H23" s="131">
        <v>0.59370363689395911</v>
      </c>
      <c r="I23" s="99">
        <v>14744246.369999999</v>
      </c>
      <c r="J23" s="131">
        <v>0.49460739248574298</v>
      </c>
      <c r="K23" s="99">
        <v>13257206.299999997</v>
      </c>
      <c r="L23" s="131">
        <v>0.42423060159999992</v>
      </c>
      <c r="M23" s="99">
        <v>10724280.77</v>
      </c>
      <c r="N23" s="131">
        <v>0.32846189188361408</v>
      </c>
      <c r="O23" s="99">
        <v>8544481.8000000007</v>
      </c>
      <c r="P23" s="131">
        <v>0.2686099276956932</v>
      </c>
      <c r="Q23" s="99">
        <v>7991437.5899999999</v>
      </c>
      <c r="R23" s="131">
        <v>0.23769891701368234</v>
      </c>
      <c r="S23" s="99">
        <v>7905297.4699999997</v>
      </c>
      <c r="T23" s="131">
        <v>0.22861556060036436</v>
      </c>
      <c r="U23" s="121">
        <v>8333209.8900000015</v>
      </c>
      <c r="V23" s="134">
        <v>0.22988165213793108</v>
      </c>
      <c r="W23" s="121">
        <v>8272568.4679195723</v>
      </c>
      <c r="X23" s="134">
        <v>0.22181441125940668</v>
      </c>
      <c r="Y23" s="121">
        <v>8454564.9742138032</v>
      </c>
      <c r="Z23" s="134">
        <v>0.2152110213621943</v>
      </c>
      <c r="AA23" s="121">
        <v>8615201.7087238654</v>
      </c>
      <c r="AB23" s="134">
        <v>0.20625827069654207</v>
      </c>
      <c r="AC23" s="121">
        <v>8753044.936063448</v>
      </c>
      <c r="AD23" s="134">
        <v>0.20085926238155599</v>
      </c>
      <c r="AE23" s="121">
        <v>8884340.6101043988</v>
      </c>
      <c r="AF23" s="134">
        <v>0.1968610815445247</v>
      </c>
    </row>
    <row r="24" spans="2:32">
      <c r="B24" s="81" t="s">
        <v>31</v>
      </c>
      <c r="C24" s="99">
        <v>6027790.6899999976</v>
      </c>
      <c r="D24" s="131">
        <v>0.28050587230676149</v>
      </c>
      <c r="E24" s="99">
        <v>8663338.5800000001</v>
      </c>
      <c r="F24" s="131">
        <v>0.32319860399179257</v>
      </c>
      <c r="G24" s="99">
        <v>7688705.0099999998</v>
      </c>
      <c r="H24" s="131">
        <v>0.24918022459165154</v>
      </c>
      <c r="I24" s="99">
        <v>6834686.9299999997</v>
      </c>
      <c r="J24" s="131">
        <v>0.22927497249245221</v>
      </c>
      <c r="K24" s="99">
        <v>6236916.9700000007</v>
      </c>
      <c r="L24" s="131">
        <v>0.19958134304000003</v>
      </c>
      <c r="M24" s="99">
        <v>3918273.44</v>
      </c>
      <c r="N24" s="131">
        <v>0.12000837488514549</v>
      </c>
      <c r="O24" s="99">
        <v>3475076.76</v>
      </c>
      <c r="P24" s="131">
        <v>0.10924478968877711</v>
      </c>
      <c r="Q24" s="99">
        <v>4557791.26</v>
      </c>
      <c r="R24" s="131">
        <v>0.13556785425342058</v>
      </c>
      <c r="S24" s="99">
        <v>3784205.9000000004</v>
      </c>
      <c r="T24" s="131">
        <v>0.10943653373434745</v>
      </c>
      <c r="U24" s="121">
        <v>1862618.2899999998</v>
      </c>
      <c r="V24" s="134">
        <v>5.1382573517241369E-2</v>
      </c>
      <c r="W24" s="121">
        <v>1857560.0927102694</v>
      </c>
      <c r="X24" s="134">
        <v>4.9807215248968216E-2</v>
      </c>
      <c r="Y24" s="121">
        <v>1898426.4147498955</v>
      </c>
      <c r="Z24" s="134">
        <v>4.8324460092908118E-2</v>
      </c>
      <c r="AA24" s="121">
        <v>1934496.5166301434</v>
      </c>
      <c r="AB24" s="134">
        <v>4.6314168800549296E-2</v>
      </c>
      <c r="AC24" s="121">
        <v>1965448.4608962256</v>
      </c>
      <c r="AD24" s="134">
        <v>4.5101850954523515E-2</v>
      </c>
      <c r="AE24" s="121">
        <v>1994930.1878096689</v>
      </c>
      <c r="AF24" s="134">
        <v>4.4204081272095477E-2</v>
      </c>
    </row>
    <row r="25" spans="2:32">
      <c r="B25" s="81" t="s">
        <v>33</v>
      </c>
      <c r="C25" s="99">
        <v>365979.02</v>
      </c>
      <c r="D25" s="131">
        <v>1.7030993531574296E-2</v>
      </c>
      <c r="E25" s="99">
        <v>564651.91</v>
      </c>
      <c r="F25" s="131">
        <v>2.1065171050177207E-2</v>
      </c>
      <c r="G25" s="99">
        <v>544318.97</v>
      </c>
      <c r="H25" s="131">
        <v>1.76406199766658E-2</v>
      </c>
      <c r="I25" s="99">
        <v>409061.18</v>
      </c>
      <c r="J25" s="131">
        <v>1.3722280442804427E-2</v>
      </c>
      <c r="K25" s="99">
        <v>449587.51</v>
      </c>
      <c r="L25" s="131">
        <v>1.438680032E-2</v>
      </c>
      <c r="M25" s="99">
        <v>553959.80999999994</v>
      </c>
      <c r="N25" s="131">
        <v>1.6966609800918835E-2</v>
      </c>
      <c r="O25" s="99">
        <v>491975.95</v>
      </c>
      <c r="P25" s="131">
        <v>1.5466078277271297E-2</v>
      </c>
      <c r="Q25" s="99">
        <v>767936.98999999987</v>
      </c>
      <c r="R25" s="131">
        <v>2.284167132659131E-2</v>
      </c>
      <c r="S25" s="99">
        <v>644189.07999999984</v>
      </c>
      <c r="T25" s="131">
        <v>1.8629488417825843E-2</v>
      </c>
      <c r="U25" s="121">
        <v>874440.19000000006</v>
      </c>
      <c r="V25" s="134">
        <v>2.4122488000000001E-2</v>
      </c>
      <c r="W25" s="121">
        <v>1181381.6370718076</v>
      </c>
      <c r="X25" s="134">
        <v>3.1676676151543307E-2</v>
      </c>
      <c r="Y25" s="121">
        <v>1219654.494408794</v>
      </c>
      <c r="Z25" s="134">
        <v>3.1046315245228304E-2</v>
      </c>
      <c r="AA25" s="121">
        <v>1273319.2921627809</v>
      </c>
      <c r="AB25" s="134">
        <v>3.0484792361865999E-2</v>
      </c>
      <c r="AC25" s="121">
        <v>1306425.5937590131</v>
      </c>
      <c r="AD25" s="134">
        <v>2.99790167919366E-2</v>
      </c>
      <c r="AE25" s="121">
        <v>1333860.5312279523</v>
      </c>
      <c r="AF25" s="134">
        <v>2.9555961250342395E-2</v>
      </c>
    </row>
    <row r="26" spans="2:32">
      <c r="B26" s="81" t="s">
        <v>36</v>
      </c>
      <c r="C26" s="99">
        <v>1877566.52</v>
      </c>
      <c r="D26" s="131">
        <v>8.7373378007352592E-2</v>
      </c>
      <c r="E26" s="99">
        <v>3466035.12</v>
      </c>
      <c r="F26" s="131">
        <v>0.12930554448796866</v>
      </c>
      <c r="G26" s="99">
        <v>41750.1</v>
      </c>
      <c r="H26" s="131">
        <v>1.3530626134301269E-3</v>
      </c>
      <c r="I26" s="99">
        <v>528567.68999999994</v>
      </c>
      <c r="J26" s="131">
        <v>1.7731220731298222E-2</v>
      </c>
      <c r="K26" s="99">
        <v>600515.46</v>
      </c>
      <c r="L26" s="131">
        <v>1.9216494719999998E-2</v>
      </c>
      <c r="M26" s="99">
        <v>815155.9</v>
      </c>
      <c r="N26" s="131">
        <v>2.496649004594181E-2</v>
      </c>
      <c r="O26" s="99">
        <v>5486671.7800000003</v>
      </c>
      <c r="P26" s="131">
        <v>0.17248260861364351</v>
      </c>
      <c r="Q26" s="99">
        <v>13862266.809999999</v>
      </c>
      <c r="R26" s="131">
        <v>0.41232203480071383</v>
      </c>
      <c r="S26" s="99">
        <v>2704747.36</v>
      </c>
      <c r="T26" s="131">
        <v>7.8219363197316288E-2</v>
      </c>
      <c r="U26" s="121">
        <v>2084145.32</v>
      </c>
      <c r="V26" s="134">
        <v>5.7493664E-2</v>
      </c>
      <c r="W26" s="121">
        <v>2210988.2668169313</v>
      </c>
      <c r="X26" s="134">
        <v>5.9283771733930325E-2</v>
      </c>
      <c r="Y26" s="121">
        <v>2259630.0086869039</v>
      </c>
      <c r="Z26" s="134">
        <v>5.7518900564767821E-2</v>
      </c>
      <c r="AA26" s="121">
        <v>2302562.9788519549</v>
      </c>
      <c r="AB26" s="134">
        <v>5.5126121737459718E-2</v>
      </c>
      <c r="AC26" s="121">
        <v>2339403.9865135862</v>
      </c>
      <c r="AD26" s="134">
        <v>5.3683142560778052E-2</v>
      </c>
      <c r="AE26" s="121">
        <v>2374495.04631129</v>
      </c>
      <c r="AF26" s="134">
        <v>5.2614558969893421E-2</v>
      </c>
    </row>
    <row r="27" spans="2:32">
      <c r="B27" s="80" t="s">
        <v>38</v>
      </c>
      <c r="C27" s="97">
        <v>17868340.149999995</v>
      </c>
      <c r="D27" s="131">
        <v>0.83151101261110316</v>
      </c>
      <c r="E27" s="97">
        <v>22895117.909999996</v>
      </c>
      <c r="F27" s="131">
        <v>0.85413609065472851</v>
      </c>
      <c r="G27" s="97">
        <v>38239154.099999994</v>
      </c>
      <c r="H27" s="131">
        <v>1.2392777450090742</v>
      </c>
      <c r="I27" s="97">
        <v>28332415.080000002</v>
      </c>
      <c r="J27" s="131">
        <v>0.95043324656155659</v>
      </c>
      <c r="K27" s="97">
        <v>27428633.469999999</v>
      </c>
      <c r="L27" s="131">
        <v>0.87771627103999994</v>
      </c>
      <c r="M27" s="97">
        <v>25699255.23</v>
      </c>
      <c r="N27" s="131">
        <v>0.78711348330781017</v>
      </c>
      <c r="O27" s="97">
        <v>12706115.310000001</v>
      </c>
      <c r="P27" s="131">
        <v>0.39943776516818619</v>
      </c>
      <c r="Q27" s="97">
        <v>13233490.18</v>
      </c>
      <c r="R27" s="131">
        <v>0.39361957703747769</v>
      </c>
      <c r="S27" s="97">
        <v>17342019.190000001</v>
      </c>
      <c r="T27" s="131">
        <v>0.50151881749038429</v>
      </c>
      <c r="U27" s="120">
        <v>29630001.300000001</v>
      </c>
      <c r="V27" s="134">
        <v>0.81737934620689656</v>
      </c>
      <c r="W27" s="120">
        <v>72510640.912681982</v>
      </c>
      <c r="X27" s="134">
        <v>1.9442456338029757</v>
      </c>
      <c r="Y27" s="120">
        <v>23449281.372267835</v>
      </c>
      <c r="Z27" s="134">
        <v>0.59690165132411432</v>
      </c>
      <c r="AA27" s="120">
        <v>23965165.562457733</v>
      </c>
      <c r="AB27" s="134">
        <v>0.57375483163249619</v>
      </c>
      <c r="AC27" s="120">
        <v>24276712.714769676</v>
      </c>
      <c r="AD27" s="134">
        <v>0.55708643615516262</v>
      </c>
      <c r="AE27" s="120">
        <v>24531618.198274754</v>
      </c>
      <c r="AF27" s="134">
        <v>0.5435767382733161</v>
      </c>
    </row>
    <row r="28" spans="2:32">
      <c r="B28" s="81" t="s">
        <v>39</v>
      </c>
      <c r="C28" s="99">
        <v>1274186.23</v>
      </c>
      <c r="D28" s="131">
        <v>5.9294812694867145E-2</v>
      </c>
      <c r="E28" s="99">
        <v>2986015.41</v>
      </c>
      <c r="F28" s="131">
        <v>0.11139770229434809</v>
      </c>
      <c r="G28" s="99">
        <v>2856435.93</v>
      </c>
      <c r="H28" s="131">
        <v>9.25731115504278E-2</v>
      </c>
      <c r="I28" s="99">
        <v>2890522.73</v>
      </c>
      <c r="J28" s="131">
        <v>9.696486850050319E-2</v>
      </c>
      <c r="K28" s="99">
        <v>2020524.58</v>
      </c>
      <c r="L28" s="131">
        <v>6.4656786559999999E-2</v>
      </c>
      <c r="M28" s="99">
        <v>1002041.9199999999</v>
      </c>
      <c r="N28" s="131">
        <v>3.0690411026033686E-2</v>
      </c>
      <c r="O28" s="99">
        <v>563371.34</v>
      </c>
      <c r="P28" s="131">
        <v>1.7710510531279471E-2</v>
      </c>
      <c r="Q28" s="99">
        <v>647266.8600000001</v>
      </c>
      <c r="R28" s="131">
        <v>1.9252434860202266E-2</v>
      </c>
      <c r="S28" s="99">
        <v>691442</v>
      </c>
      <c r="T28" s="131">
        <v>1.9996009138494461E-2</v>
      </c>
      <c r="U28" s="121">
        <v>589070.87</v>
      </c>
      <c r="V28" s="134">
        <v>1.6250230896551723E-2</v>
      </c>
      <c r="W28" s="121">
        <v>731085.84365417412</v>
      </c>
      <c r="X28" s="134">
        <v>1.9602784385418265E-2</v>
      </c>
      <c r="Y28" s="121">
        <v>742928.22520016623</v>
      </c>
      <c r="Z28" s="134">
        <v>1.8911244118624569E-2</v>
      </c>
      <c r="AA28" s="121">
        <v>759272.64615456993</v>
      </c>
      <c r="AB28" s="134">
        <v>1.8177898588775644E-2</v>
      </c>
      <c r="AC28" s="121">
        <v>769143.19055457925</v>
      </c>
      <c r="AD28" s="134">
        <v>1.764980473070309E-2</v>
      </c>
      <c r="AE28" s="121">
        <v>777219.1940554023</v>
      </c>
      <c r="AF28" s="134">
        <v>1.7221785819973461E-2</v>
      </c>
    </row>
    <row r="29" spans="2:32">
      <c r="B29" s="81" t="s">
        <v>41</v>
      </c>
      <c r="C29" s="99">
        <v>3521417.44</v>
      </c>
      <c r="D29" s="131">
        <v>0.16387069849690539</v>
      </c>
      <c r="E29" s="99">
        <v>3729314.35</v>
      </c>
      <c r="F29" s="131">
        <v>0.13912756388733447</v>
      </c>
      <c r="G29" s="99">
        <v>3925540.16</v>
      </c>
      <c r="H29" s="131">
        <v>0.12722129115893183</v>
      </c>
      <c r="I29" s="99">
        <v>3661578.93</v>
      </c>
      <c r="J29" s="131">
        <v>0.12283055786648776</v>
      </c>
      <c r="K29" s="99">
        <v>3239633.87</v>
      </c>
      <c r="L29" s="131">
        <v>0.10366828384</v>
      </c>
      <c r="M29" s="99">
        <v>3009556.45</v>
      </c>
      <c r="N29" s="131">
        <v>9.2176307810107203E-2</v>
      </c>
      <c r="O29" s="99">
        <v>1376923.26</v>
      </c>
      <c r="P29" s="131">
        <v>4.3285861678717383E-2</v>
      </c>
      <c r="Q29" s="99">
        <v>1995183.6300000001</v>
      </c>
      <c r="R29" s="131">
        <v>5.934514069006544E-2</v>
      </c>
      <c r="S29" s="99">
        <v>2187369.91</v>
      </c>
      <c r="T29" s="131">
        <v>6.3257176610081262E-2</v>
      </c>
      <c r="U29" s="121">
        <v>2017461.7800000003</v>
      </c>
      <c r="V29" s="134">
        <v>5.5654118068965523E-2</v>
      </c>
      <c r="W29" s="121">
        <v>2242680.4978631078</v>
      </c>
      <c r="X29" s="134">
        <v>6.013354331312798E-2</v>
      </c>
      <c r="Y29" s="121">
        <v>2693096.2128256937</v>
      </c>
      <c r="Z29" s="134">
        <v>6.8552786377133607E-2</v>
      </c>
      <c r="AA29" s="121">
        <v>2752344.329507859</v>
      </c>
      <c r="AB29" s="134">
        <v>6.5894427194997704E-2</v>
      </c>
      <c r="AC29" s="121">
        <v>2788124.8057914609</v>
      </c>
      <c r="AD29" s="134">
        <v>6.3980100183382918E-2</v>
      </c>
      <c r="AE29" s="121">
        <v>2817400.116252271</v>
      </c>
      <c r="AF29" s="134">
        <v>6.2428542349928451E-2</v>
      </c>
    </row>
    <row r="30" spans="2:32">
      <c r="B30" s="81" t="s">
        <v>44</v>
      </c>
      <c r="C30" s="99">
        <v>1902110.17</v>
      </c>
      <c r="D30" s="131">
        <v>8.851552747917539E-2</v>
      </c>
      <c r="E30" s="99">
        <v>2195706.9700000002</v>
      </c>
      <c r="F30" s="131">
        <v>8.1914082074239891E-2</v>
      </c>
      <c r="G30" s="99">
        <v>9210786.3699999992</v>
      </c>
      <c r="H30" s="131">
        <v>0.2985087623152709</v>
      </c>
      <c r="I30" s="99">
        <v>9651406.9600000009</v>
      </c>
      <c r="J30" s="131">
        <v>0.32376407111707484</v>
      </c>
      <c r="K30" s="99">
        <v>7609457.3499999996</v>
      </c>
      <c r="L30" s="131">
        <v>0.24350263519999998</v>
      </c>
      <c r="M30" s="99">
        <v>7452842.79</v>
      </c>
      <c r="N30" s="131">
        <v>0.2282647102603369</v>
      </c>
      <c r="O30" s="99">
        <v>654296.18000000005</v>
      </c>
      <c r="P30" s="131">
        <v>2.0568883370009432E-2</v>
      </c>
      <c r="Q30" s="99">
        <v>309851.25</v>
      </c>
      <c r="R30" s="131">
        <v>9.2162775133848903E-3</v>
      </c>
      <c r="S30" s="99">
        <v>166617.24</v>
      </c>
      <c r="T30" s="131">
        <v>4.8184516614129961E-3</v>
      </c>
      <c r="U30" s="121">
        <v>99518.200000000012</v>
      </c>
      <c r="V30" s="134">
        <v>2.7453296551724141E-3</v>
      </c>
      <c r="W30" s="121">
        <v>176147.2910105609</v>
      </c>
      <c r="X30" s="134">
        <v>4.7230806008998769E-3</v>
      </c>
      <c r="Y30" s="121">
        <v>179000.58580014887</v>
      </c>
      <c r="Z30" s="134">
        <v>4.5564613923927419E-3</v>
      </c>
      <c r="AA30" s="121">
        <v>182938.59868775215</v>
      </c>
      <c r="AB30" s="134">
        <v>4.3797696542352497E-3</v>
      </c>
      <c r="AC30" s="121">
        <v>185316.80047069292</v>
      </c>
      <c r="AD30" s="134">
        <v>4.2525311044722775E-3</v>
      </c>
      <c r="AE30" s="121">
        <v>187262.62687563518</v>
      </c>
      <c r="AF30" s="134">
        <v>4.1494045396772697E-3</v>
      </c>
    </row>
    <row r="31" spans="2:32">
      <c r="B31" s="81" t="s">
        <v>46</v>
      </c>
      <c r="C31" s="99">
        <v>3406245.76</v>
      </c>
      <c r="D31" s="131">
        <v>0.15851113406859324</v>
      </c>
      <c r="E31" s="99">
        <v>4400291.1100000003</v>
      </c>
      <c r="F31" s="131">
        <v>0.16415934004849844</v>
      </c>
      <c r="G31" s="99">
        <v>5175563.96</v>
      </c>
      <c r="H31" s="131">
        <v>0.16773282214156079</v>
      </c>
      <c r="I31" s="99">
        <v>4679989.66</v>
      </c>
      <c r="J31" s="131">
        <v>0.15699395035223079</v>
      </c>
      <c r="K31" s="99">
        <v>6380752.96</v>
      </c>
      <c r="L31" s="131">
        <v>0.20418409471999999</v>
      </c>
      <c r="M31" s="99">
        <v>4180845.3600000003</v>
      </c>
      <c r="N31" s="131">
        <v>0.12805039387442574</v>
      </c>
      <c r="O31" s="99">
        <v>3319092.83</v>
      </c>
      <c r="P31" s="131">
        <v>0.10434117667400189</v>
      </c>
      <c r="Q31" s="99">
        <v>3324177.16</v>
      </c>
      <c r="R31" s="131">
        <v>9.8874989886972048E-2</v>
      </c>
      <c r="S31" s="99">
        <v>4965390.66</v>
      </c>
      <c r="T31" s="131">
        <v>0.14359555394892856</v>
      </c>
      <c r="U31" s="121">
        <v>6224101.3200000003</v>
      </c>
      <c r="V31" s="134">
        <v>0.1716993467586207</v>
      </c>
      <c r="W31" s="121">
        <v>8175263.8569406634</v>
      </c>
      <c r="X31" s="134">
        <v>0.21920535881326353</v>
      </c>
      <c r="Y31" s="121">
        <v>8307689.610596546</v>
      </c>
      <c r="Z31" s="134">
        <v>0.2114723077662351</v>
      </c>
      <c r="AA31" s="121">
        <v>8490458.7820296697</v>
      </c>
      <c r="AB31" s="134">
        <v>0.20327177528860324</v>
      </c>
      <c r="AC31" s="121">
        <v>8600834.7461960539</v>
      </c>
      <c r="AD31" s="134">
        <v>0.19736644054789237</v>
      </c>
      <c r="AE31" s="121">
        <v>8691143.5110311117</v>
      </c>
      <c r="AF31" s="134">
        <v>0.19258017972592759</v>
      </c>
    </row>
    <row r="32" spans="2:32">
      <c r="B32" s="81" t="s">
        <v>49</v>
      </c>
      <c r="C32" s="99">
        <v>5372953.1699999962</v>
      </c>
      <c r="D32" s="131">
        <v>0.25003272232304885</v>
      </c>
      <c r="E32" s="99">
        <v>6458859.3499999996</v>
      </c>
      <c r="F32" s="131">
        <v>0.24095725983958216</v>
      </c>
      <c r="G32" s="99">
        <v>7089990.1699999999</v>
      </c>
      <c r="H32" s="131">
        <v>0.2297767102022297</v>
      </c>
      <c r="I32" s="99">
        <v>4037944.42</v>
      </c>
      <c r="J32" s="131">
        <v>0.13545603555853739</v>
      </c>
      <c r="K32" s="99">
        <v>3597161.86</v>
      </c>
      <c r="L32" s="131">
        <v>0.11510917951999999</v>
      </c>
      <c r="M32" s="99">
        <v>4863937.55</v>
      </c>
      <c r="N32" s="131">
        <v>0.14897205359877486</v>
      </c>
      <c r="O32" s="99">
        <v>3327409.68</v>
      </c>
      <c r="P32" s="131">
        <v>0.10460263061930211</v>
      </c>
      <c r="Q32" s="99">
        <v>3659024.1899999995</v>
      </c>
      <c r="R32" s="131">
        <v>0.10883474687685901</v>
      </c>
      <c r="S32" s="99">
        <v>3154323.14</v>
      </c>
      <c r="T32" s="131">
        <v>9.1220773880100636E-2</v>
      </c>
      <c r="U32" s="121">
        <v>15360647.609999999</v>
      </c>
      <c r="V32" s="134">
        <v>0.42374200303448278</v>
      </c>
      <c r="W32" s="121">
        <v>4482653.8164045978</v>
      </c>
      <c r="X32" s="134">
        <v>0.12019449836183398</v>
      </c>
      <c r="Y32" s="121">
        <v>4555265.3945020828</v>
      </c>
      <c r="Z32" s="134">
        <v>0.11595431830220397</v>
      </c>
      <c r="AA32" s="121">
        <v>4655481.2331811292</v>
      </c>
      <c r="AB32" s="134">
        <v>0.11145780921691037</v>
      </c>
      <c r="AC32" s="121">
        <v>4716002.4892124832</v>
      </c>
      <c r="AD32" s="134">
        <v>0.10821980102832814</v>
      </c>
      <c r="AE32" s="121">
        <v>4765520.515349214</v>
      </c>
      <c r="AF32" s="134">
        <v>0.10559540251161563</v>
      </c>
    </row>
    <row r="33" spans="2:32">
      <c r="B33" s="81" t="s">
        <v>50</v>
      </c>
      <c r="C33" s="99">
        <v>2391427.38</v>
      </c>
      <c r="D33" s="131">
        <v>0.11128611754851318</v>
      </c>
      <c r="E33" s="99">
        <v>3124930.72</v>
      </c>
      <c r="F33" s="131">
        <v>0.11658014251072563</v>
      </c>
      <c r="G33" s="99">
        <v>9980837.5099999998</v>
      </c>
      <c r="H33" s="131">
        <v>0.32346504764065337</v>
      </c>
      <c r="I33" s="99">
        <v>3410972.38</v>
      </c>
      <c r="J33" s="131">
        <v>0.11442376316672256</v>
      </c>
      <c r="K33" s="99">
        <v>4581102.8499999996</v>
      </c>
      <c r="L33" s="131">
        <v>0.14659529119999998</v>
      </c>
      <c r="M33" s="99">
        <v>5190031.1599999992</v>
      </c>
      <c r="N33" s="131">
        <v>0.1589596067381317</v>
      </c>
      <c r="O33" s="99">
        <v>3465022.02</v>
      </c>
      <c r="P33" s="131">
        <v>0.10892870229487583</v>
      </c>
      <c r="Q33" s="99">
        <v>3297987.09</v>
      </c>
      <c r="R33" s="131">
        <v>9.8095987209994046E-2</v>
      </c>
      <c r="S33" s="99">
        <v>6176876.2400000002</v>
      </c>
      <c r="T33" s="131">
        <v>0.17863085225136643</v>
      </c>
      <c r="U33" s="121">
        <v>5339201.5199999996</v>
      </c>
      <c r="V33" s="134">
        <v>0.14728831779310345</v>
      </c>
      <c r="W33" s="121">
        <v>56702809.606808878</v>
      </c>
      <c r="X33" s="134">
        <v>1.5203863683284322</v>
      </c>
      <c r="Y33" s="121">
        <v>6971301.3433431983</v>
      </c>
      <c r="Z33" s="134">
        <v>0.17745453336752445</v>
      </c>
      <c r="AA33" s="121">
        <v>7124669.9728967492</v>
      </c>
      <c r="AB33" s="134">
        <v>0.17057315168897386</v>
      </c>
      <c r="AC33" s="121">
        <v>7217290.6825444065</v>
      </c>
      <c r="AD33" s="134">
        <v>0.16561775856038383</v>
      </c>
      <c r="AE33" s="121">
        <v>7293072.2347111227</v>
      </c>
      <c r="AF33" s="134">
        <v>0.1616014233261937</v>
      </c>
    </row>
    <row r="34" spans="2:32">
      <c r="B34" s="80" t="s">
        <v>52</v>
      </c>
      <c r="C34" s="97">
        <v>60725640.779999994</v>
      </c>
      <c r="D34" s="131">
        <v>2.8258942147145047</v>
      </c>
      <c r="E34" s="97">
        <v>58512071.479999997</v>
      </c>
      <c r="F34" s="131">
        <v>2.1828789957097556</v>
      </c>
      <c r="G34" s="97">
        <v>45480397.879999995</v>
      </c>
      <c r="H34" s="131">
        <v>1.4739563741249675</v>
      </c>
      <c r="I34" s="97">
        <v>43622195.68</v>
      </c>
      <c r="J34" s="131">
        <v>1.4633410157665214</v>
      </c>
      <c r="K34" s="97">
        <v>31858288.899999999</v>
      </c>
      <c r="L34" s="131">
        <v>1.0194652448000001</v>
      </c>
      <c r="M34" s="97">
        <v>24777629.66</v>
      </c>
      <c r="N34" s="131">
        <v>0.75888605390505359</v>
      </c>
      <c r="O34" s="97">
        <v>35120651.189999998</v>
      </c>
      <c r="P34" s="131">
        <v>1.1040757997485067</v>
      </c>
      <c r="Q34" s="97">
        <v>33675934.090000004</v>
      </c>
      <c r="R34" s="131">
        <v>1.0016637147531231</v>
      </c>
      <c r="S34" s="97">
        <v>29705548.170000002</v>
      </c>
      <c r="T34" s="131">
        <v>0.85906325139535555</v>
      </c>
      <c r="U34" s="120">
        <v>26566961.210000001</v>
      </c>
      <c r="V34" s="134">
        <v>0.73288168855172409</v>
      </c>
      <c r="W34" s="120">
        <v>39001181.572536513</v>
      </c>
      <c r="X34" s="134">
        <v>1.0457482657872774</v>
      </c>
      <c r="Y34" s="120">
        <v>37391136.211113505</v>
      </c>
      <c r="Z34" s="134">
        <v>0.95179168158619065</v>
      </c>
      <c r="AA34" s="120">
        <v>38213741.207758002</v>
      </c>
      <c r="AB34" s="134">
        <v>0.9148828367391606</v>
      </c>
      <c r="AC34" s="120">
        <v>38710519.843458854</v>
      </c>
      <c r="AD34" s="134">
        <v>0.88830418659550359</v>
      </c>
      <c r="AE34" s="120">
        <v>39116980.301815167</v>
      </c>
      <c r="AF34" s="134">
        <v>0.86676224909849697</v>
      </c>
    </row>
    <row r="35" spans="2:32">
      <c r="B35" s="81" t="s">
        <v>54</v>
      </c>
      <c r="C35" s="99">
        <v>8168377.7700000005</v>
      </c>
      <c r="D35" s="131">
        <v>0.38011902694401789</v>
      </c>
      <c r="E35" s="99">
        <v>18699178.469999999</v>
      </c>
      <c r="F35" s="131">
        <v>0.69760039059876877</v>
      </c>
      <c r="G35" s="99">
        <v>13798997.720000001</v>
      </c>
      <c r="H35" s="131">
        <v>0.44720630412237494</v>
      </c>
      <c r="I35" s="99">
        <v>14050397.890000001</v>
      </c>
      <c r="J35" s="131">
        <v>0.47133169708151629</v>
      </c>
      <c r="K35" s="99">
        <v>7714681.46</v>
      </c>
      <c r="L35" s="131">
        <v>0.24686980672</v>
      </c>
      <c r="M35" s="99">
        <v>5467464.75</v>
      </c>
      <c r="N35" s="131">
        <v>0.16745680704441041</v>
      </c>
      <c r="O35" s="99">
        <v>12780311.91</v>
      </c>
      <c r="P35" s="131">
        <v>0.40177025809493871</v>
      </c>
      <c r="Q35" s="99">
        <v>6152889.7300000004</v>
      </c>
      <c r="R35" s="131">
        <v>0.18301278197501489</v>
      </c>
      <c r="S35" s="99">
        <v>2751166.12</v>
      </c>
      <c r="T35" s="131">
        <v>7.9561760606148252E-2</v>
      </c>
      <c r="U35" s="121">
        <v>1885665.4</v>
      </c>
      <c r="V35" s="134">
        <v>5.2018355862068967E-2</v>
      </c>
      <c r="W35" s="121">
        <v>4980114.510720362</v>
      </c>
      <c r="X35" s="134">
        <v>0.13353303420620355</v>
      </c>
      <c r="Y35" s="121">
        <v>5060784.1293302663</v>
      </c>
      <c r="Z35" s="134">
        <v>0.12882230187935004</v>
      </c>
      <c r="AA35" s="121">
        <v>5172121.3801755318</v>
      </c>
      <c r="AB35" s="134">
        <v>0.12382679451687929</v>
      </c>
      <c r="AC35" s="121">
        <v>5239358.9581178129</v>
      </c>
      <c r="AD35" s="134">
        <v>0.12022944967914574</v>
      </c>
      <c r="AE35" s="121">
        <v>5294372.2271780493</v>
      </c>
      <c r="AF35" s="134">
        <v>0.11731380959845</v>
      </c>
    </row>
    <row r="36" spans="2:32">
      <c r="B36" s="81" t="s">
        <v>56</v>
      </c>
      <c r="C36" s="99">
        <v>7615600.2199999951</v>
      </c>
      <c r="D36" s="131">
        <v>0.35439528223742356</v>
      </c>
      <c r="E36" s="99">
        <v>10141066.57</v>
      </c>
      <c r="F36" s="131">
        <v>0.37832742286886772</v>
      </c>
      <c r="G36" s="99">
        <v>9427789.2100000009</v>
      </c>
      <c r="H36" s="131">
        <v>0.30554152223230496</v>
      </c>
      <c r="I36" s="99">
        <v>8057798.4800000004</v>
      </c>
      <c r="J36" s="131">
        <v>0.27030521569942972</v>
      </c>
      <c r="K36" s="99">
        <v>7698309.5599999996</v>
      </c>
      <c r="L36" s="131">
        <v>0.24634590591999997</v>
      </c>
      <c r="M36" s="99">
        <v>7094815.5099999998</v>
      </c>
      <c r="N36" s="131">
        <v>0.21729909678407353</v>
      </c>
      <c r="O36" s="99">
        <v>8748262.1099999994</v>
      </c>
      <c r="P36" s="131">
        <v>0.27501609902546365</v>
      </c>
      <c r="Q36" s="99">
        <v>12316700.43</v>
      </c>
      <c r="R36" s="131">
        <v>0.36635039946460435</v>
      </c>
      <c r="S36" s="99">
        <v>14149381.440000001</v>
      </c>
      <c r="T36" s="131">
        <v>0.40919001243529313</v>
      </c>
      <c r="U36" s="121">
        <v>12627752.640000001</v>
      </c>
      <c r="V36" s="134">
        <v>0.34835179696551727</v>
      </c>
      <c r="W36" s="121">
        <v>14410581.361261969</v>
      </c>
      <c r="X36" s="134">
        <v>0.3863944593447371</v>
      </c>
      <c r="Y36" s="121">
        <v>14644008.946081068</v>
      </c>
      <c r="Z36" s="134">
        <v>0.37276336887058847</v>
      </c>
      <c r="AA36" s="121">
        <v>14966177.142894853</v>
      </c>
      <c r="AB36" s="134">
        <v>0.35830824637637609</v>
      </c>
      <c r="AC36" s="121">
        <v>15160737.445752485</v>
      </c>
      <c r="AD36" s="134">
        <v>0.34789888121879126</v>
      </c>
      <c r="AE36" s="121">
        <v>15319925.188932884</v>
      </c>
      <c r="AF36" s="134">
        <v>0.33946211364796997</v>
      </c>
    </row>
    <row r="37" spans="2:32">
      <c r="B37" s="81" t="s">
        <v>58</v>
      </c>
      <c r="C37" s="99">
        <v>28553597.170000002</v>
      </c>
      <c r="D37" s="131">
        <v>1.3287541146633162</v>
      </c>
      <c r="E37" s="99">
        <v>18195249.18</v>
      </c>
      <c r="F37" s="131">
        <v>0.67880056631225516</v>
      </c>
      <c r="G37" s="99">
        <v>5377701.7699999996</v>
      </c>
      <c r="H37" s="131">
        <v>0.17428382713248636</v>
      </c>
      <c r="I37" s="99">
        <v>2358239.02</v>
      </c>
      <c r="J37" s="131">
        <v>7.9108990942636709E-2</v>
      </c>
      <c r="K37" s="99">
        <v>2576571.9700000002</v>
      </c>
      <c r="L37" s="131">
        <v>8.2450303040000006E-2</v>
      </c>
      <c r="M37" s="99">
        <v>2308669.88</v>
      </c>
      <c r="N37" s="131">
        <v>7.0709644104134758E-2</v>
      </c>
      <c r="O37" s="99">
        <v>2007154.91</v>
      </c>
      <c r="P37" s="131">
        <v>6.3098236718013193E-2</v>
      </c>
      <c r="Q37" s="99">
        <v>2179410.2600000002</v>
      </c>
      <c r="R37" s="131">
        <v>6.4824814396192754E-2</v>
      </c>
      <c r="S37" s="99">
        <v>2329494.69</v>
      </c>
      <c r="T37" s="131">
        <v>6.7367323809248383E-2</v>
      </c>
      <c r="U37" s="121">
        <v>2068334.6199999999</v>
      </c>
      <c r="V37" s="134">
        <v>5.7057506758620688E-2</v>
      </c>
      <c r="W37" s="121">
        <v>4156959.2859076899</v>
      </c>
      <c r="X37" s="134">
        <v>0.11146157087833998</v>
      </c>
      <c r="Y37" s="121">
        <v>4224295.1512676552</v>
      </c>
      <c r="Z37" s="134">
        <v>0.10752946802259526</v>
      </c>
      <c r="AA37" s="121">
        <v>4317229.6445955439</v>
      </c>
      <c r="AB37" s="134">
        <v>0.10335966014497699</v>
      </c>
      <c r="AC37" s="121">
        <v>4373353.6299752854</v>
      </c>
      <c r="AD37" s="134">
        <v>0.10035691472704772</v>
      </c>
      <c r="AE37" s="121">
        <v>4419273.8430900257</v>
      </c>
      <c r="AF37" s="134">
        <v>9.7923196168624549E-2</v>
      </c>
    </row>
    <row r="38" spans="2:32">
      <c r="B38" s="81" t="s">
        <v>52</v>
      </c>
      <c r="C38" s="99">
        <v>16388065.619999999</v>
      </c>
      <c r="D38" s="131">
        <v>0.76262579086974736</v>
      </c>
      <c r="E38" s="99">
        <v>11476577.26</v>
      </c>
      <c r="F38" s="131">
        <v>0.42815061592986386</v>
      </c>
      <c r="G38" s="99">
        <v>16875909.18</v>
      </c>
      <c r="H38" s="131">
        <v>0.5469247206378014</v>
      </c>
      <c r="I38" s="99">
        <v>19155760.289999999</v>
      </c>
      <c r="J38" s="131">
        <v>0.64259511204293862</v>
      </c>
      <c r="K38" s="99">
        <v>13868725.91</v>
      </c>
      <c r="L38" s="131">
        <v>0.44379922911999997</v>
      </c>
      <c r="M38" s="99">
        <v>9906679.5199999996</v>
      </c>
      <c r="N38" s="131">
        <v>0.30342050597243492</v>
      </c>
      <c r="O38" s="99">
        <v>11584922.26</v>
      </c>
      <c r="P38" s="131">
        <v>0.36419120591009113</v>
      </c>
      <c r="Q38" s="99">
        <v>13026933.670000002</v>
      </c>
      <c r="R38" s="131">
        <v>0.38747571891731114</v>
      </c>
      <c r="S38" s="99">
        <v>10475505.92</v>
      </c>
      <c r="T38" s="131">
        <v>0.30294415454466583</v>
      </c>
      <c r="U38" s="121">
        <v>9985208.5499999989</v>
      </c>
      <c r="V38" s="134">
        <v>0.27545402896551718</v>
      </c>
      <c r="W38" s="121">
        <v>15453526.414646493</v>
      </c>
      <c r="X38" s="134">
        <v>0.41435920135799686</v>
      </c>
      <c r="Y38" s="121">
        <v>13462047.984434513</v>
      </c>
      <c r="Z38" s="134">
        <v>0.34267654281365695</v>
      </c>
      <c r="AA38" s="121">
        <v>13758213.040092073</v>
      </c>
      <c r="AB38" s="134">
        <v>0.32938813570092829</v>
      </c>
      <c r="AC38" s="121">
        <v>13937069.809613269</v>
      </c>
      <c r="AD38" s="134">
        <v>0.31981894097051883</v>
      </c>
      <c r="AE38" s="121">
        <v>14083409.042614207</v>
      </c>
      <c r="AF38" s="134">
        <v>0.3120631296834524</v>
      </c>
    </row>
    <row r="39" spans="2:32" ht="22.5" customHeight="1">
      <c r="B39" s="82" t="s">
        <v>398</v>
      </c>
      <c r="C39" s="97">
        <v>12337841.16</v>
      </c>
      <c r="D39" s="131">
        <v>0.57414682674856898</v>
      </c>
      <c r="E39" s="97">
        <v>10241165.600000001</v>
      </c>
      <c r="F39" s="131">
        <v>0.38206176459615748</v>
      </c>
      <c r="G39" s="97">
        <v>8998827.7799999993</v>
      </c>
      <c r="H39" s="131">
        <v>0.29163947951775987</v>
      </c>
      <c r="I39" s="97">
        <v>54812548</v>
      </c>
      <c r="J39" s="131">
        <v>1.8387302247567929</v>
      </c>
      <c r="K39" s="97">
        <v>4969313.91</v>
      </c>
      <c r="L39" s="131">
        <v>0.15901804512000001</v>
      </c>
      <c r="M39" s="97">
        <v>5006443.9800000004</v>
      </c>
      <c r="N39" s="131">
        <v>0.15333672220520675</v>
      </c>
      <c r="O39" s="97">
        <v>5498802.5</v>
      </c>
      <c r="P39" s="131">
        <v>0.17286395787488212</v>
      </c>
      <c r="Q39" s="97">
        <v>8633294.2100000009</v>
      </c>
      <c r="R39" s="131">
        <v>0.25679042861392032</v>
      </c>
      <c r="S39" s="97">
        <v>8522051.1899999995</v>
      </c>
      <c r="T39" s="131">
        <v>0.24645163798837441</v>
      </c>
      <c r="U39" s="120">
        <v>7929787.8700000001</v>
      </c>
      <c r="V39" s="134">
        <v>0.21875276882758621</v>
      </c>
      <c r="W39" s="120">
        <v>5225932.2100328896</v>
      </c>
      <c r="X39" s="134">
        <v>0.1401242045859469</v>
      </c>
      <c r="Y39" s="121">
        <v>5310583.6688210508</v>
      </c>
      <c r="Z39" s="134">
        <v>0.13518095122364901</v>
      </c>
      <c r="AA39" s="121">
        <v>5427416.5095351143</v>
      </c>
      <c r="AB39" s="134">
        <v>0.12993886637303059</v>
      </c>
      <c r="AC39" s="121">
        <v>5497972.9241590705</v>
      </c>
      <c r="AD39" s="134">
        <v>0.12616395713798409</v>
      </c>
      <c r="AE39" s="121">
        <v>5555701.6398627404</v>
      </c>
      <c r="AF39" s="134">
        <v>0.12310440150371682</v>
      </c>
    </row>
    <row r="40" spans="2:32" ht="13.5" thickBot="1">
      <c r="B40" s="80" t="s">
        <v>122</v>
      </c>
      <c r="C40" s="97">
        <v>189875.77</v>
      </c>
      <c r="D40" s="132">
        <v>8.8359518823584154E-3</v>
      </c>
      <c r="E40" s="97">
        <v>86112.85</v>
      </c>
      <c r="F40" s="132">
        <v>3.2125666853199033E-3</v>
      </c>
      <c r="G40" s="97">
        <v>2235692.06</v>
      </c>
      <c r="H40" s="132">
        <v>7.2455666969147001E-2</v>
      </c>
      <c r="I40" s="97">
        <v>6019555.9299999997</v>
      </c>
      <c r="J40" s="132">
        <v>0.20193075914122777</v>
      </c>
      <c r="K40" s="97">
        <v>2781827</v>
      </c>
      <c r="L40" s="132">
        <v>8.9018463999999992E-2</v>
      </c>
      <c r="M40" s="97">
        <v>4014349.98</v>
      </c>
      <c r="N40" s="132">
        <v>0.12295099479326187</v>
      </c>
      <c r="O40" s="97">
        <v>5036438.91</v>
      </c>
      <c r="P40" s="132">
        <v>0.15832879314680917</v>
      </c>
      <c r="Q40" s="97">
        <v>6614829.6400000006</v>
      </c>
      <c r="R40" s="132">
        <v>0.19675281499107675</v>
      </c>
      <c r="S40" s="97">
        <v>5554927.7199999997</v>
      </c>
      <c r="T40" s="132">
        <v>0.1606445449550305</v>
      </c>
      <c r="U40" s="120">
        <v>6598063.9000000004</v>
      </c>
      <c r="V40" s="135">
        <v>0.18201555586206897</v>
      </c>
      <c r="W40" s="120">
        <v>13443123.494648736</v>
      </c>
      <c r="X40" s="135">
        <v>0.36045377382085358</v>
      </c>
      <c r="Y40" s="121">
        <v>35200000</v>
      </c>
      <c r="Z40" s="135">
        <v>0.89601629120529458</v>
      </c>
      <c r="AA40" s="121">
        <v>29510000</v>
      </c>
      <c r="AB40" s="135">
        <v>0.70650482415188298</v>
      </c>
      <c r="AC40" s="121">
        <v>21800000</v>
      </c>
      <c r="AD40" s="135">
        <v>0.50025242094634903</v>
      </c>
      <c r="AE40" s="121">
        <v>22200000</v>
      </c>
      <c r="AF40" s="135">
        <v>0.49191225348991802</v>
      </c>
    </row>
    <row r="41" spans="2:32" ht="14.25" thickTop="1" thickBot="1">
      <c r="B41" s="79" t="s">
        <v>61</v>
      </c>
      <c r="C41" s="94">
        <v>788059673.71999991</v>
      </c>
      <c r="D41" s="95">
        <v>36.67270108985992</v>
      </c>
      <c r="E41" s="94">
        <v>951337553.28000009</v>
      </c>
      <c r="F41" s="96">
        <v>35.491048434247347</v>
      </c>
      <c r="G41" s="94">
        <v>1272080504.76</v>
      </c>
      <c r="H41" s="95">
        <v>41.226358074928697</v>
      </c>
      <c r="I41" s="94">
        <v>1301362942.0244999</v>
      </c>
      <c r="J41" s="96">
        <v>43.655247971301577</v>
      </c>
      <c r="K41" s="94">
        <v>1252601635.5500002</v>
      </c>
      <c r="L41" s="95">
        <v>40.083252337600008</v>
      </c>
      <c r="M41" s="94">
        <v>1318816400.96</v>
      </c>
      <c r="N41" s="95">
        <v>40.392539079938743</v>
      </c>
      <c r="O41" s="94">
        <v>1316574561.6500001</v>
      </c>
      <c r="P41" s="95">
        <v>41.388700460547</v>
      </c>
      <c r="Q41" s="94">
        <v>1444790063.1899998</v>
      </c>
      <c r="R41" s="95">
        <v>42.974124425639495</v>
      </c>
      <c r="S41" s="94">
        <v>1456693340.7400002</v>
      </c>
      <c r="T41" s="95">
        <v>42.126531731397677</v>
      </c>
      <c r="U41" s="94">
        <v>1617955701.3999999</v>
      </c>
      <c r="V41" s="128">
        <v>44.633260728275857</v>
      </c>
      <c r="W41" s="94">
        <v>1613677697.0799999</v>
      </c>
      <c r="X41" s="128">
        <v>43.267936642445363</v>
      </c>
      <c r="Y41" s="94">
        <v>1785374983.9499998</v>
      </c>
      <c r="Z41" s="128">
        <v>45.446734986636116</v>
      </c>
      <c r="AA41" s="94">
        <v>1831588426.98</v>
      </c>
      <c r="AB41" s="128">
        <v>43.850425602240897</v>
      </c>
      <c r="AC41" s="94">
        <v>1803578339.96</v>
      </c>
      <c r="AD41" s="128">
        <v>41.387359217036121</v>
      </c>
      <c r="AE41" s="94">
        <v>1633003669.96</v>
      </c>
      <c r="AF41" s="128">
        <v>36.184437623753603</v>
      </c>
    </row>
    <row r="42" spans="2:32" ht="14.25" thickTop="1" thickBot="1">
      <c r="B42" s="79" t="s">
        <v>125</v>
      </c>
      <c r="C42" s="94">
        <v>788059673.71999991</v>
      </c>
      <c r="D42" s="95">
        <v>36.67270108985992</v>
      </c>
      <c r="E42" s="94">
        <v>868878314.29000008</v>
      </c>
      <c r="F42" s="96">
        <v>32.414785088229806</v>
      </c>
      <c r="G42" s="94">
        <v>1198709645.3</v>
      </c>
      <c r="H42" s="95">
        <v>38.848510672154525</v>
      </c>
      <c r="I42" s="94">
        <v>1188998245.3844998</v>
      </c>
      <c r="J42" s="96">
        <v>39.885885454025491</v>
      </c>
      <c r="K42" s="94">
        <v>1189351266.7400002</v>
      </c>
      <c r="L42" s="95">
        <v>38.059240535680004</v>
      </c>
      <c r="M42" s="94">
        <v>1251701212.99</v>
      </c>
      <c r="N42" s="95">
        <v>38.336943736294025</v>
      </c>
      <c r="O42" s="126">
        <v>1257836588.6500001</v>
      </c>
      <c r="P42" s="95">
        <v>39.542175059729644</v>
      </c>
      <c r="Q42" s="94">
        <v>1367570835.7599998</v>
      </c>
      <c r="R42" s="95">
        <v>40.677300290303378</v>
      </c>
      <c r="S42" s="94">
        <v>1388967503.7200003</v>
      </c>
      <c r="T42" s="95">
        <v>40.167948862604483</v>
      </c>
      <c r="U42" s="119">
        <v>1389952592.8299999</v>
      </c>
      <c r="V42" s="128">
        <v>38.343519802206892</v>
      </c>
      <c r="W42" s="119">
        <v>1497946551.3199999</v>
      </c>
      <c r="X42" s="128">
        <v>40.164808991017559</v>
      </c>
      <c r="Y42" s="119">
        <v>1502296383.9499998</v>
      </c>
      <c r="Z42" s="128">
        <v>38.24096688176148</v>
      </c>
      <c r="AA42" s="119">
        <v>1509188426.98</v>
      </c>
      <c r="AB42" s="128">
        <v>36.131782589480238</v>
      </c>
      <c r="AC42" s="119">
        <v>1529678339.96</v>
      </c>
      <c r="AD42" s="128">
        <v>35.102077652944146</v>
      </c>
      <c r="AE42" s="119">
        <v>1532747669.96</v>
      </c>
      <c r="AF42" s="128">
        <v>33.962944160425437</v>
      </c>
    </row>
    <row r="43" spans="2:32" ht="13.5" thickTop="1">
      <c r="B43" s="80" t="s">
        <v>62</v>
      </c>
      <c r="C43" s="97">
        <v>436259421.93999994</v>
      </c>
      <c r="D43" s="130">
        <v>20.301522729768717</v>
      </c>
      <c r="E43" s="97">
        <v>494161800.55000007</v>
      </c>
      <c r="F43" s="130">
        <v>18.435433708263385</v>
      </c>
      <c r="G43" s="120">
        <v>495163943.19999993</v>
      </c>
      <c r="H43" s="130">
        <v>16.04757399533316</v>
      </c>
      <c r="I43" s="120">
        <v>485900381.46449983</v>
      </c>
      <c r="J43" s="130">
        <v>16.299912159157994</v>
      </c>
      <c r="K43" s="120">
        <v>525725762.2100001</v>
      </c>
      <c r="L43" s="130">
        <v>16.823224390720004</v>
      </c>
      <c r="M43" s="120">
        <v>621510541.74999988</v>
      </c>
      <c r="N43" s="130">
        <v>19.035544923430319</v>
      </c>
      <c r="O43" s="120">
        <v>658054102.25</v>
      </c>
      <c r="P43" s="130">
        <v>20.687019875825214</v>
      </c>
      <c r="Q43" s="120">
        <v>597567511.00999999</v>
      </c>
      <c r="R43" s="130">
        <v>17.77416748988697</v>
      </c>
      <c r="S43" s="120">
        <v>635026761.19000006</v>
      </c>
      <c r="T43" s="130">
        <v>18.364520697243993</v>
      </c>
      <c r="U43" s="120">
        <v>641171576.11000001</v>
      </c>
      <c r="V43" s="133">
        <v>17.687491754758621</v>
      </c>
      <c r="W43" s="120">
        <v>730352471.63000011</v>
      </c>
      <c r="X43" s="134">
        <v>19.583120301112753</v>
      </c>
      <c r="Y43" s="120">
        <v>750959296.76999998</v>
      </c>
      <c r="Z43" s="134">
        <v>19.115675111874761</v>
      </c>
      <c r="AA43" s="120">
        <v>750714839.96000004</v>
      </c>
      <c r="AB43" s="134">
        <v>17.973014435586201</v>
      </c>
      <c r="AC43" s="120">
        <v>762015839.96000004</v>
      </c>
      <c r="AD43" s="133">
        <v>17.486250859608059</v>
      </c>
      <c r="AE43" s="120">
        <v>752585169.96000004</v>
      </c>
      <c r="AF43" s="133">
        <v>16.675939950365613</v>
      </c>
    </row>
    <row r="44" spans="2:32">
      <c r="B44" s="80" t="s">
        <v>63</v>
      </c>
      <c r="C44" s="97">
        <v>211619268.66999999</v>
      </c>
      <c r="D44" s="131">
        <v>9.8477950891153601</v>
      </c>
      <c r="E44" s="97">
        <v>256098289.82000002</v>
      </c>
      <c r="F44" s="131">
        <v>9.5541238507741095</v>
      </c>
      <c r="G44" s="97">
        <v>274699862.86000001</v>
      </c>
      <c r="H44" s="131">
        <v>8.902640097873995</v>
      </c>
      <c r="I44" s="97">
        <v>259160937.78449979</v>
      </c>
      <c r="J44" s="131">
        <v>8.6937583959912725</v>
      </c>
      <c r="K44" s="97">
        <v>283662646.70999998</v>
      </c>
      <c r="L44" s="131">
        <v>9.0772046947199989</v>
      </c>
      <c r="M44" s="97">
        <v>371258246.90999997</v>
      </c>
      <c r="N44" s="131">
        <v>11.370849828790199</v>
      </c>
      <c r="O44" s="97">
        <v>374653307.63</v>
      </c>
      <c r="P44" s="131">
        <v>11.777846828984597</v>
      </c>
      <c r="Q44" s="97">
        <v>371004370.17000002</v>
      </c>
      <c r="R44" s="131">
        <v>11.035228143069602</v>
      </c>
      <c r="S44" s="97">
        <v>387342557.38999999</v>
      </c>
      <c r="T44" s="131">
        <v>11.201670302495733</v>
      </c>
      <c r="U44" s="129">
        <v>382177081.81999993</v>
      </c>
      <c r="V44" s="134">
        <v>10.542816050206895</v>
      </c>
      <c r="W44" s="129">
        <v>434723752.68000007</v>
      </c>
      <c r="X44" s="134">
        <v>11.656354811100686</v>
      </c>
      <c r="Y44" s="129">
        <v>438246239.97999996</v>
      </c>
      <c r="Z44" s="134">
        <v>11.15556166424844</v>
      </c>
      <c r="AA44" s="129">
        <v>437545370.24000001</v>
      </c>
      <c r="AB44" s="134">
        <v>10.475361398166104</v>
      </c>
      <c r="AC44" s="129">
        <v>440145370.24000001</v>
      </c>
      <c r="AD44" s="134">
        <v>10.100173717013172</v>
      </c>
      <c r="AE44" s="129">
        <v>442145370.24000001</v>
      </c>
      <c r="AF44" s="134">
        <v>9.7971497948149793</v>
      </c>
    </row>
    <row r="45" spans="2:32" hidden="1">
      <c r="B45" s="81" t="s">
        <v>65</v>
      </c>
      <c r="C45" s="99">
        <v>122073803.08999999</v>
      </c>
      <c r="D45" s="131">
        <v>5.6807577407045455</v>
      </c>
      <c r="E45" s="99">
        <v>147753470.87000003</v>
      </c>
      <c r="F45" s="131">
        <v>5.5121608233538533</v>
      </c>
      <c r="G45" s="99">
        <v>158140128.56</v>
      </c>
      <c r="H45" s="131">
        <v>5.1251013922737876</v>
      </c>
      <c r="I45" s="99">
        <v>149173408.38193399</v>
      </c>
      <c r="J45" s="131">
        <v>5.004139831665011</v>
      </c>
      <c r="K45" s="99">
        <v>165721016.36000001</v>
      </c>
      <c r="L45" s="131">
        <v>5.3030725235200009</v>
      </c>
      <c r="M45" s="99">
        <v>220303195.69999999</v>
      </c>
      <c r="N45" s="131">
        <v>6.747417938744257</v>
      </c>
      <c r="O45" s="99">
        <v>223106865.93000001</v>
      </c>
      <c r="P45" s="131">
        <v>7.0137336035837787</v>
      </c>
      <c r="Q45" s="99">
        <v>221767124</v>
      </c>
      <c r="R45" s="131">
        <v>6.5962856632956575</v>
      </c>
      <c r="S45" s="99">
        <v>226610175</v>
      </c>
      <c r="T45" s="131">
        <v>6.5534045229763738</v>
      </c>
      <c r="U45" s="122">
        <v>223344011</v>
      </c>
      <c r="V45" s="134">
        <v>6.1612140965517241</v>
      </c>
      <c r="W45" s="122"/>
      <c r="X45" s="134">
        <v>0</v>
      </c>
      <c r="Y45" s="122"/>
      <c r="Z45" s="134">
        <v>0</v>
      </c>
      <c r="AA45" s="122"/>
      <c r="AB45" s="134">
        <v>0</v>
      </c>
      <c r="AC45" s="122"/>
      <c r="AD45" s="134">
        <v>0</v>
      </c>
      <c r="AE45" s="122"/>
      <c r="AF45" s="134">
        <v>0</v>
      </c>
    </row>
    <row r="46" spans="2:32" hidden="1">
      <c r="B46" s="81" t="s">
        <v>67</v>
      </c>
      <c r="C46" s="99">
        <v>24568593.439999998</v>
      </c>
      <c r="D46" s="131">
        <v>1.1433102256968681</v>
      </c>
      <c r="E46" s="99">
        <v>26916847.73</v>
      </c>
      <c r="F46" s="131">
        <v>1.0041726442827832</v>
      </c>
      <c r="G46" s="99">
        <v>29446439.690000001</v>
      </c>
      <c r="H46" s="131">
        <v>0.95431811284677226</v>
      </c>
      <c r="I46" s="99">
        <v>27786106.092939563</v>
      </c>
      <c r="J46" s="131">
        <v>0.93210688000468167</v>
      </c>
      <c r="K46" s="99">
        <v>22646761.260000002</v>
      </c>
      <c r="L46" s="131">
        <v>0.72469636032000007</v>
      </c>
      <c r="M46" s="99">
        <v>29343979.530000001</v>
      </c>
      <c r="N46" s="131">
        <v>0.89874363032159255</v>
      </c>
      <c r="O46" s="99">
        <v>29398079.799999997</v>
      </c>
      <c r="P46" s="131">
        <v>0.92417729644765789</v>
      </c>
      <c r="Q46" s="99">
        <v>31182223</v>
      </c>
      <c r="R46" s="131">
        <v>0.92749027364663894</v>
      </c>
      <c r="S46" s="99">
        <v>33518109</v>
      </c>
      <c r="T46" s="131">
        <v>0.96931978946759589</v>
      </c>
      <c r="U46" s="122">
        <v>32308047</v>
      </c>
      <c r="V46" s="134">
        <v>0.89125646896551725</v>
      </c>
      <c r="W46" s="122"/>
      <c r="X46" s="134">
        <v>0</v>
      </c>
      <c r="Y46" s="122"/>
      <c r="Z46" s="134">
        <v>0</v>
      </c>
      <c r="AA46" s="122"/>
      <c r="AB46" s="134">
        <v>0</v>
      </c>
      <c r="AC46" s="122"/>
      <c r="AD46" s="134">
        <v>0</v>
      </c>
      <c r="AE46" s="122"/>
      <c r="AF46" s="134">
        <v>0</v>
      </c>
    </row>
    <row r="47" spans="2:32" hidden="1">
      <c r="B47" s="81" t="s">
        <v>69</v>
      </c>
      <c r="C47" s="99">
        <v>31579861.260000002</v>
      </c>
      <c r="D47" s="131">
        <v>1.4695826357671367</v>
      </c>
      <c r="E47" s="99">
        <v>40145380.400000006</v>
      </c>
      <c r="F47" s="131">
        <v>1.4976825368401419</v>
      </c>
      <c r="G47" s="99">
        <v>42046795.229999997</v>
      </c>
      <c r="H47" s="131">
        <v>1.3626780927534352</v>
      </c>
      <c r="I47" s="99">
        <v>39675992.256736048</v>
      </c>
      <c r="J47" s="131">
        <v>1.33096250441919</v>
      </c>
      <c r="K47" s="99">
        <v>59935832.810000002</v>
      </c>
      <c r="L47" s="131">
        <v>1.91794664992</v>
      </c>
      <c r="M47" s="99">
        <v>76702574.069999993</v>
      </c>
      <c r="N47" s="131">
        <v>2.3492365718223582</v>
      </c>
      <c r="O47" s="99">
        <v>77127985.669999987</v>
      </c>
      <c r="P47" s="131">
        <v>2.4246458871424079</v>
      </c>
      <c r="Q47" s="99">
        <v>74530520</v>
      </c>
      <c r="R47" s="131">
        <v>2.2168506841165971</v>
      </c>
      <c r="S47" s="99">
        <v>80871754</v>
      </c>
      <c r="T47" s="131">
        <v>2.3387534052459586</v>
      </c>
      <c r="U47" s="122">
        <v>79335800</v>
      </c>
      <c r="V47" s="134">
        <v>2.1885737931034486</v>
      </c>
      <c r="W47" s="122"/>
      <c r="X47" s="134">
        <v>0</v>
      </c>
      <c r="Y47" s="122"/>
      <c r="Z47" s="134">
        <v>0</v>
      </c>
      <c r="AA47" s="122"/>
      <c r="AB47" s="134">
        <v>0</v>
      </c>
      <c r="AC47" s="122"/>
      <c r="AD47" s="134">
        <v>0</v>
      </c>
      <c r="AE47" s="122"/>
      <c r="AF47" s="134">
        <v>0</v>
      </c>
    </row>
    <row r="48" spans="2:32" hidden="1">
      <c r="B48" s="81" t="s">
        <v>71</v>
      </c>
      <c r="C48" s="99">
        <v>29479999.799999997</v>
      </c>
      <c r="D48" s="131">
        <v>1.3718646656428868</v>
      </c>
      <c r="E48" s="99">
        <v>37349335.560000002</v>
      </c>
      <c r="F48" s="131">
        <v>1.3933719664241748</v>
      </c>
      <c r="G48" s="99">
        <v>40930764.380000003</v>
      </c>
      <c r="H48" s="131">
        <v>1.3265090867254343</v>
      </c>
      <c r="I48" s="99">
        <v>38622888.658217676</v>
      </c>
      <c r="J48" s="131">
        <v>1.2956353122515154</v>
      </c>
      <c r="K48" s="99">
        <v>32139632.719999999</v>
      </c>
      <c r="L48" s="131">
        <v>1.0284682470399999</v>
      </c>
      <c r="M48" s="99">
        <v>40786208.719999999</v>
      </c>
      <c r="N48" s="131">
        <v>1.2491947540581929</v>
      </c>
      <c r="O48" s="99">
        <v>40846412.990000002</v>
      </c>
      <c r="P48" s="131">
        <v>1.2840745988682805</v>
      </c>
      <c r="Q48" s="99">
        <v>39082445</v>
      </c>
      <c r="R48" s="131">
        <v>1.1624760559190956</v>
      </c>
      <c r="S48" s="99">
        <v>41645483</v>
      </c>
      <c r="T48" s="131">
        <v>1.204357644813326</v>
      </c>
      <c r="U48" s="122">
        <v>42685710</v>
      </c>
      <c r="V48" s="134">
        <v>1.1775368275862068</v>
      </c>
      <c r="W48" s="122"/>
      <c r="X48" s="134">
        <v>0</v>
      </c>
      <c r="Y48" s="122"/>
      <c r="Z48" s="134">
        <v>0</v>
      </c>
      <c r="AA48" s="122"/>
      <c r="AB48" s="134">
        <v>0</v>
      </c>
      <c r="AC48" s="122"/>
      <c r="AD48" s="134">
        <v>0</v>
      </c>
      <c r="AE48" s="122"/>
      <c r="AF48" s="134">
        <v>0</v>
      </c>
    </row>
    <row r="49" spans="2:32" hidden="1">
      <c r="B49" s="81" t="s">
        <v>128</v>
      </c>
      <c r="C49" s="99">
        <v>3917011.08</v>
      </c>
      <c r="D49" s="131">
        <v>0.18227982130392292</v>
      </c>
      <c r="E49" s="99">
        <v>3933255.26</v>
      </c>
      <c r="F49" s="131">
        <v>0.14673587987315798</v>
      </c>
      <c r="G49" s="99">
        <v>4135735</v>
      </c>
      <c r="H49" s="131">
        <v>0.13403341327456572</v>
      </c>
      <c r="I49" s="99">
        <v>3902542.3946725391</v>
      </c>
      <c r="J49" s="131">
        <v>0.13091386765087348</v>
      </c>
      <c r="K49" s="99">
        <v>3219403.56</v>
      </c>
      <c r="L49" s="131">
        <v>0.10302091392000001</v>
      </c>
      <c r="M49" s="99">
        <v>4122288.89</v>
      </c>
      <c r="N49" s="131">
        <v>0.12625693384379785</v>
      </c>
      <c r="O49" s="99">
        <v>4173963.2399999998</v>
      </c>
      <c r="P49" s="131">
        <v>0.13121544294247092</v>
      </c>
      <c r="Q49" s="99">
        <v>4442058</v>
      </c>
      <c r="R49" s="131">
        <v>0.13212546103509815</v>
      </c>
      <c r="S49" s="99">
        <v>4697036</v>
      </c>
      <c r="T49" s="131">
        <v>0.13583492871395933</v>
      </c>
      <c r="U49" s="122">
        <v>4503513</v>
      </c>
      <c r="V49" s="134">
        <v>0.12423484137931035</v>
      </c>
      <c r="W49" s="122"/>
      <c r="X49" s="134">
        <v>0</v>
      </c>
      <c r="Y49" s="122"/>
      <c r="Z49" s="134">
        <v>0</v>
      </c>
      <c r="AA49" s="122"/>
      <c r="AB49" s="134">
        <v>0</v>
      </c>
      <c r="AC49" s="122"/>
      <c r="AD49" s="134">
        <v>0</v>
      </c>
      <c r="AE49" s="122"/>
      <c r="AF49" s="134">
        <v>0</v>
      </c>
    </row>
    <row r="50" spans="2:32">
      <c r="B50" s="80" t="s">
        <v>74</v>
      </c>
      <c r="C50" s="97">
        <v>15461447.869999999</v>
      </c>
      <c r="D50" s="131">
        <v>0.71950522918702586</v>
      </c>
      <c r="E50" s="97">
        <v>27511729.489999998</v>
      </c>
      <c r="F50" s="131">
        <v>1.0263655844058945</v>
      </c>
      <c r="G50" s="97">
        <v>21753186.010000002</v>
      </c>
      <c r="H50" s="131">
        <v>0.7049904721934146</v>
      </c>
      <c r="I50" s="97">
        <v>21646046.59</v>
      </c>
      <c r="J50" s="131">
        <v>0.72613373331096953</v>
      </c>
      <c r="K50" s="97">
        <v>18835767.040000003</v>
      </c>
      <c r="L50" s="131">
        <v>0.6027445452800001</v>
      </c>
      <c r="M50" s="97">
        <v>12829673.57</v>
      </c>
      <c r="N50" s="131">
        <v>0.39294559173047472</v>
      </c>
      <c r="O50" s="97">
        <v>10336327.24</v>
      </c>
      <c r="P50" s="131">
        <v>0.32493955485696324</v>
      </c>
      <c r="Q50" s="97">
        <v>12119032.27</v>
      </c>
      <c r="R50" s="131">
        <v>0.36047091820345034</v>
      </c>
      <c r="S50" s="97">
        <v>11957808.1</v>
      </c>
      <c r="T50" s="131">
        <v>0.34581127562971742</v>
      </c>
      <c r="U50" s="129">
        <v>14740493.810000001</v>
      </c>
      <c r="V50" s="134">
        <v>0.40663431200000005</v>
      </c>
      <c r="W50" s="129">
        <v>10551988.82</v>
      </c>
      <c r="X50" s="134">
        <v>0.28293306931224027</v>
      </c>
      <c r="Y50" s="129">
        <v>10188146.970000001</v>
      </c>
      <c r="Z50" s="134">
        <v>0.25933936540664376</v>
      </c>
      <c r="AA50" s="129">
        <v>10300000</v>
      </c>
      <c r="AB50" s="134">
        <v>0.24659436424142306</v>
      </c>
      <c r="AC50" s="129">
        <v>10300000</v>
      </c>
      <c r="AD50" s="134">
        <v>0.23635779521777042</v>
      </c>
      <c r="AE50" s="129">
        <v>10400000</v>
      </c>
      <c r="AF50" s="134">
        <v>0.23044538001329493</v>
      </c>
    </row>
    <row r="51" spans="2:32">
      <c r="B51" s="80" t="s">
        <v>76</v>
      </c>
      <c r="C51" s="97">
        <v>112547776.84</v>
      </c>
      <c r="D51" s="131">
        <v>5.2374599488110203</v>
      </c>
      <c r="E51" s="97">
        <v>137071242.36000001</v>
      </c>
      <c r="F51" s="131">
        <v>5.1136445573587022</v>
      </c>
      <c r="G51" s="97">
        <v>121034828</v>
      </c>
      <c r="H51" s="131">
        <v>3.9225702618615506</v>
      </c>
      <c r="I51" s="97">
        <v>109956288.45999999</v>
      </c>
      <c r="J51" s="131">
        <v>3.6885705622274405</v>
      </c>
      <c r="K51" s="97">
        <v>112683384.09</v>
      </c>
      <c r="L51" s="131">
        <v>3.6058682908800002</v>
      </c>
      <c r="M51" s="97">
        <v>110492923</v>
      </c>
      <c r="N51" s="131">
        <v>3.3841630321592646</v>
      </c>
      <c r="O51" s="97">
        <v>153691947.66</v>
      </c>
      <c r="P51" s="131">
        <v>4.8315607563659224</v>
      </c>
      <c r="Q51" s="97">
        <v>77138116.629999995</v>
      </c>
      <c r="R51" s="131">
        <v>2.2944115594883998</v>
      </c>
      <c r="S51" s="97">
        <v>82668934.020000011</v>
      </c>
      <c r="T51" s="131">
        <v>2.3907265687266843</v>
      </c>
      <c r="U51" s="129">
        <v>84046561.560000002</v>
      </c>
      <c r="V51" s="134">
        <v>2.3185258361379311</v>
      </c>
      <c r="W51" s="129">
        <v>79155523.570000008</v>
      </c>
      <c r="X51" s="134">
        <v>2.1224165054296824</v>
      </c>
      <c r="Y51" s="129">
        <v>82621863.819999993</v>
      </c>
      <c r="Z51" s="134">
        <v>2.1031402270586734</v>
      </c>
      <c r="AA51" s="129">
        <v>83700000</v>
      </c>
      <c r="AB51" s="134">
        <v>2.0038784744667097</v>
      </c>
      <c r="AC51" s="129">
        <v>85811000</v>
      </c>
      <c r="AD51" s="134">
        <v>1.9691358024691359</v>
      </c>
      <c r="AE51" s="129">
        <v>87970330</v>
      </c>
      <c r="AF51" s="134">
        <v>1.9492650121870154</v>
      </c>
    </row>
    <row r="52" spans="2:32">
      <c r="B52" s="80" t="s">
        <v>78</v>
      </c>
      <c r="C52" s="97">
        <v>20449366.720000003</v>
      </c>
      <c r="D52" s="131">
        <v>0.95162021127088292</v>
      </c>
      <c r="E52" s="97">
        <v>22633631.750000004</v>
      </c>
      <c r="F52" s="131">
        <v>0.8443809643723188</v>
      </c>
      <c r="G52" s="97">
        <v>22151878.379999999</v>
      </c>
      <c r="H52" s="131">
        <v>0.71791153681617836</v>
      </c>
      <c r="I52" s="97">
        <v>5130736.91</v>
      </c>
      <c r="J52" s="131">
        <v>0.17211462294532037</v>
      </c>
      <c r="K52" s="97">
        <v>28005189.850000001</v>
      </c>
      <c r="L52" s="131">
        <v>0.89616607520000002</v>
      </c>
      <c r="M52" s="97">
        <v>23542025.550000001</v>
      </c>
      <c r="N52" s="131">
        <v>0.72104213016845331</v>
      </c>
      <c r="O52" s="97">
        <v>22543512.98</v>
      </c>
      <c r="P52" s="131">
        <v>0.70869264319396419</v>
      </c>
      <c r="Q52" s="97">
        <v>20415784.169999998</v>
      </c>
      <c r="R52" s="131">
        <v>0.6072511650803093</v>
      </c>
      <c r="S52" s="97">
        <v>21273630.079999998</v>
      </c>
      <c r="T52" s="131">
        <v>0.61521819832846525</v>
      </c>
      <c r="U52" s="129">
        <v>20121139.949999999</v>
      </c>
      <c r="V52" s="134">
        <v>0.55506592965517232</v>
      </c>
      <c r="W52" s="129">
        <v>23246057.440000001</v>
      </c>
      <c r="X52" s="134">
        <v>0.6233022507038477</v>
      </c>
      <c r="Y52" s="129">
        <v>21226969.719999999</v>
      </c>
      <c r="Z52" s="134">
        <v>0.54033268983072424</v>
      </c>
      <c r="AA52" s="129">
        <v>20669469.719999999</v>
      </c>
      <c r="AB52" s="134">
        <v>0.49485191697191694</v>
      </c>
      <c r="AC52" s="129">
        <v>21169469.719999999</v>
      </c>
      <c r="AD52" s="134">
        <v>0.48578341640277201</v>
      </c>
      <c r="AE52" s="129">
        <v>21669469.719999999</v>
      </c>
      <c r="AF52" s="134">
        <v>0.48015665233769106</v>
      </c>
    </row>
    <row r="53" spans="2:32">
      <c r="B53" s="80" t="s">
        <v>79</v>
      </c>
      <c r="C53" s="97">
        <v>23398994.059999999</v>
      </c>
      <c r="D53" s="131">
        <v>1.0888824077434966</v>
      </c>
      <c r="E53" s="97">
        <v>27098929.48</v>
      </c>
      <c r="F53" s="131">
        <v>1.0109654721134116</v>
      </c>
      <c r="G53" s="97">
        <v>22531993.84</v>
      </c>
      <c r="H53" s="131">
        <v>0.73023054964998702</v>
      </c>
      <c r="I53" s="97">
        <v>24512028.640000001</v>
      </c>
      <c r="J53" s="131">
        <v>0.82227536531365319</v>
      </c>
      <c r="K53" s="97">
        <v>30256278.469999999</v>
      </c>
      <c r="L53" s="131">
        <v>0.96820091104000006</v>
      </c>
      <c r="M53" s="97">
        <v>45092350.030000001</v>
      </c>
      <c r="N53" s="131">
        <v>1.3810826961715161</v>
      </c>
      <c r="O53" s="97">
        <v>56859854.539999999</v>
      </c>
      <c r="P53" s="131">
        <v>1.7874836384784658</v>
      </c>
      <c r="Q53" s="97">
        <v>67922775.540000007</v>
      </c>
      <c r="R53" s="131">
        <v>2.0203086121356337</v>
      </c>
      <c r="S53" s="97">
        <v>75516395.409999996</v>
      </c>
      <c r="T53" s="131">
        <v>2.1838802570924547</v>
      </c>
      <c r="U53" s="129">
        <v>81802749.749999985</v>
      </c>
      <c r="V53" s="134">
        <v>2.2566275793103445</v>
      </c>
      <c r="W53" s="129">
        <v>76599356.200000003</v>
      </c>
      <c r="X53" s="134">
        <v>2.0538773615766188</v>
      </c>
      <c r="Y53" s="129">
        <v>95363625.909999996</v>
      </c>
      <c r="Z53" s="134">
        <v>2.4274818864706629</v>
      </c>
      <c r="AA53" s="129">
        <v>88900000</v>
      </c>
      <c r="AB53" s="134">
        <v>2.1283727166080109</v>
      </c>
      <c r="AC53" s="129">
        <v>96700000</v>
      </c>
      <c r="AD53" s="134">
        <v>2.2190095919959614</v>
      </c>
      <c r="AE53" s="129">
        <v>84400000</v>
      </c>
      <c r="AF53" s="134">
        <v>1.870152891646355</v>
      </c>
    </row>
    <row r="54" spans="2:32">
      <c r="B54" s="80" t="s">
        <v>81</v>
      </c>
      <c r="C54" s="97">
        <v>2663918.17</v>
      </c>
      <c r="D54" s="131">
        <v>0.12396659546744847</v>
      </c>
      <c r="E54" s="97">
        <v>4927168.12</v>
      </c>
      <c r="F54" s="131">
        <v>0.18381526282409999</v>
      </c>
      <c r="G54" s="97">
        <v>8361199.96</v>
      </c>
      <c r="H54" s="131">
        <v>0.27097484962406015</v>
      </c>
      <c r="I54" s="97">
        <v>8038103.2300000004</v>
      </c>
      <c r="J54" s="131">
        <v>0.26964452297886615</v>
      </c>
      <c r="K54" s="97">
        <v>8015830.71</v>
      </c>
      <c r="L54" s="131">
        <v>0.25650658271999999</v>
      </c>
      <c r="M54" s="97">
        <v>7376287.9199999999</v>
      </c>
      <c r="N54" s="131">
        <v>0.2259199975497703</v>
      </c>
      <c r="O54" s="97">
        <v>7110247.5800000001</v>
      </c>
      <c r="P54" s="131">
        <v>0.22352240113171959</v>
      </c>
      <c r="Q54" s="97">
        <v>7928041.8099999996</v>
      </c>
      <c r="R54" s="131">
        <v>0.23581326026174895</v>
      </c>
      <c r="S54" s="97">
        <v>8033102.0199999996</v>
      </c>
      <c r="T54" s="131">
        <v>0.23231157696868041</v>
      </c>
      <c r="U54" s="129">
        <v>7918742.3199999994</v>
      </c>
      <c r="V54" s="134">
        <v>0.218448064</v>
      </c>
      <c r="W54" s="129">
        <v>9282623.3499999996</v>
      </c>
      <c r="X54" s="134">
        <v>0.24889726102694729</v>
      </c>
      <c r="Y54" s="129">
        <v>9323779.5199999996</v>
      </c>
      <c r="Z54" s="134">
        <v>0.23733688481608756</v>
      </c>
      <c r="AA54" s="129">
        <v>9200000</v>
      </c>
      <c r="AB54" s="134">
        <v>0.22025904378845554</v>
      </c>
      <c r="AC54" s="129">
        <v>9300000</v>
      </c>
      <c r="AD54" s="134">
        <v>0.21341043645876362</v>
      </c>
      <c r="AE54" s="129">
        <v>9400000</v>
      </c>
      <c r="AF54" s="134">
        <v>0.20828717039663197</v>
      </c>
    </row>
    <row r="55" spans="2:32">
      <c r="B55" s="80" t="s">
        <v>83</v>
      </c>
      <c r="C55" s="97">
        <v>6072666.8299999991</v>
      </c>
      <c r="D55" s="131">
        <v>0.28259420308064587</v>
      </c>
      <c r="E55" s="97">
        <v>13072586.5</v>
      </c>
      <c r="F55" s="131">
        <v>0.48769209102779337</v>
      </c>
      <c r="G55" s="97">
        <v>18592791.149999999</v>
      </c>
      <c r="H55" s="131">
        <v>0.60256647491573756</v>
      </c>
      <c r="I55" s="97">
        <v>49824327.469999999</v>
      </c>
      <c r="J55" s="131">
        <v>1.6713964263669909</v>
      </c>
      <c r="K55" s="97">
        <v>39035362.68</v>
      </c>
      <c r="L55" s="131">
        <v>1.2491316057599999</v>
      </c>
      <c r="M55" s="97">
        <v>45400496.520000003</v>
      </c>
      <c r="N55" s="131">
        <v>1.3905205672281777</v>
      </c>
      <c r="O55" s="97">
        <v>25853418.300000001</v>
      </c>
      <c r="P55" s="131">
        <v>0.81274499528450184</v>
      </c>
      <c r="Q55" s="97">
        <v>17425749.960000001</v>
      </c>
      <c r="R55" s="131">
        <v>0.51831498988697211</v>
      </c>
      <c r="S55" s="97">
        <v>18426863.34</v>
      </c>
      <c r="T55" s="131">
        <v>0.53289173602475481</v>
      </c>
      <c r="U55" s="129">
        <v>19618046.830000006</v>
      </c>
      <c r="V55" s="134">
        <v>0.54118749875862082</v>
      </c>
      <c r="W55" s="129">
        <v>26757997.609999999</v>
      </c>
      <c r="X55" s="134">
        <v>0.71746876551816596</v>
      </c>
      <c r="Y55" s="129">
        <v>24921800</v>
      </c>
      <c r="Z55" s="134">
        <v>0.63438462517500316</v>
      </c>
      <c r="AA55" s="129">
        <v>25500000</v>
      </c>
      <c r="AB55" s="134">
        <v>0.61050061050061055</v>
      </c>
      <c r="AC55" s="129">
        <v>26500000</v>
      </c>
      <c r="AD55" s="134">
        <v>0.60810500711368121</v>
      </c>
      <c r="AE55" s="129">
        <v>21500000</v>
      </c>
      <c r="AF55" s="134">
        <v>0.47640150675825393</v>
      </c>
    </row>
    <row r="56" spans="2:32">
      <c r="B56" s="80" t="s">
        <v>85</v>
      </c>
      <c r="C56" s="97">
        <v>3904147.64</v>
      </c>
      <c r="D56" s="131">
        <v>0.18168121550560754</v>
      </c>
      <c r="E56" s="97">
        <v>5748223.0299999993</v>
      </c>
      <c r="F56" s="131">
        <v>0.21444592538705462</v>
      </c>
      <c r="G56" s="97">
        <v>6038203</v>
      </c>
      <c r="H56" s="131">
        <v>0.19568975239823697</v>
      </c>
      <c r="I56" s="97">
        <v>7631912.3799999999</v>
      </c>
      <c r="J56" s="131">
        <v>0.25601853002348207</v>
      </c>
      <c r="K56" s="97">
        <v>5231302.66</v>
      </c>
      <c r="L56" s="131">
        <v>0.16740168512</v>
      </c>
      <c r="M56" s="97">
        <v>5518538.25</v>
      </c>
      <c r="N56" s="131">
        <v>0.16902107963246554</v>
      </c>
      <c r="O56" s="97">
        <v>7005486.3200000003</v>
      </c>
      <c r="P56" s="131">
        <v>0.2202290575290789</v>
      </c>
      <c r="Q56" s="97">
        <v>23613640.459999997</v>
      </c>
      <c r="R56" s="131">
        <v>0.70236884176085645</v>
      </c>
      <c r="S56" s="97">
        <v>29807470.829999998</v>
      </c>
      <c r="T56" s="131">
        <v>0.8620107819775007</v>
      </c>
      <c r="U56" s="129">
        <v>30746760.07</v>
      </c>
      <c r="V56" s="134">
        <v>0.84818648468965518</v>
      </c>
      <c r="W56" s="129">
        <v>33992917.979999997</v>
      </c>
      <c r="X56" s="134">
        <v>0.91146046333288633</v>
      </c>
      <c r="Y56" s="129">
        <v>32959947.539999999</v>
      </c>
      <c r="Z56" s="134">
        <v>0.83899573730431465</v>
      </c>
      <c r="AA56" s="129">
        <v>34500000</v>
      </c>
      <c r="AB56" s="134">
        <v>0.82597141420670839</v>
      </c>
      <c r="AC56" s="129">
        <v>35090000</v>
      </c>
      <c r="AD56" s="134">
        <v>0.80522281885354996</v>
      </c>
      <c r="AE56" s="129">
        <v>36000000</v>
      </c>
      <c r="AF56" s="134">
        <v>0.79769554619986716</v>
      </c>
    </row>
    <row r="57" spans="2:32">
      <c r="B57" s="80" t="s">
        <v>129</v>
      </c>
      <c r="C57" s="97">
        <v>40141835.139999993</v>
      </c>
      <c r="D57" s="131">
        <v>1.8680178295872305</v>
      </c>
      <c r="E57" s="97">
        <v>0</v>
      </c>
      <c r="F57" s="131">
        <v>0</v>
      </c>
      <c r="G57" s="97">
        <v>68265521.540000007</v>
      </c>
      <c r="H57" s="131">
        <v>2.2123905088151417</v>
      </c>
      <c r="I57" s="97">
        <v>26511453.920000002</v>
      </c>
      <c r="J57" s="131">
        <v>0.88934766588393155</v>
      </c>
      <c r="K57" s="97">
        <v>19371879.949999999</v>
      </c>
      <c r="L57" s="131">
        <v>0.6199001583999999</v>
      </c>
      <c r="M57" s="97">
        <v>10524223.029999999</v>
      </c>
      <c r="N57" s="131">
        <v>0.32233454915773352</v>
      </c>
      <c r="O57" s="97">
        <v>8948881.8499999996</v>
      </c>
      <c r="P57" s="131">
        <v>0.28132291260609871</v>
      </c>
      <c r="Q57" s="97">
        <v>8075119.8499999996</v>
      </c>
      <c r="R57" s="131">
        <v>0.24018797888161808</v>
      </c>
      <c r="S57" s="97">
        <v>66246313.219999999</v>
      </c>
      <c r="T57" s="131">
        <v>1.9157960964747391</v>
      </c>
      <c r="U57" s="129">
        <v>28485480.849999994</v>
      </c>
      <c r="V57" s="134">
        <v>0.78580636827586192</v>
      </c>
      <c r="W57" s="129">
        <v>36042253.979999997</v>
      </c>
      <c r="X57" s="134">
        <v>0.96640981311167717</v>
      </c>
      <c r="Y57" s="129">
        <v>36106923.310000002</v>
      </c>
      <c r="Z57" s="134">
        <v>0.91910203156421044</v>
      </c>
      <c r="AA57" s="129">
        <v>40400000</v>
      </c>
      <c r="AB57" s="134">
        <v>0.96722449663626131</v>
      </c>
      <c r="AC57" s="129">
        <v>37000000</v>
      </c>
      <c r="AD57" s="134">
        <v>0.8490522740832529</v>
      </c>
      <c r="AE57" s="129">
        <v>39100000</v>
      </c>
      <c r="AF57" s="134">
        <v>0.86638599601152233</v>
      </c>
    </row>
    <row r="58" spans="2:32">
      <c r="B58" s="80" t="s">
        <v>86</v>
      </c>
      <c r="C58" s="97">
        <v>259768574.91000003</v>
      </c>
      <c r="D58" s="131">
        <v>12.088444083484575</v>
      </c>
      <c r="E58" s="97">
        <v>298508977.88999999</v>
      </c>
      <c r="F58" s="131">
        <v>11.136317026301063</v>
      </c>
      <c r="G58" s="97">
        <v>346538078.38999999</v>
      </c>
      <c r="H58" s="131">
        <v>11.230816644736842</v>
      </c>
      <c r="I58" s="97">
        <v>412466515</v>
      </c>
      <c r="J58" s="131">
        <v>13.836515095605501</v>
      </c>
      <c r="K58" s="97">
        <v>423148492.50000012</v>
      </c>
      <c r="L58" s="131">
        <v>13.540751760000003</v>
      </c>
      <c r="M58" s="97">
        <v>454762150.30000001</v>
      </c>
      <c r="N58" s="131">
        <v>13.928396640122513</v>
      </c>
      <c r="O58" s="97">
        <v>481633606.48000002</v>
      </c>
      <c r="P58" s="131">
        <v>15.140949590694749</v>
      </c>
      <c r="Q58" s="97">
        <v>482967769.27999985</v>
      </c>
      <c r="R58" s="131">
        <v>14.36548986555621</v>
      </c>
      <c r="S58" s="97">
        <v>492148010.12000006</v>
      </c>
      <c r="T58" s="131">
        <v>14.232569192862721</v>
      </c>
      <c r="U58" s="120">
        <v>487041860.10000014</v>
      </c>
      <c r="V58" s="134">
        <v>13.435637520000004</v>
      </c>
      <c r="W58" s="120">
        <v>575382853.77999985</v>
      </c>
      <c r="X58" s="134">
        <v>15.427881854940336</v>
      </c>
      <c r="Y58" s="120">
        <v>570918105</v>
      </c>
      <c r="Z58" s="134">
        <v>14.532725085910652</v>
      </c>
      <c r="AA58" s="120">
        <v>577787105</v>
      </c>
      <c r="AB58" s="134">
        <v>13.83291687615217</v>
      </c>
      <c r="AC58" s="120">
        <v>587475000</v>
      </c>
      <c r="AD58" s="134">
        <v>13.480999586947542</v>
      </c>
      <c r="AE58" s="120">
        <v>595975000</v>
      </c>
      <c r="AF58" s="134">
        <v>13.205738976290714</v>
      </c>
    </row>
    <row r="59" spans="2:32">
      <c r="B59" s="81" t="s">
        <v>88</v>
      </c>
      <c r="C59" s="99">
        <v>34076058.170000002</v>
      </c>
      <c r="D59" s="131">
        <v>1.5857442491507283</v>
      </c>
      <c r="E59" s="99">
        <v>39187983.710000001</v>
      </c>
      <c r="F59" s="131">
        <v>1.4619654433874278</v>
      </c>
      <c r="G59" s="99">
        <v>42104253.460000001</v>
      </c>
      <c r="H59" s="131">
        <v>1.3645402339901478</v>
      </c>
      <c r="I59" s="99">
        <v>46907484</v>
      </c>
      <c r="J59" s="131">
        <v>1.573548607849715</v>
      </c>
      <c r="K59" s="99">
        <v>51591720.359999999</v>
      </c>
      <c r="L59" s="131">
        <v>1.6509350515199999</v>
      </c>
      <c r="M59" s="99">
        <v>59330834.700000003</v>
      </c>
      <c r="N59" s="131">
        <v>1.8171771730474733</v>
      </c>
      <c r="O59" s="99">
        <v>65188636.469999999</v>
      </c>
      <c r="P59" s="131">
        <v>2.0493126837472491</v>
      </c>
      <c r="Q59" s="99">
        <v>64036543.990000002</v>
      </c>
      <c r="R59" s="131">
        <v>1.9047157641284951</v>
      </c>
      <c r="S59" s="99">
        <v>61864914.020000003</v>
      </c>
      <c r="T59" s="131">
        <v>1.7890891587379623</v>
      </c>
      <c r="U59" s="121">
        <v>60836104.649999991</v>
      </c>
      <c r="V59" s="134">
        <v>1.6782373696551722</v>
      </c>
      <c r="W59" s="121">
        <v>86455625</v>
      </c>
      <c r="X59" s="134">
        <v>2.3181559190239978</v>
      </c>
      <c r="Y59" s="121">
        <v>114715625</v>
      </c>
      <c r="Z59" s="134">
        <v>2.9200871834033344</v>
      </c>
      <c r="AA59" s="121">
        <v>116715625</v>
      </c>
      <c r="AB59" s="134">
        <v>2.7943121693121693</v>
      </c>
      <c r="AC59" s="121">
        <v>117600000</v>
      </c>
      <c r="AD59" s="134">
        <v>2.6986093900592043</v>
      </c>
      <c r="AE59" s="121">
        <v>118800000</v>
      </c>
      <c r="AF59" s="134">
        <v>2.6323953024595612</v>
      </c>
    </row>
    <row r="60" spans="2:32">
      <c r="B60" s="81" t="s">
        <v>90</v>
      </c>
      <c r="C60" s="99">
        <v>9796008.3399999999</v>
      </c>
      <c r="D60" s="131">
        <v>0.45586152636232491</v>
      </c>
      <c r="E60" s="99">
        <v>11417546.32</v>
      </c>
      <c r="F60" s="131">
        <v>0.42594837977989186</v>
      </c>
      <c r="G60" s="99">
        <v>30206318.57</v>
      </c>
      <c r="H60" s="131">
        <v>0.97894472938812538</v>
      </c>
      <c r="I60" s="99">
        <v>19907692</v>
      </c>
      <c r="J60" s="131">
        <v>0.66781925528346198</v>
      </c>
      <c r="K60" s="99">
        <v>20073795.120000001</v>
      </c>
      <c r="L60" s="131">
        <v>0.64236144384000005</v>
      </c>
      <c r="M60" s="99">
        <v>17323007.039999999</v>
      </c>
      <c r="N60" s="131">
        <v>0.5305668312404288</v>
      </c>
      <c r="O60" s="99">
        <v>16130418.140000001</v>
      </c>
      <c r="P60" s="131">
        <v>0.50708639232945618</v>
      </c>
      <c r="Q60" s="99">
        <v>13086355.520000001</v>
      </c>
      <c r="R60" s="131">
        <v>0.38924317430101135</v>
      </c>
      <c r="S60" s="99">
        <v>22587777.399999999</v>
      </c>
      <c r="T60" s="131">
        <v>0.65322240087914629</v>
      </c>
      <c r="U60" s="121">
        <v>16655316.650000002</v>
      </c>
      <c r="V60" s="134">
        <v>0.45945701103448278</v>
      </c>
      <c r="W60" s="121">
        <v>25718132</v>
      </c>
      <c r="X60" s="134">
        <v>0.68958659337712824</v>
      </c>
      <c r="Y60" s="121">
        <v>20596480</v>
      </c>
      <c r="Z60" s="134">
        <v>0.52428356879215987</v>
      </c>
      <c r="AA60" s="121">
        <v>15396480</v>
      </c>
      <c r="AB60" s="134">
        <v>0.36861021331609567</v>
      </c>
      <c r="AC60" s="121">
        <v>15000000</v>
      </c>
      <c r="AD60" s="134">
        <v>0.34421038138510257</v>
      </c>
      <c r="AE60" s="121">
        <v>13000000</v>
      </c>
      <c r="AF60" s="134">
        <v>0.28805672501661866</v>
      </c>
    </row>
    <row r="61" spans="2:32">
      <c r="B61" s="81" t="s">
        <v>92</v>
      </c>
      <c r="C61" s="99">
        <v>199416686.40000001</v>
      </c>
      <c r="D61" s="131">
        <v>9.2799425938852451</v>
      </c>
      <c r="E61" s="99">
        <v>228365332.86000001</v>
      </c>
      <c r="F61" s="131">
        <v>8.5195050498041418</v>
      </c>
      <c r="G61" s="99">
        <v>250935783.35999998</v>
      </c>
      <c r="H61" s="131">
        <v>8.1324793673839775</v>
      </c>
      <c r="I61" s="99">
        <v>323500545</v>
      </c>
      <c r="J61" s="131">
        <v>10.852081348540759</v>
      </c>
      <c r="K61" s="99">
        <v>330972340.54000008</v>
      </c>
      <c r="L61" s="131">
        <v>10.591114897280002</v>
      </c>
      <c r="M61" s="99">
        <v>356875323.42000002</v>
      </c>
      <c r="N61" s="131">
        <v>10.930331498315468</v>
      </c>
      <c r="O61" s="99">
        <v>378962096.58999997</v>
      </c>
      <c r="P61" s="131">
        <v>11.913300741590692</v>
      </c>
      <c r="Q61" s="99">
        <v>383190248.31999987</v>
      </c>
      <c r="R61" s="131">
        <v>11.397687338488991</v>
      </c>
      <c r="S61" s="99">
        <v>384390842.85000002</v>
      </c>
      <c r="T61" s="131">
        <v>11.116308824720207</v>
      </c>
      <c r="U61" s="121">
        <v>387038896.73000014</v>
      </c>
      <c r="V61" s="134">
        <v>10.676935082206901</v>
      </c>
      <c r="W61" s="121">
        <v>438109035.36999995</v>
      </c>
      <c r="X61" s="134">
        <v>11.747125227778522</v>
      </c>
      <c r="Y61" s="121">
        <v>411150000</v>
      </c>
      <c r="Z61" s="134">
        <v>10.465826651393662</v>
      </c>
      <c r="AA61" s="121">
        <v>419150000</v>
      </c>
      <c r="AB61" s="134">
        <v>10.034954152601211</v>
      </c>
      <c r="AC61" s="121">
        <v>427150000</v>
      </c>
      <c r="AD61" s="134">
        <v>9.8019642939097711</v>
      </c>
      <c r="AE61" s="121">
        <v>435150000</v>
      </c>
      <c r="AF61" s="134">
        <v>9.6421449146908937</v>
      </c>
    </row>
    <row r="62" spans="2:32">
      <c r="B62" s="81" t="s">
        <v>94</v>
      </c>
      <c r="C62" s="99">
        <v>10828245</v>
      </c>
      <c r="D62" s="131">
        <v>0.50389711014937877</v>
      </c>
      <c r="E62" s="99">
        <v>12762198</v>
      </c>
      <c r="F62" s="131">
        <v>0.47611259093452718</v>
      </c>
      <c r="G62" s="99">
        <v>15724080</v>
      </c>
      <c r="H62" s="131">
        <v>0.50959554057557688</v>
      </c>
      <c r="I62" s="99">
        <v>14442818</v>
      </c>
      <c r="J62" s="131">
        <v>0.48449573968466958</v>
      </c>
      <c r="K62" s="99">
        <v>12638749.91</v>
      </c>
      <c r="L62" s="131">
        <v>0.40443999712000006</v>
      </c>
      <c r="M62" s="99">
        <v>12978814.83</v>
      </c>
      <c r="N62" s="131">
        <v>0.39751347105666157</v>
      </c>
      <c r="O62" s="99">
        <v>13497405.869999999</v>
      </c>
      <c r="P62" s="131">
        <v>0.42431329361835901</v>
      </c>
      <c r="Q62" s="99">
        <v>14792096.089999998</v>
      </c>
      <c r="R62" s="131">
        <v>0.43997906276026172</v>
      </c>
      <c r="S62" s="99">
        <v>15215135.74</v>
      </c>
      <c r="T62" s="131">
        <v>0.44001086613262386</v>
      </c>
      <c r="U62" s="121">
        <v>14449999.999999998</v>
      </c>
      <c r="V62" s="134">
        <v>0.39862068965517233</v>
      </c>
      <c r="W62" s="121">
        <v>15001000</v>
      </c>
      <c r="X62" s="134">
        <v>0.40222549939670199</v>
      </c>
      <c r="Y62" s="121">
        <v>15931000</v>
      </c>
      <c r="Z62" s="134">
        <v>0.40552373679521442</v>
      </c>
      <c r="AA62" s="121">
        <v>16500000</v>
      </c>
      <c r="AB62" s="134">
        <v>0.39502980679451266</v>
      </c>
      <c r="AC62" s="121">
        <v>17200000</v>
      </c>
      <c r="AD62" s="134">
        <v>0.39469457065491764</v>
      </c>
      <c r="AE62" s="121">
        <v>18000000</v>
      </c>
      <c r="AF62" s="134">
        <v>0.39884777309993358</v>
      </c>
    </row>
    <row r="63" spans="2:32">
      <c r="B63" s="81" t="s">
        <v>96</v>
      </c>
      <c r="C63" s="99">
        <v>5651577</v>
      </c>
      <c r="D63" s="131">
        <v>0.26299860393689795</v>
      </c>
      <c r="E63" s="99">
        <v>6775917</v>
      </c>
      <c r="F63" s="131">
        <v>0.25278556239507555</v>
      </c>
      <c r="G63" s="99">
        <v>7567643</v>
      </c>
      <c r="H63" s="131">
        <v>0.24525677339901478</v>
      </c>
      <c r="I63" s="99">
        <v>7707976</v>
      </c>
      <c r="J63" s="131">
        <v>0.258570144246897</v>
      </c>
      <c r="K63" s="99">
        <v>7871886.5700000003</v>
      </c>
      <c r="L63" s="131">
        <v>0.25190037024</v>
      </c>
      <c r="M63" s="99">
        <v>8254170.3099999996</v>
      </c>
      <c r="N63" s="131">
        <v>0.25280766646248087</v>
      </c>
      <c r="O63" s="99">
        <v>7855049.4100000001</v>
      </c>
      <c r="P63" s="131">
        <v>0.24693647940899088</v>
      </c>
      <c r="Q63" s="99">
        <v>7862525.3600000013</v>
      </c>
      <c r="R63" s="131">
        <v>0.23386452587745393</v>
      </c>
      <c r="S63" s="99">
        <v>8089340.1100000003</v>
      </c>
      <c r="T63" s="131">
        <v>0.23393794239278176</v>
      </c>
      <c r="U63" s="121">
        <v>8061542.0699999994</v>
      </c>
      <c r="V63" s="134">
        <v>0.22238736744827586</v>
      </c>
      <c r="W63" s="121">
        <v>10099061.41</v>
      </c>
      <c r="X63" s="134">
        <v>0.27078861536398979</v>
      </c>
      <c r="Y63" s="121">
        <v>8525000</v>
      </c>
      <c r="Z63" s="134">
        <v>0.2170039455262823</v>
      </c>
      <c r="AA63" s="121">
        <v>10025000</v>
      </c>
      <c r="AB63" s="134">
        <v>0.24001053412818119</v>
      </c>
      <c r="AC63" s="121">
        <v>10525000</v>
      </c>
      <c r="AD63" s="134">
        <v>0.24152095093854697</v>
      </c>
      <c r="AE63" s="121">
        <v>11025000</v>
      </c>
      <c r="AF63" s="134">
        <v>0.24429426102370927</v>
      </c>
    </row>
    <row r="64" spans="2:32" ht="26.25" thickBot="1">
      <c r="B64" s="82" t="s">
        <v>99</v>
      </c>
      <c r="C64" s="97">
        <v>48400132.840000004</v>
      </c>
      <c r="D64" s="131">
        <v>2.2523213197449858</v>
      </c>
      <c r="E64" s="97">
        <v>57507793.979999997</v>
      </c>
      <c r="F64" s="131">
        <v>2.145412944599888</v>
      </c>
      <c r="G64" s="97">
        <v>213711795.17000002</v>
      </c>
      <c r="H64" s="131">
        <v>6.9261017361291159</v>
      </c>
      <c r="I64" s="97">
        <v>204672473</v>
      </c>
      <c r="J64" s="131">
        <v>6.8658997987252599</v>
      </c>
      <c r="K64" s="97">
        <v>174638922.39000002</v>
      </c>
      <c r="L64" s="131">
        <v>5.5884455164800002</v>
      </c>
      <c r="M64" s="97">
        <v>87914180.150000006</v>
      </c>
      <c r="N64" s="131">
        <v>2.6926242006125576</v>
      </c>
      <c r="O64" s="97">
        <v>31512266.289999995</v>
      </c>
      <c r="P64" s="131">
        <v>0.990640248035209</v>
      </c>
      <c r="Q64" s="97">
        <v>94307026.25</v>
      </c>
      <c r="R64" s="131">
        <v>2.8050870389649019</v>
      </c>
      <c r="S64" s="97">
        <v>99048746.079999998</v>
      </c>
      <c r="T64" s="131">
        <v>2.8644190427716243</v>
      </c>
      <c r="U64" s="120">
        <v>136226214.47000006</v>
      </c>
      <c r="V64" s="134">
        <v>3.7579645371034496</v>
      </c>
      <c r="W64" s="120">
        <v>170991948.05000001</v>
      </c>
      <c r="X64" s="134">
        <v>4.5848491232068644</v>
      </c>
      <c r="Y64" s="120">
        <v>163695308.30000001</v>
      </c>
      <c r="Z64" s="134">
        <v>4.1668654270077639</v>
      </c>
      <c r="AA64" s="120">
        <v>161137500</v>
      </c>
      <c r="AB64" s="134">
        <v>3.8578251813545932</v>
      </c>
      <c r="AC64" s="120">
        <v>163137500</v>
      </c>
      <c r="AD64" s="135">
        <v>3.7435747395474781</v>
      </c>
      <c r="AE64" s="120">
        <v>165137500</v>
      </c>
      <c r="AF64" s="135">
        <v>3.659151340571682</v>
      </c>
    </row>
    <row r="65" spans="2:32" ht="14.25" hidden="1" thickTop="1" thickBot="1">
      <c r="B65" s="81" t="s">
        <v>101</v>
      </c>
      <c r="C65" s="99">
        <v>24580394.890000001</v>
      </c>
      <c r="D65" s="131">
        <v>1.1438594113267253</v>
      </c>
      <c r="E65" s="99">
        <v>30859655.299999997</v>
      </c>
      <c r="F65" s="131">
        <v>1.1512648871479201</v>
      </c>
      <c r="G65" s="99">
        <v>186049189.96000001</v>
      </c>
      <c r="H65" s="131">
        <v>6.0295952151931553</v>
      </c>
      <c r="I65" s="99">
        <v>204672473</v>
      </c>
      <c r="J65" s="131">
        <v>6.8658997987252599</v>
      </c>
      <c r="K65" s="99">
        <v>153781612.11000001</v>
      </c>
      <c r="L65" s="131">
        <v>4.9210115875199998</v>
      </c>
      <c r="M65" s="99">
        <v>68686902.969999999</v>
      </c>
      <c r="N65" s="131">
        <v>2.1037336284839205</v>
      </c>
      <c r="O65" s="99">
        <v>13467068.969999999</v>
      </c>
      <c r="P65" s="131">
        <v>0.42335960295504549</v>
      </c>
      <c r="Q65" s="99">
        <v>67134536</v>
      </c>
      <c r="R65" s="131">
        <v>1.9968630577037478</v>
      </c>
      <c r="S65" s="99">
        <v>73998107</v>
      </c>
      <c r="T65" s="131">
        <v>2.1399724399201827</v>
      </c>
      <c r="U65" s="121">
        <v>107438517</v>
      </c>
      <c r="V65" s="134">
        <v>2.9638211586206897</v>
      </c>
      <c r="W65" s="121"/>
      <c r="X65" s="128">
        <v>0</v>
      </c>
      <c r="Y65" s="121"/>
      <c r="Z65" s="128">
        <v>0</v>
      </c>
      <c r="AA65" s="121"/>
      <c r="AB65" s="128">
        <v>0</v>
      </c>
      <c r="AC65" s="121"/>
      <c r="AD65" s="128">
        <v>0</v>
      </c>
      <c r="AE65" s="121"/>
      <c r="AF65" s="128">
        <v>0</v>
      </c>
    </row>
    <row r="66" spans="2:32" ht="14.25" hidden="1" thickTop="1" thickBot="1">
      <c r="B66" s="81" t="s">
        <v>103</v>
      </c>
      <c r="C66" s="99">
        <v>3574431.37</v>
      </c>
      <c r="D66" s="131">
        <v>0.16633772488249804</v>
      </c>
      <c r="E66" s="99">
        <v>7039265.6799999988</v>
      </c>
      <c r="F66" s="131">
        <v>0.26261017272896842</v>
      </c>
      <c r="G66" s="99">
        <v>8424788.2100000009</v>
      </c>
      <c r="H66" s="131">
        <v>0.27303565627430648</v>
      </c>
      <c r="I66" s="99">
        <v>0</v>
      </c>
      <c r="J66" s="131">
        <v>0</v>
      </c>
      <c r="K66" s="99">
        <v>4286887.0199999996</v>
      </c>
      <c r="L66" s="131">
        <v>0.13718038463999999</v>
      </c>
      <c r="M66" s="99">
        <v>4915342.76</v>
      </c>
      <c r="N66" s="131">
        <v>0.15054648575803981</v>
      </c>
      <c r="O66" s="99">
        <v>4589753.04</v>
      </c>
      <c r="P66" s="131">
        <v>0.14428648349575604</v>
      </c>
      <c r="Q66" s="99">
        <v>2381216.02</v>
      </c>
      <c r="R66" s="131">
        <v>7.0827365258774533E-2</v>
      </c>
      <c r="S66" s="99">
        <v>2339681</v>
      </c>
      <c r="T66" s="131">
        <v>6.7661904624193872E-2</v>
      </c>
      <c r="U66" s="121">
        <v>2934696</v>
      </c>
      <c r="V66" s="134">
        <v>8.0957131034482752E-2</v>
      </c>
      <c r="W66" s="121"/>
      <c r="X66" s="128">
        <v>0</v>
      </c>
      <c r="Y66" s="121"/>
      <c r="Z66" s="128">
        <v>0</v>
      </c>
      <c r="AA66" s="121"/>
      <c r="AB66" s="128">
        <v>0</v>
      </c>
      <c r="AC66" s="121"/>
      <c r="AD66" s="128">
        <v>0</v>
      </c>
      <c r="AE66" s="121"/>
      <c r="AF66" s="128">
        <v>0</v>
      </c>
    </row>
    <row r="67" spans="2:32" ht="14.25" hidden="1" thickTop="1" thickBot="1">
      <c r="B67" s="81" t="s">
        <v>105</v>
      </c>
      <c r="C67" s="99">
        <v>20245306.579999998</v>
      </c>
      <c r="D67" s="131">
        <v>0.94212418353576233</v>
      </c>
      <c r="E67" s="99">
        <v>16556151.310000001</v>
      </c>
      <c r="F67" s="131">
        <v>0.61765160641671335</v>
      </c>
      <c r="G67" s="99">
        <v>16902417.300000001</v>
      </c>
      <c r="H67" s="131">
        <v>0.54778381190044079</v>
      </c>
      <c r="I67" s="99">
        <v>0</v>
      </c>
      <c r="J67" s="131">
        <v>0</v>
      </c>
      <c r="K67" s="99">
        <v>15666835.189999999</v>
      </c>
      <c r="L67" s="131">
        <v>0.50133872607999996</v>
      </c>
      <c r="M67" s="99">
        <v>13244846.4</v>
      </c>
      <c r="N67" s="131">
        <v>0.40566145176110263</v>
      </c>
      <c r="O67" s="99">
        <v>12608423.289999999</v>
      </c>
      <c r="P67" s="131">
        <v>0.39636665482552652</v>
      </c>
      <c r="Q67" s="99">
        <v>23305629</v>
      </c>
      <c r="R67" s="131">
        <v>0.69320728732897086</v>
      </c>
      <c r="S67" s="99">
        <v>20524194</v>
      </c>
      <c r="T67" s="131">
        <v>0.59354504178836864</v>
      </c>
      <c r="U67" s="121">
        <v>25372389</v>
      </c>
      <c r="V67" s="134">
        <v>0.69992797241379312</v>
      </c>
      <c r="W67" s="121"/>
      <c r="X67" s="128">
        <v>0</v>
      </c>
      <c r="Y67" s="121"/>
      <c r="Z67" s="128">
        <v>0</v>
      </c>
      <c r="AA67" s="121"/>
      <c r="AB67" s="128">
        <v>0</v>
      </c>
      <c r="AC67" s="121"/>
      <c r="AD67" s="128">
        <v>0</v>
      </c>
      <c r="AE67" s="121"/>
      <c r="AF67" s="128">
        <v>0</v>
      </c>
    </row>
    <row r="68" spans="2:32" ht="14.25" hidden="1" thickTop="1" thickBot="1">
      <c r="B68" s="81" t="s">
        <v>107</v>
      </c>
      <c r="C68" s="99"/>
      <c r="D68" s="131">
        <v>0</v>
      </c>
      <c r="E68" s="99">
        <v>2094166.36</v>
      </c>
      <c r="F68" s="131">
        <v>7.8125960082074244E-2</v>
      </c>
      <c r="G68" s="99">
        <v>2285399.7000000002</v>
      </c>
      <c r="H68" s="131">
        <v>7.4066622374902788E-2</v>
      </c>
      <c r="I68" s="99">
        <v>0</v>
      </c>
      <c r="J68" s="131">
        <v>0</v>
      </c>
      <c r="K68" s="99">
        <v>903588.07</v>
      </c>
      <c r="L68" s="131">
        <v>2.8914818239999997E-2</v>
      </c>
      <c r="M68" s="99">
        <v>1067088.02</v>
      </c>
      <c r="N68" s="131">
        <v>3.2682634609494637E-2</v>
      </c>
      <c r="O68" s="99">
        <v>847020.99</v>
      </c>
      <c r="P68" s="131">
        <v>2.6627506758880853E-2</v>
      </c>
      <c r="Q68" s="99">
        <v>1485645.23</v>
      </c>
      <c r="R68" s="131">
        <v>4.4189328673408683E-2</v>
      </c>
      <c r="S68" s="99">
        <v>1836764</v>
      </c>
      <c r="T68" s="131">
        <v>5.3117903930131001E-2</v>
      </c>
      <c r="U68" s="121">
        <v>454930</v>
      </c>
      <c r="V68" s="134">
        <v>1.2549793103448276E-2</v>
      </c>
      <c r="W68" s="121"/>
      <c r="X68" s="128">
        <v>0</v>
      </c>
      <c r="Y68" s="121"/>
      <c r="Z68" s="128">
        <v>0</v>
      </c>
      <c r="AA68" s="121"/>
      <c r="AB68" s="128">
        <v>0</v>
      </c>
      <c r="AC68" s="121"/>
      <c r="AD68" s="128">
        <v>0</v>
      </c>
      <c r="AE68" s="121"/>
      <c r="AF68" s="128">
        <v>0</v>
      </c>
    </row>
    <row r="69" spans="2:32" ht="14.25" hidden="1" thickTop="1" thickBot="1">
      <c r="B69" s="81" t="s">
        <v>390</v>
      </c>
      <c r="C69" s="99"/>
      <c r="D69" s="131">
        <v>0</v>
      </c>
      <c r="E69" s="99"/>
      <c r="F69" s="131">
        <v>0</v>
      </c>
      <c r="G69" s="99">
        <v>0</v>
      </c>
      <c r="H69" s="131">
        <v>0</v>
      </c>
      <c r="I69" s="99">
        <v>0</v>
      </c>
      <c r="J69" s="131">
        <v>0</v>
      </c>
      <c r="K69" s="99"/>
      <c r="L69" s="131">
        <v>0</v>
      </c>
      <c r="M69" s="99">
        <v>0</v>
      </c>
      <c r="N69" s="131">
        <v>0</v>
      </c>
      <c r="O69" s="99">
        <v>0</v>
      </c>
      <c r="P69" s="131">
        <v>0</v>
      </c>
      <c r="Q69" s="99">
        <v>0</v>
      </c>
      <c r="R69" s="131">
        <v>0</v>
      </c>
      <c r="S69" s="99">
        <v>0</v>
      </c>
      <c r="T69" s="131">
        <v>0</v>
      </c>
      <c r="U69" s="121">
        <v>25682.67</v>
      </c>
      <c r="V69" s="134">
        <v>7.0848744827586201E-4</v>
      </c>
      <c r="W69" s="121"/>
      <c r="X69" s="128">
        <v>0</v>
      </c>
      <c r="Y69" s="121"/>
      <c r="Z69" s="128">
        <v>0</v>
      </c>
      <c r="AA69" s="121"/>
      <c r="AB69" s="128">
        <v>0</v>
      </c>
      <c r="AC69" s="121"/>
      <c r="AD69" s="128">
        <v>0</v>
      </c>
      <c r="AE69" s="121"/>
      <c r="AF69" s="128">
        <v>0</v>
      </c>
    </row>
    <row r="70" spans="2:32" ht="14.25" hidden="1" thickTop="1" thickBot="1">
      <c r="B70" s="81" t="s">
        <v>108</v>
      </c>
      <c r="C70" s="99">
        <v>0</v>
      </c>
      <c r="D70" s="132">
        <v>0</v>
      </c>
      <c r="E70" s="99">
        <v>958555.33</v>
      </c>
      <c r="F70" s="132">
        <v>3.5760318224211898E-2</v>
      </c>
      <c r="G70" s="99">
        <v>50000</v>
      </c>
      <c r="H70" s="132">
        <v>1.6204303863106039E-3</v>
      </c>
      <c r="I70" s="99">
        <v>0</v>
      </c>
      <c r="J70" s="132">
        <v>0</v>
      </c>
      <c r="K70" s="99">
        <v>0</v>
      </c>
      <c r="L70" s="131">
        <v>0</v>
      </c>
      <c r="M70" s="99">
        <v>0</v>
      </c>
      <c r="N70" s="132">
        <v>0</v>
      </c>
      <c r="O70" s="99">
        <v>0</v>
      </c>
      <c r="P70" s="132">
        <v>0</v>
      </c>
      <c r="Q70" s="99">
        <v>0</v>
      </c>
      <c r="R70" s="132">
        <v>0</v>
      </c>
      <c r="S70" s="99">
        <v>350000</v>
      </c>
      <c r="T70" s="132">
        <v>1.0121750195205182E-2</v>
      </c>
      <c r="U70" s="121">
        <v>0</v>
      </c>
      <c r="V70" s="135">
        <v>0</v>
      </c>
      <c r="W70" s="121"/>
      <c r="X70" s="128">
        <v>0</v>
      </c>
      <c r="Y70" s="121"/>
      <c r="Z70" s="128">
        <v>0</v>
      </c>
      <c r="AA70" s="121"/>
      <c r="AB70" s="128">
        <v>0</v>
      </c>
      <c r="AC70" s="121"/>
      <c r="AD70" s="128">
        <v>0</v>
      </c>
      <c r="AE70" s="121"/>
      <c r="AF70" s="128">
        <v>0</v>
      </c>
    </row>
    <row r="71" spans="2:32" ht="14.25" thickTop="1" thickBot="1">
      <c r="B71" s="79" t="s">
        <v>130</v>
      </c>
      <c r="C71" s="94">
        <v>0</v>
      </c>
      <c r="D71" s="95">
        <v>0</v>
      </c>
      <c r="E71" s="94">
        <v>82459238.990000024</v>
      </c>
      <c r="F71" s="96">
        <v>3.076263346017535</v>
      </c>
      <c r="G71" s="94">
        <v>73370859.459999993</v>
      </c>
      <c r="H71" s="95">
        <v>2.3778474027741763</v>
      </c>
      <c r="I71" s="94">
        <v>112364696.64</v>
      </c>
      <c r="J71" s="96">
        <v>3.7693625172760821</v>
      </c>
      <c r="K71" s="94">
        <v>63250368.810000002</v>
      </c>
      <c r="L71" s="149">
        <v>2.02401180192</v>
      </c>
      <c r="M71" s="94">
        <v>67115187.969999999</v>
      </c>
      <c r="N71" s="95">
        <v>2.0555953436447165</v>
      </c>
      <c r="O71" s="126">
        <v>58737973</v>
      </c>
      <c r="P71" s="95">
        <v>1.8465254008173533</v>
      </c>
      <c r="Q71" s="94">
        <v>77219227.430000007</v>
      </c>
      <c r="R71" s="95">
        <v>2.2968241353361099</v>
      </c>
      <c r="S71" s="94">
        <v>67725837.019999996</v>
      </c>
      <c r="T71" s="95">
        <v>1.9585828687931981</v>
      </c>
      <c r="U71" s="119">
        <v>228003108.56999999</v>
      </c>
      <c r="V71" s="128">
        <v>6.2897409260689656</v>
      </c>
      <c r="W71" s="119">
        <v>115731145.75999999</v>
      </c>
      <c r="X71" s="128">
        <v>3.1031276514278052</v>
      </c>
      <c r="Y71" s="119">
        <v>283078600</v>
      </c>
      <c r="Z71" s="128">
        <v>7.2057681048746343</v>
      </c>
      <c r="AA71" s="119">
        <v>322400000</v>
      </c>
      <c r="AB71" s="128">
        <v>7.7186430127606593</v>
      </c>
      <c r="AC71" s="119">
        <v>273900000</v>
      </c>
      <c r="AD71" s="128">
        <v>6.2852815640919726</v>
      </c>
      <c r="AE71" s="119">
        <v>100256000</v>
      </c>
      <c r="AF71" s="128">
        <v>2.2214934633281631</v>
      </c>
    </row>
    <row r="72" spans="2:32" ht="13.5" thickTop="1">
      <c r="B72" s="83" t="s">
        <v>110</v>
      </c>
      <c r="C72" s="97">
        <v>15376170.280000001</v>
      </c>
      <c r="D72" s="130">
        <v>0.71553679929266145</v>
      </c>
      <c r="E72" s="145">
        <v>7854938.71</v>
      </c>
      <c r="F72" s="146">
        <v>0.29304005633277375</v>
      </c>
      <c r="G72" s="145">
        <v>62542537.890000001</v>
      </c>
      <c r="H72" s="137">
        <v>2.026916576678766</v>
      </c>
      <c r="I72" s="145">
        <v>17652931</v>
      </c>
      <c r="J72" s="146">
        <v>0.59218151626970816</v>
      </c>
      <c r="K72" s="145">
        <v>4074638.38</v>
      </c>
      <c r="L72" s="137">
        <v>0.13038842815999999</v>
      </c>
      <c r="M72" s="145">
        <v>2091768.6</v>
      </c>
      <c r="N72" s="137">
        <v>6.4066419601837676E-2</v>
      </c>
      <c r="O72" s="145">
        <v>1775633.69</v>
      </c>
      <c r="P72" s="137">
        <v>5.5819983967305871E-2</v>
      </c>
      <c r="Q72" s="145">
        <v>2752781.98</v>
      </c>
      <c r="R72" s="137">
        <v>8.1879297441998816E-2</v>
      </c>
      <c r="S72" s="145">
        <v>2484899.77</v>
      </c>
      <c r="T72" s="137">
        <v>7.1861527805893749E-2</v>
      </c>
      <c r="U72" s="147">
        <v>2975830.1199999996</v>
      </c>
      <c r="V72" s="139">
        <v>8.2091865379310333E-2</v>
      </c>
      <c r="W72" s="147">
        <v>2550000</v>
      </c>
      <c r="X72" s="134">
        <v>6.8373776645662965E-2</v>
      </c>
      <c r="Y72" s="147">
        <v>2425000</v>
      </c>
      <c r="Z72" s="134">
        <v>6.1728395061728392E-2</v>
      </c>
      <c r="AA72" s="147">
        <v>2550000</v>
      </c>
      <c r="AB72" s="134">
        <v>6.1050061050061048E-2</v>
      </c>
      <c r="AC72" s="147">
        <v>2550000</v>
      </c>
      <c r="AD72" s="133">
        <v>5.8515764835467443E-2</v>
      </c>
      <c r="AE72" s="147">
        <v>2550000</v>
      </c>
      <c r="AF72" s="133">
        <v>5.6503434522490584E-2</v>
      </c>
    </row>
    <row r="73" spans="2:32" ht="13.5" thickBot="1">
      <c r="B73" s="84" t="s">
        <v>117</v>
      </c>
      <c r="C73" s="100">
        <v>27204434.309999999</v>
      </c>
      <c r="D73" s="138">
        <v>1.2659702317464749</v>
      </c>
      <c r="E73" s="100">
        <v>10844803.16</v>
      </c>
      <c r="F73" s="144">
        <v>0.40458135273269918</v>
      </c>
      <c r="G73" s="100">
        <v>12437562.109999999</v>
      </c>
      <c r="H73" s="138">
        <v>0.40308407149338865</v>
      </c>
      <c r="I73" s="100">
        <v>10901702</v>
      </c>
      <c r="J73" s="144">
        <v>0.36570620597115061</v>
      </c>
      <c r="K73" s="100">
        <v>12589952.310000001</v>
      </c>
      <c r="L73" s="138">
        <v>0.40287847392000004</v>
      </c>
      <c r="M73" s="100">
        <v>11789476.779999999</v>
      </c>
      <c r="N73" s="138">
        <v>0.36108657825421131</v>
      </c>
      <c r="O73" s="100">
        <v>18078018.460000001</v>
      </c>
      <c r="P73" s="138">
        <v>0.56831243193964165</v>
      </c>
      <c r="Q73" s="100">
        <v>14126844.789999999</v>
      </c>
      <c r="R73" s="138">
        <v>0.4201916951219512</v>
      </c>
      <c r="S73" s="100">
        <v>13532542.720000001</v>
      </c>
      <c r="T73" s="138">
        <v>0.39135147690794997</v>
      </c>
      <c r="U73" s="123">
        <v>16643694.030000001</v>
      </c>
      <c r="V73" s="140">
        <v>0.45913638703448278</v>
      </c>
      <c r="W73" s="123">
        <v>18669277.859999999</v>
      </c>
      <c r="X73" s="134">
        <v>0.50058393511194532</v>
      </c>
      <c r="Y73" s="123">
        <v>14298673.880000001</v>
      </c>
      <c r="Z73" s="134">
        <v>0.36397286190658013</v>
      </c>
      <c r="AA73" s="123">
        <v>16998982.02</v>
      </c>
      <c r="AB73" s="134">
        <v>0.40697603533721177</v>
      </c>
      <c r="AC73" s="123">
        <v>14500000</v>
      </c>
      <c r="AD73" s="134">
        <v>0.33273670200559913</v>
      </c>
      <c r="AE73" s="123">
        <v>16500000</v>
      </c>
      <c r="AF73" s="134">
        <v>0.36561045867493908</v>
      </c>
    </row>
    <row r="74" spans="2:32" ht="14.25" thickTop="1" thickBot="1">
      <c r="B74" s="85" t="s">
        <v>112</v>
      </c>
      <c r="C74" s="101">
        <v>1050939.44</v>
      </c>
      <c r="D74" s="141">
        <v>4.8905925822513845E-2</v>
      </c>
      <c r="E74" s="101">
        <v>0</v>
      </c>
      <c r="F74" s="142">
        <v>0</v>
      </c>
      <c r="G74" s="101">
        <v>50207</v>
      </c>
      <c r="H74" s="141">
        <v>1.6271389681099299E-3</v>
      </c>
      <c r="I74" s="101">
        <v>1769094</v>
      </c>
      <c r="J74" s="142">
        <v>5.9345655820194562E-2</v>
      </c>
      <c r="K74" s="101">
        <v>0</v>
      </c>
      <c r="L74" s="141">
        <v>0</v>
      </c>
      <c r="M74" s="101">
        <v>33915163.380000003</v>
      </c>
      <c r="N74" s="141">
        <v>1.0387492612557427</v>
      </c>
      <c r="O74" s="101">
        <v>24719832.629999999</v>
      </c>
      <c r="P74" s="141">
        <v>0.77710885350518699</v>
      </c>
      <c r="Q74" s="101">
        <v>107230592.5</v>
      </c>
      <c r="R74" s="141">
        <v>3.1894881766805474</v>
      </c>
      <c r="S74" s="101">
        <v>15258930.949999999</v>
      </c>
      <c r="T74" s="141">
        <v>0.44127739234795682</v>
      </c>
      <c r="U74" s="124">
        <v>0</v>
      </c>
      <c r="V74" s="143">
        <v>0</v>
      </c>
      <c r="W74" s="124">
        <v>0</v>
      </c>
      <c r="X74" s="417">
        <v>0</v>
      </c>
      <c r="Y74" s="124">
        <v>0</v>
      </c>
      <c r="Z74" s="417">
        <v>0</v>
      </c>
      <c r="AA74" s="124">
        <v>0</v>
      </c>
      <c r="AB74" s="417">
        <v>0</v>
      </c>
      <c r="AC74" s="124">
        <v>0</v>
      </c>
      <c r="AD74" s="417">
        <v>0</v>
      </c>
      <c r="AE74" s="124">
        <v>0</v>
      </c>
      <c r="AF74" s="417">
        <v>0</v>
      </c>
    </row>
    <row r="75" spans="2:32" ht="14.25" thickTop="1" thickBot="1">
      <c r="B75" s="85" t="s">
        <v>115</v>
      </c>
      <c r="C75" s="101">
        <v>0</v>
      </c>
      <c r="D75" s="141">
        <v>0</v>
      </c>
      <c r="E75" s="101">
        <v>0</v>
      </c>
      <c r="F75" s="142">
        <v>0</v>
      </c>
      <c r="G75" s="101">
        <v>0</v>
      </c>
      <c r="H75" s="141">
        <v>0</v>
      </c>
      <c r="I75" s="101">
        <v>29123695</v>
      </c>
      <c r="J75" s="142">
        <v>0.97697735659174767</v>
      </c>
      <c r="K75" s="101">
        <v>29801619</v>
      </c>
      <c r="L75" s="141">
        <v>0.95365180800000005</v>
      </c>
      <c r="M75" s="101">
        <v>29193709</v>
      </c>
      <c r="N75" s="141">
        <v>0.89414116385911169</v>
      </c>
      <c r="O75" s="101">
        <v>33114247</v>
      </c>
      <c r="P75" s="141">
        <v>1.0410011631562401</v>
      </c>
      <c r="Q75" s="101">
        <v>60543190.100000001</v>
      </c>
      <c r="R75" s="141">
        <v>1.800808747769185</v>
      </c>
      <c r="S75" s="101">
        <v>65221299.670000002</v>
      </c>
      <c r="T75" s="141">
        <v>1.8861534361895951</v>
      </c>
      <c r="U75" s="124">
        <v>77407937.149999946</v>
      </c>
      <c r="V75" s="143">
        <v>2.1353913696551712</v>
      </c>
      <c r="W75" s="124">
        <v>0</v>
      </c>
      <c r="X75" s="417">
        <v>0</v>
      </c>
      <c r="Y75" s="124">
        <v>0</v>
      </c>
      <c r="Z75" s="417">
        <v>0</v>
      </c>
      <c r="AA75" s="124">
        <v>0</v>
      </c>
      <c r="AB75" s="417">
        <v>0</v>
      </c>
      <c r="AC75" s="124">
        <v>0</v>
      </c>
      <c r="AD75" s="417">
        <v>0</v>
      </c>
      <c r="AE75" s="124">
        <v>0</v>
      </c>
      <c r="AF75" s="417">
        <v>0</v>
      </c>
    </row>
    <row r="76" spans="2:32" ht="14.25" thickTop="1" thickBot="1">
      <c r="B76" s="80" t="s">
        <v>151</v>
      </c>
      <c r="C76" s="97">
        <v>0</v>
      </c>
      <c r="D76" s="141">
        <v>0</v>
      </c>
      <c r="E76" s="97">
        <v>0</v>
      </c>
      <c r="F76" s="142">
        <v>0</v>
      </c>
      <c r="G76" s="97">
        <v>0</v>
      </c>
      <c r="H76" s="141">
        <v>0</v>
      </c>
      <c r="I76" s="97">
        <v>0</v>
      </c>
      <c r="J76" s="142">
        <v>0</v>
      </c>
      <c r="K76" s="97">
        <v>0</v>
      </c>
      <c r="L76" s="141">
        <v>0</v>
      </c>
      <c r="M76" s="97">
        <v>0</v>
      </c>
      <c r="N76" s="141">
        <v>0</v>
      </c>
      <c r="O76" s="100">
        <v>0</v>
      </c>
      <c r="P76" s="141">
        <v>0</v>
      </c>
      <c r="Q76" s="97">
        <v>14438105.227300003</v>
      </c>
      <c r="R76" s="141">
        <v>0.42944988778405718</v>
      </c>
      <c r="S76" s="97">
        <v>4091274.1600000113</v>
      </c>
      <c r="T76" s="141">
        <v>0.11831672865033724</v>
      </c>
      <c r="U76" s="120">
        <v>-15133946.66</v>
      </c>
      <c r="V76" s="143">
        <v>-0.41748818372413798</v>
      </c>
      <c r="W76" s="120">
        <v>0</v>
      </c>
      <c r="X76" s="417">
        <v>0</v>
      </c>
      <c r="Y76" s="120">
        <v>0</v>
      </c>
      <c r="Z76" s="417">
        <v>0</v>
      </c>
      <c r="AA76" s="120">
        <v>0</v>
      </c>
      <c r="AB76" s="417">
        <v>0</v>
      </c>
      <c r="AC76" s="120">
        <v>0</v>
      </c>
      <c r="AD76" s="417">
        <v>0</v>
      </c>
      <c r="AE76" s="120">
        <v>0</v>
      </c>
      <c r="AF76" s="417">
        <v>0</v>
      </c>
    </row>
    <row r="77" spans="2:32" ht="14.25" thickTop="1" thickBot="1">
      <c r="B77" s="79" t="s">
        <v>131</v>
      </c>
      <c r="C77" s="94">
        <v>73188874.71999979</v>
      </c>
      <c r="D77" s="95">
        <v>3.4058762492437897</v>
      </c>
      <c r="E77" s="94">
        <v>176962896.35999978</v>
      </c>
      <c r="F77" s="96">
        <v>6.6018614571908145</v>
      </c>
      <c r="G77" s="94">
        <v>15119711.529999733</v>
      </c>
      <c r="H77" s="95">
        <v>0.49000879990924728</v>
      </c>
      <c r="I77" s="94">
        <v>-132095524.85449982</v>
      </c>
      <c r="J77" s="96">
        <v>-4.4312487371519564</v>
      </c>
      <c r="K77" s="94">
        <v>-112243831.52999973</v>
      </c>
      <c r="L77" s="95">
        <v>-3.5918026089599917</v>
      </c>
      <c r="M77" s="94">
        <v>-189673593.86999989</v>
      </c>
      <c r="N77" s="95">
        <v>-5.8092984339969336</v>
      </c>
      <c r="O77" s="126">
        <v>-195556242.07000017</v>
      </c>
      <c r="P77" s="95">
        <v>-6.1476341424080534</v>
      </c>
      <c r="Q77" s="94">
        <v>-201262338.71999955</v>
      </c>
      <c r="R77" s="95">
        <v>-5.9863872314098625</v>
      </c>
      <c r="S77" s="94">
        <v>-103023527.58999991</v>
      </c>
      <c r="T77" s="95">
        <v>-2.9793668871280232</v>
      </c>
      <c r="U77" s="119">
        <v>-291250066.39999986</v>
      </c>
      <c r="V77" s="128">
        <v>-8.0344845903448228</v>
      </c>
      <c r="W77" s="119">
        <v>-129590900.15478706</v>
      </c>
      <c r="X77" s="128">
        <v>-3.4747526519583607</v>
      </c>
      <c r="Y77" s="119">
        <v>-233758320.48486972</v>
      </c>
      <c r="Z77" s="128">
        <v>-5.950319981796353</v>
      </c>
      <c r="AA77" s="119">
        <v>-229140006.31676745</v>
      </c>
      <c r="AB77" s="128">
        <v>-5.4858868135882464</v>
      </c>
      <c r="AC77" s="119">
        <v>-170122468.5351584</v>
      </c>
      <c r="AD77" s="128">
        <v>-3.9038613184441324</v>
      </c>
      <c r="AE77" s="119">
        <v>42107254.697948694</v>
      </c>
      <c r="AF77" s="128">
        <v>0.93302137597936396</v>
      </c>
    </row>
    <row r="78" spans="2:32" ht="14.25" thickTop="1" thickBot="1">
      <c r="B78" s="79" t="s">
        <v>394</v>
      </c>
      <c r="C78" s="94"/>
      <c r="D78" s="95"/>
      <c r="E78" s="94"/>
      <c r="F78" s="96"/>
      <c r="G78" s="94"/>
      <c r="H78" s="95"/>
      <c r="I78" s="94"/>
      <c r="J78" s="96"/>
      <c r="K78" s="94"/>
      <c r="L78" s="95"/>
      <c r="M78" s="94"/>
      <c r="N78" s="95"/>
      <c r="O78" s="94"/>
      <c r="P78" s="95"/>
      <c r="Q78" s="94">
        <v>-215700443.94729954</v>
      </c>
      <c r="R78" s="95">
        <v>-6.4158371191939176</v>
      </c>
      <c r="S78" s="94">
        <v>-107114801.74999993</v>
      </c>
      <c r="T78" s="95">
        <v>-3.0976836157783603</v>
      </c>
      <c r="U78" s="119">
        <v>-276116119.73999983</v>
      </c>
      <c r="V78" s="128">
        <v>-7.616996406620685</v>
      </c>
      <c r="W78" s="119">
        <v>-129590900.15478706</v>
      </c>
      <c r="X78" s="128">
        <v>-3.4747526519583607</v>
      </c>
      <c r="Y78" s="119">
        <v>-233758320.48486972</v>
      </c>
      <c r="Z78" s="128">
        <v>-5.950319981796353</v>
      </c>
      <c r="AA78" s="119">
        <v>-229140006.31676745</v>
      </c>
      <c r="AB78" s="128">
        <v>-5.4858868135882464</v>
      </c>
      <c r="AC78" s="119">
        <v>-170122468.5351584</v>
      </c>
      <c r="AD78" s="128">
        <v>-3.9038613184441324</v>
      </c>
      <c r="AE78" s="119">
        <v>42107254.697948694</v>
      </c>
      <c r="AF78" s="128">
        <v>0.93302137597936396</v>
      </c>
    </row>
    <row r="79" spans="2:32" ht="14.25" thickTop="1" thickBot="1">
      <c r="B79" s="79" t="s">
        <v>132</v>
      </c>
      <c r="C79" s="94">
        <v>49789880.659999788</v>
      </c>
      <c r="D79" s="95">
        <v>2.3169938415002926</v>
      </c>
      <c r="E79" s="94">
        <v>149863966.87999979</v>
      </c>
      <c r="F79" s="96">
        <v>5.5908959850774025</v>
      </c>
      <c r="G79" s="94">
        <v>-7412282.3100002669</v>
      </c>
      <c r="H79" s="95">
        <v>-0.24022174974073976</v>
      </c>
      <c r="I79" s="94">
        <v>-107583496.21449982</v>
      </c>
      <c r="J79" s="96">
        <v>-3.608973371838303</v>
      </c>
      <c r="K79" s="94">
        <v>-81987553.059999734</v>
      </c>
      <c r="L79" s="95">
        <v>-2.6236016979199919</v>
      </c>
      <c r="M79" s="94">
        <v>-144581243.83999988</v>
      </c>
      <c r="N79" s="95">
        <v>-4.4282157378254174</v>
      </c>
      <c r="O79" s="126">
        <v>-138696387.53000018</v>
      </c>
      <c r="P79" s="95">
        <v>-4.3601505039295878</v>
      </c>
      <c r="Q79" s="94">
        <v>-147777668.40729952</v>
      </c>
      <c r="R79" s="95">
        <v>-4.3955285070582839</v>
      </c>
      <c r="S79" s="94">
        <v>-31598406.339999929</v>
      </c>
      <c r="T79" s="95">
        <v>-0.91380335868590568</v>
      </c>
      <c r="U79" s="119">
        <v>-194313369.98999983</v>
      </c>
      <c r="V79" s="128">
        <v>-5.3603688273103405</v>
      </c>
      <c r="W79" s="119">
        <v>-52991543.954787061</v>
      </c>
      <c r="X79" s="128">
        <v>-1.4208752903817419</v>
      </c>
      <c r="Y79" s="119">
        <v>-138394694.57486972</v>
      </c>
      <c r="Z79" s="128">
        <v>-3.5228380953256901</v>
      </c>
      <c r="AA79" s="119">
        <v>-140240006.31676745</v>
      </c>
      <c r="AB79" s="128">
        <v>-3.3575140969802355</v>
      </c>
      <c r="AC79" s="119">
        <v>-73422468.535158396</v>
      </c>
      <c r="AD79" s="128">
        <v>-1.684851726448171</v>
      </c>
      <c r="AE79" s="119">
        <v>126507254.69794869</v>
      </c>
      <c r="AF79" s="128">
        <v>2.8031742676257188</v>
      </c>
    </row>
    <row r="80" spans="2:32" ht="14.25" thickTop="1" thickBot="1">
      <c r="B80" s="79" t="s">
        <v>0</v>
      </c>
      <c r="C80" s="94">
        <v>104045865.95999999</v>
      </c>
      <c r="D80" s="95">
        <v>4.841819812927544</v>
      </c>
      <c r="E80" s="94">
        <v>160963531.41999999</v>
      </c>
      <c r="F80" s="96">
        <v>6.0049815862712181</v>
      </c>
      <c r="G80" s="94">
        <v>122913293.45</v>
      </c>
      <c r="H80" s="95">
        <v>3.983448711757843</v>
      </c>
      <c r="I80" s="94">
        <v>151220956</v>
      </c>
      <c r="J80" s="96">
        <v>5.072826434082522</v>
      </c>
      <c r="K80" s="94">
        <v>186013130.84999999</v>
      </c>
      <c r="L80" s="95">
        <v>5.9524201871999995</v>
      </c>
      <c r="M80" s="94">
        <v>132767747.27</v>
      </c>
      <c r="N80" s="95">
        <v>4.0663934845329246</v>
      </c>
      <c r="O80" s="126">
        <v>135439484.43000001</v>
      </c>
      <c r="P80" s="95">
        <v>4.2577643643508338</v>
      </c>
      <c r="Q80" s="94">
        <v>158591727</v>
      </c>
      <c r="R80" s="95">
        <v>4.7171840273646639</v>
      </c>
      <c r="S80" s="94">
        <v>434061211.94</v>
      </c>
      <c r="T80" s="95">
        <v>12.552740447670551</v>
      </c>
      <c r="U80" s="119">
        <v>541741536.64999998</v>
      </c>
      <c r="V80" s="128">
        <v>14.94459411448276</v>
      </c>
      <c r="W80" s="119">
        <v>417850585.75999999</v>
      </c>
      <c r="X80" s="128">
        <v>11.203930440005362</v>
      </c>
      <c r="Y80" s="119">
        <v>220415503.14999998</v>
      </c>
      <c r="Z80" s="128">
        <v>5.6106784561537477</v>
      </c>
      <c r="AA80" s="119">
        <v>187199968.16</v>
      </c>
      <c r="AB80" s="128">
        <v>4.4817919547990135</v>
      </c>
      <c r="AC80" s="119">
        <v>549549595.66000009</v>
      </c>
      <c r="AD80" s="128">
        <v>12.61071172747717</v>
      </c>
      <c r="AE80" s="119">
        <v>743773787.92999995</v>
      </c>
      <c r="AF80" s="128">
        <v>16.48069550033237</v>
      </c>
    </row>
    <row r="81" spans="2:32" ht="13.5" thickTop="1">
      <c r="B81" s="81" t="s">
        <v>134</v>
      </c>
      <c r="C81" s="99">
        <v>34109764.159999996</v>
      </c>
      <c r="D81" s="130">
        <v>1.5873127721159661</v>
      </c>
      <c r="E81" s="99">
        <v>23247139.440000001</v>
      </c>
      <c r="F81" s="130">
        <v>0.86726877224398446</v>
      </c>
      <c r="G81" s="99">
        <v>48375025.880000003</v>
      </c>
      <c r="H81" s="130">
        <v>1.5677672374902776</v>
      </c>
      <c r="I81" s="99">
        <v>68898727</v>
      </c>
      <c r="J81" s="130">
        <v>2.311262227440456</v>
      </c>
      <c r="K81" s="99">
        <v>56807566.530000001</v>
      </c>
      <c r="L81" s="130">
        <v>1.81784212896</v>
      </c>
      <c r="M81" s="99">
        <v>31950887.579999998</v>
      </c>
      <c r="N81" s="130">
        <v>0.97858767473200603</v>
      </c>
      <c r="O81" s="99">
        <v>77940832.650000006</v>
      </c>
      <c r="P81" s="130">
        <v>2.450199077334172</v>
      </c>
      <c r="Q81" s="99">
        <v>92187296</v>
      </c>
      <c r="R81" s="130">
        <v>2.7420373587150508</v>
      </c>
      <c r="S81" s="99">
        <v>239006096.46000001</v>
      </c>
      <c r="T81" s="130">
        <v>6.9118857242835245</v>
      </c>
      <c r="U81" s="121">
        <v>221708220.00999999</v>
      </c>
      <c r="V81" s="133">
        <v>6.1160888278620682</v>
      </c>
      <c r="W81" s="121">
        <v>44675182.640000001</v>
      </c>
      <c r="X81" s="134">
        <v>1.1978866507574741</v>
      </c>
      <c r="Y81" s="121">
        <v>51911842.149999999</v>
      </c>
      <c r="Z81" s="134">
        <v>1.3214163713885707</v>
      </c>
      <c r="AA81" s="121">
        <v>107000000</v>
      </c>
      <c r="AB81" s="134">
        <v>2.5617084440613853</v>
      </c>
      <c r="AC81" s="121">
        <v>139000000</v>
      </c>
      <c r="AD81" s="133">
        <v>3.1896828675019506</v>
      </c>
      <c r="AE81" s="121">
        <v>114000000</v>
      </c>
      <c r="AF81" s="133">
        <v>2.5260358962995793</v>
      </c>
    </row>
    <row r="82" spans="2:32">
      <c r="B82" s="81" t="s">
        <v>136</v>
      </c>
      <c r="C82" s="99">
        <v>14260035.939999999</v>
      </c>
      <c r="D82" s="131">
        <v>0.66359700032574798</v>
      </c>
      <c r="E82" s="99">
        <v>84151518.439999998</v>
      </c>
      <c r="F82" s="131">
        <v>3.1393963230740534</v>
      </c>
      <c r="G82" s="99">
        <v>16762329.57</v>
      </c>
      <c r="H82" s="131">
        <v>0.5432437636116153</v>
      </c>
      <c r="I82" s="99">
        <v>25402766</v>
      </c>
      <c r="J82" s="131">
        <v>0.85215585374035563</v>
      </c>
      <c r="K82" s="99">
        <v>45342776.32</v>
      </c>
      <c r="L82" s="131">
        <v>1.45096884224</v>
      </c>
      <c r="M82" s="99">
        <v>59510365.689999998</v>
      </c>
      <c r="N82" s="131">
        <v>1.8226758251148545</v>
      </c>
      <c r="O82" s="99">
        <v>54874811.390000001</v>
      </c>
      <c r="P82" s="131">
        <v>1.7250805215341085</v>
      </c>
      <c r="Q82" s="99">
        <v>66404431</v>
      </c>
      <c r="R82" s="131">
        <v>1.9751466686496133</v>
      </c>
      <c r="S82" s="99">
        <v>195055115.47999999</v>
      </c>
      <c r="T82" s="131">
        <v>5.6408547233870268</v>
      </c>
      <c r="U82" s="121">
        <v>320033316.63999999</v>
      </c>
      <c r="V82" s="134">
        <v>8.8285052866206879</v>
      </c>
      <c r="W82" s="121">
        <v>309173445.5</v>
      </c>
      <c r="X82" s="134">
        <v>8.2899435715243328</v>
      </c>
      <c r="Y82" s="121">
        <v>134787162.19999999</v>
      </c>
      <c r="Z82" s="134">
        <v>3.4310083288787068</v>
      </c>
      <c r="AA82" s="121">
        <v>65199968.159999996</v>
      </c>
      <c r="AB82" s="134">
        <v>1.5609655045607986</v>
      </c>
      <c r="AC82" s="121">
        <v>395549595.66000003</v>
      </c>
      <c r="AD82" s="134">
        <v>9.0768184785901145</v>
      </c>
      <c r="AE82" s="121">
        <v>614773787.92999995</v>
      </c>
      <c r="AF82" s="134">
        <v>13.622286459782847</v>
      </c>
    </row>
    <row r="83" spans="2:32" ht="13.5" thickBot="1">
      <c r="B83" s="81" t="s">
        <v>115</v>
      </c>
      <c r="C83" s="99">
        <v>55676065.859999999</v>
      </c>
      <c r="D83" s="132">
        <v>2.5909100404858298</v>
      </c>
      <c r="E83" s="148">
        <v>53564873.539999999</v>
      </c>
      <c r="F83" s="132">
        <v>1.9983164909531801</v>
      </c>
      <c r="G83" s="99">
        <v>57775938</v>
      </c>
      <c r="H83" s="132">
        <v>1.8724377106559502</v>
      </c>
      <c r="I83" s="99">
        <v>56919463</v>
      </c>
      <c r="J83" s="132">
        <v>1.909408352901711</v>
      </c>
      <c r="K83" s="99">
        <v>83862788</v>
      </c>
      <c r="L83" s="132">
        <v>2.6836092160000002</v>
      </c>
      <c r="M83" s="99">
        <v>41306494</v>
      </c>
      <c r="N83" s="132">
        <v>1.2651299846860644</v>
      </c>
      <c r="O83" s="127">
        <v>2623840.39</v>
      </c>
      <c r="P83" s="132">
        <v>8.2484765482552652E-2</v>
      </c>
      <c r="Q83" s="99">
        <v>0</v>
      </c>
      <c r="R83" s="132">
        <v>0</v>
      </c>
      <c r="S83" s="99">
        <v>0</v>
      </c>
      <c r="T83" s="132">
        <v>0</v>
      </c>
      <c r="U83" s="121">
        <v>0</v>
      </c>
      <c r="V83" s="135">
        <v>0</v>
      </c>
      <c r="W83" s="121">
        <v>64001957.620000005</v>
      </c>
      <c r="X83" s="134">
        <v>1.7161002177235554</v>
      </c>
      <c r="Y83" s="121">
        <v>33716498.799999997</v>
      </c>
      <c r="Z83" s="134">
        <v>0.85825375588647057</v>
      </c>
      <c r="AA83" s="121">
        <v>15000000</v>
      </c>
      <c r="AB83" s="134">
        <v>0.35911800617682971</v>
      </c>
      <c r="AC83" s="121">
        <v>15000000</v>
      </c>
      <c r="AD83" s="135">
        <v>0.34421038138510257</v>
      </c>
      <c r="AE83" s="121">
        <v>15000000</v>
      </c>
      <c r="AF83" s="135">
        <v>0.33237314424994457</v>
      </c>
    </row>
    <row r="84" spans="2:32" ht="14.25" thickTop="1" thickBot="1">
      <c r="B84" s="79" t="s">
        <v>140</v>
      </c>
      <c r="C84" s="94">
        <v>-30856991.240000203</v>
      </c>
      <c r="D84" s="95">
        <v>-1.4359435636837548</v>
      </c>
      <c r="E84" s="94">
        <v>15999364.939999789</v>
      </c>
      <c r="F84" s="96">
        <v>0.59687987091959671</v>
      </c>
      <c r="G84" s="94">
        <v>-107793581.92000027</v>
      </c>
      <c r="H84" s="95">
        <v>-3.4934399118485957</v>
      </c>
      <c r="I84" s="94">
        <v>-283316480.85449982</v>
      </c>
      <c r="J84" s="96">
        <v>-9.5040751712344793</v>
      </c>
      <c r="K84" s="94">
        <v>-298256962.37999976</v>
      </c>
      <c r="L84" s="95">
        <v>-9.5442227961599908</v>
      </c>
      <c r="M84" s="94">
        <v>-322441341.13999987</v>
      </c>
      <c r="N84" s="95">
        <v>-9.8756919185298582</v>
      </c>
      <c r="O84" s="94">
        <v>-330995726.50000018</v>
      </c>
      <c r="P84" s="95">
        <v>-10.405398506758887</v>
      </c>
      <c r="Q84" s="94">
        <v>-374292170.94729954</v>
      </c>
      <c r="R84" s="95">
        <v>-11.133021146558582</v>
      </c>
      <c r="S84" s="94">
        <v>-546532229.68999994</v>
      </c>
      <c r="T84" s="95">
        <v>-15.805322007287659</v>
      </c>
      <c r="U84" s="94">
        <v>-825498088.79999983</v>
      </c>
      <c r="V84" s="128">
        <v>-22.772361070344825</v>
      </c>
      <c r="W84" s="119">
        <v>-547441485.91478705</v>
      </c>
      <c r="X84" s="128">
        <v>-14.678683091963723</v>
      </c>
      <c r="Y84" s="119">
        <v>-454173823.63486969</v>
      </c>
      <c r="Z84" s="128">
        <v>-11.560998437950101</v>
      </c>
      <c r="AA84" s="119">
        <v>-416339974.47676742</v>
      </c>
      <c r="AB84" s="128">
        <v>-9.967678768387259</v>
      </c>
      <c r="AC84" s="119">
        <v>-719672064.19515848</v>
      </c>
      <c r="AD84" s="128">
        <v>-16.514573045921303</v>
      </c>
      <c r="AE84" s="94">
        <v>-701666533.23205125</v>
      </c>
      <c r="AF84" s="128">
        <v>-15.547674124353009</v>
      </c>
    </row>
    <row r="85" spans="2:32" ht="14.25" thickTop="1" thickBot="1">
      <c r="B85" s="79" t="s">
        <v>120</v>
      </c>
      <c r="C85" s="94">
        <v>30856991.240000326</v>
      </c>
      <c r="D85" s="95">
        <v>1.4359435636837603</v>
      </c>
      <c r="E85" s="94">
        <v>-15999364.939999724</v>
      </c>
      <c r="F85" s="96">
        <v>-0.59687987091959427</v>
      </c>
      <c r="G85" s="94">
        <v>107793582.06999999</v>
      </c>
      <c r="H85" s="95">
        <v>3.4934399167098777</v>
      </c>
      <c r="I85" s="94">
        <v>283312975.93000001</v>
      </c>
      <c r="J85" s="96">
        <v>9.5039575957732314</v>
      </c>
      <c r="K85" s="94">
        <v>298262884.93000001</v>
      </c>
      <c r="L85" s="95">
        <v>9.5444123177599991</v>
      </c>
      <c r="M85" s="94">
        <v>322441341.89999998</v>
      </c>
      <c r="N85" s="95">
        <v>9.8756919418070446</v>
      </c>
      <c r="O85" s="94">
        <v>330995842.13</v>
      </c>
      <c r="P85" s="95">
        <v>10.405402141779314</v>
      </c>
      <c r="Q85" s="94">
        <v>374292826.82730001</v>
      </c>
      <c r="R85" s="95">
        <v>11.133040655184415</v>
      </c>
      <c r="S85" s="94">
        <v>546532229.36000001</v>
      </c>
      <c r="T85" s="95">
        <v>15.805321997744295</v>
      </c>
      <c r="U85" s="94">
        <v>825499520.90999997</v>
      </c>
      <c r="V85" s="128">
        <v>22.772400576827586</v>
      </c>
      <c r="W85" s="119">
        <v>547441485.91478705</v>
      </c>
      <c r="X85" s="128">
        <v>14.678683091963723</v>
      </c>
      <c r="Y85" s="119">
        <v>454173823.63486993</v>
      </c>
      <c r="Z85" s="128">
        <v>11.560998437950106</v>
      </c>
      <c r="AA85" s="119">
        <v>416339975.47676742</v>
      </c>
      <c r="AB85" s="128">
        <v>9.9676787923284582</v>
      </c>
      <c r="AC85" s="119">
        <v>719672065.19515848</v>
      </c>
      <c r="AD85" s="128">
        <v>16.51457306886866</v>
      </c>
      <c r="AE85" s="94">
        <v>704067015.46292317</v>
      </c>
      <c r="AF85" s="128">
        <v>15.600864512805742</v>
      </c>
    </row>
    <row r="86" spans="2:32" ht="13.5" thickTop="1">
      <c r="B86" s="81" t="s">
        <v>143</v>
      </c>
      <c r="C86" s="99">
        <v>10687379.58</v>
      </c>
      <c r="D86" s="130">
        <v>0.49734187630880911</v>
      </c>
      <c r="E86" s="99">
        <v>8315797</v>
      </c>
      <c r="F86" s="130">
        <v>0.31023305353478825</v>
      </c>
      <c r="G86" s="99">
        <v>7657882.2599999998</v>
      </c>
      <c r="H86" s="130">
        <v>0.24818130217785844</v>
      </c>
      <c r="I86" s="99">
        <v>108130461</v>
      </c>
      <c r="J86" s="130">
        <v>3.627321737671922</v>
      </c>
      <c r="K86" s="99">
        <v>20068251.93</v>
      </c>
      <c r="L86" s="130">
        <v>0.64218406175999998</v>
      </c>
      <c r="M86" s="99">
        <v>47000000</v>
      </c>
      <c r="N86" s="130">
        <v>1.439509954058193</v>
      </c>
      <c r="O86" s="99">
        <v>63454375.850000001</v>
      </c>
      <c r="P86" s="130">
        <v>1.9947933307136119</v>
      </c>
      <c r="Q86" s="99">
        <v>145350142</v>
      </c>
      <c r="R86" s="130">
        <v>4.3233236763831053</v>
      </c>
      <c r="S86" s="99">
        <v>244935100</v>
      </c>
      <c r="T86" s="130">
        <v>7.0833482749645738</v>
      </c>
      <c r="U86" s="121">
        <v>175248203.14000002</v>
      </c>
      <c r="V86" s="133">
        <v>4.8344331900689657</v>
      </c>
      <c r="W86" s="121">
        <v>100000000</v>
      </c>
      <c r="X86" s="134">
        <v>2.6813245743397238</v>
      </c>
      <c r="Y86" s="121">
        <v>100000000</v>
      </c>
      <c r="Z86" s="134">
        <v>2.5455008272877691</v>
      </c>
      <c r="AA86" s="121">
        <v>50000000</v>
      </c>
      <c r="AB86" s="134">
        <v>1.1970600205894324</v>
      </c>
      <c r="AC86" s="121">
        <v>100000000</v>
      </c>
      <c r="AD86" s="418">
        <v>2.2947358759006837</v>
      </c>
      <c r="AE86" s="121">
        <v>100000000</v>
      </c>
      <c r="AF86" s="418">
        <v>2.2158209616662972</v>
      </c>
    </row>
    <row r="87" spans="2:32">
      <c r="B87" s="81" t="s">
        <v>121</v>
      </c>
      <c r="C87" s="99">
        <v>13153290.85</v>
      </c>
      <c r="D87" s="131">
        <v>0.61209413420819947</v>
      </c>
      <c r="E87" s="99">
        <v>1996377.48</v>
      </c>
      <c r="F87" s="131">
        <v>7.4477801902630106E-2</v>
      </c>
      <c r="G87" s="99">
        <v>2981267.98</v>
      </c>
      <c r="H87" s="131">
        <v>9.6618744490536687E-2</v>
      </c>
      <c r="I87" s="99">
        <v>148637806</v>
      </c>
      <c r="J87" s="131">
        <v>4.9861726266353577</v>
      </c>
      <c r="K87" s="99">
        <v>205373059</v>
      </c>
      <c r="L87" s="131">
        <v>6.5719378879999999</v>
      </c>
      <c r="M87" s="99">
        <v>187652611.97999999</v>
      </c>
      <c r="N87" s="131">
        <v>5.7474000606431845</v>
      </c>
      <c r="O87" s="99">
        <v>258129375.97</v>
      </c>
      <c r="P87" s="131">
        <v>8.1147241738447029</v>
      </c>
      <c r="Q87" s="99">
        <v>188517208.25</v>
      </c>
      <c r="R87" s="131">
        <v>5.6072935232004761</v>
      </c>
      <c r="S87" s="99">
        <v>290814025.5</v>
      </c>
      <c r="T87" s="131">
        <v>8.4101340553515129</v>
      </c>
      <c r="U87" s="121">
        <v>657542120.07999992</v>
      </c>
      <c r="V87" s="134">
        <v>18.139092967724135</v>
      </c>
      <c r="W87" s="121">
        <v>444949485.91478682</v>
      </c>
      <c r="X87" s="134">
        <v>11.930539909231447</v>
      </c>
      <c r="Y87" s="121">
        <v>354173823.63486993</v>
      </c>
      <c r="Z87" s="134">
        <v>9.0154976106623366</v>
      </c>
      <c r="AA87" s="121">
        <v>366339974.47676742</v>
      </c>
      <c r="AB87" s="134">
        <v>8.7706187477978279</v>
      </c>
      <c r="AC87" s="121">
        <v>619672064.19515848</v>
      </c>
      <c r="AD87" s="419">
        <v>14.219837170020618</v>
      </c>
      <c r="AE87" s="121">
        <v>604067014.46292317</v>
      </c>
      <c r="AF87" s="419">
        <v>13.385043528981235</v>
      </c>
    </row>
    <row r="88" spans="2:32">
      <c r="B88" s="86" t="s">
        <v>326</v>
      </c>
      <c r="C88" s="102">
        <v>20434516.260000002</v>
      </c>
      <c r="D88" s="131">
        <v>0.95092913862906603</v>
      </c>
      <c r="E88" s="102">
        <v>27533307.520000003</v>
      </c>
      <c r="F88" s="131">
        <v>1.0271705845924268</v>
      </c>
      <c r="G88" s="102">
        <v>24817482.77</v>
      </c>
      <c r="H88" s="131">
        <v>0.80430006384495722</v>
      </c>
      <c r="I88" s="102">
        <v>107021362</v>
      </c>
      <c r="J88" s="131">
        <v>3.5901161355249913</v>
      </c>
      <c r="K88" s="102">
        <v>5128634</v>
      </c>
      <c r="L88" s="131">
        <v>0.164116288</v>
      </c>
      <c r="M88" s="102">
        <v>3351251.94</v>
      </c>
      <c r="N88" s="131">
        <v>0.10264171332312405</v>
      </c>
      <c r="O88" s="102">
        <v>3484625.4</v>
      </c>
      <c r="P88" s="131">
        <v>0.1095449669915121</v>
      </c>
      <c r="Q88" s="102">
        <v>11948846.35</v>
      </c>
      <c r="R88" s="131">
        <v>0.35540887418203448</v>
      </c>
      <c r="S88" s="102">
        <v>6691829.7000000002</v>
      </c>
      <c r="T88" s="131">
        <v>0.19352293877787097</v>
      </c>
      <c r="U88" s="125">
        <v>7843144.3499999996</v>
      </c>
      <c r="V88" s="134">
        <v>0.21636260275862068</v>
      </c>
      <c r="W88" s="121">
        <v>2500000</v>
      </c>
      <c r="X88" s="134">
        <v>6.7033114358493101E-2</v>
      </c>
      <c r="Y88" s="121">
        <v>0</v>
      </c>
      <c r="Z88" s="134">
        <v>0</v>
      </c>
      <c r="AA88" s="121">
        <v>0</v>
      </c>
      <c r="AB88" s="134">
        <v>0</v>
      </c>
      <c r="AC88" s="121">
        <v>0</v>
      </c>
      <c r="AD88" s="419">
        <v>0</v>
      </c>
      <c r="AE88" s="121">
        <v>0</v>
      </c>
      <c r="AF88" s="419">
        <v>0</v>
      </c>
    </row>
    <row r="89" spans="2:32" ht="13.5" thickBot="1">
      <c r="B89" s="87" t="s">
        <v>124</v>
      </c>
      <c r="C89" s="100">
        <v>-13608071.219999671</v>
      </c>
      <c r="D89" s="132">
        <v>-0.63325753734467272</v>
      </c>
      <c r="E89" s="100">
        <v>-53930959.789999723</v>
      </c>
      <c r="F89" s="132">
        <v>-2.0119738776347593</v>
      </c>
      <c r="G89" s="100">
        <v>70101257</v>
      </c>
      <c r="H89" s="132">
        <v>2.2718841392273785</v>
      </c>
      <c r="I89" s="100">
        <v>-86496209</v>
      </c>
      <c r="J89" s="132">
        <v>-2.9015836632002681</v>
      </c>
      <c r="K89" s="100">
        <v>64911113</v>
      </c>
      <c r="L89" s="132">
        <v>2.0771556159999998</v>
      </c>
      <c r="M89" s="100">
        <v>80423128</v>
      </c>
      <c r="N89" s="132">
        <v>2.4631892189892803</v>
      </c>
      <c r="O89" s="100">
        <v>891026</v>
      </c>
      <c r="P89" s="132">
        <v>2.8010877082678402E-2</v>
      </c>
      <c r="Q89" s="100">
        <v>14038525</v>
      </c>
      <c r="R89" s="132">
        <v>0.41756469363474125</v>
      </c>
      <c r="S89" s="100">
        <v>-5356216</v>
      </c>
      <c r="T89" s="132">
        <v>-0.15489794383874605</v>
      </c>
      <c r="U89" s="100">
        <v>-7640432.4100000001</v>
      </c>
      <c r="V89" s="135">
        <v>-0.21077054924137931</v>
      </c>
      <c r="W89" s="123">
        <v>-7999.9999997615814</v>
      </c>
      <c r="X89" s="135">
        <v>-2.1450596594078513E-4</v>
      </c>
      <c r="Y89" s="123">
        <v>0</v>
      </c>
      <c r="Z89" s="135">
        <v>0</v>
      </c>
      <c r="AA89" s="123">
        <v>1</v>
      </c>
      <c r="AB89" s="135">
        <v>2.3941200411788647E-8</v>
      </c>
      <c r="AC89" s="123">
        <v>1</v>
      </c>
      <c r="AD89" s="135">
        <v>2.2947358759006837E-8</v>
      </c>
      <c r="AE89" s="123">
        <v>1</v>
      </c>
      <c r="AF89" s="135">
        <v>2.2158209616662974E-8</v>
      </c>
    </row>
    <row r="90" spans="2:32" ht="13.5" thickTop="1"/>
  </sheetData>
  <mergeCells count="32">
    <mergeCell ref="M4:N4"/>
    <mergeCell ref="C4:D4"/>
    <mergeCell ref="E4:F4"/>
    <mergeCell ref="G4:H4"/>
    <mergeCell ref="I4:J4"/>
    <mergeCell ref="K4:L4"/>
    <mergeCell ref="W6:X6"/>
    <mergeCell ref="AA4:AB4"/>
    <mergeCell ref="AC4:AD4"/>
    <mergeCell ref="M5:N5"/>
    <mergeCell ref="B6:B7"/>
    <mergeCell ref="C6:D6"/>
    <mergeCell ref="E6:F6"/>
    <mergeCell ref="G6:H6"/>
    <mergeCell ref="I6:J6"/>
    <mergeCell ref="K6:L6"/>
    <mergeCell ref="O4:P4"/>
    <mergeCell ref="Q4:R4"/>
    <mergeCell ref="S4:T4"/>
    <mergeCell ref="U4:V4"/>
    <mergeCell ref="W4:X4"/>
    <mergeCell ref="Y4:Z4"/>
    <mergeCell ref="M6:N6"/>
    <mergeCell ref="O6:P6"/>
    <mergeCell ref="Q6:R6"/>
    <mergeCell ref="S6:T6"/>
    <mergeCell ref="U6:V6"/>
    <mergeCell ref="Y6:Z6"/>
    <mergeCell ref="AA6:AB6"/>
    <mergeCell ref="AC6:AD6"/>
    <mergeCell ref="AE6:AF6"/>
    <mergeCell ref="AE4:AF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/>
  <dimension ref="B2:F37"/>
  <sheetViews>
    <sheetView workbookViewId="0">
      <selection activeCell="J5" sqref="J5"/>
    </sheetView>
  </sheetViews>
  <sheetFormatPr defaultRowHeight="12.75"/>
  <cols>
    <col min="2" max="2" width="49.42578125" customWidth="1"/>
    <col min="5" max="6" width="12" bestFit="1" customWidth="1"/>
  </cols>
  <sheetData>
    <row r="2" spans="2:6" ht="13.5" thickBot="1">
      <c r="C2" s="444"/>
      <c r="D2" s="444"/>
      <c r="E2" s="444"/>
      <c r="F2" s="444"/>
    </row>
    <row r="3" spans="2:6" ht="13.5" thickTop="1">
      <c r="B3" s="548" t="s">
        <v>126</v>
      </c>
      <c r="C3" s="420">
        <v>2017</v>
      </c>
      <c r="D3" s="420">
        <v>2018</v>
      </c>
      <c r="E3" s="420">
        <v>2019</v>
      </c>
      <c r="F3" s="420">
        <v>2020</v>
      </c>
    </row>
    <row r="4" spans="2:6" ht="13.5" thickBot="1">
      <c r="B4" s="549" t="s">
        <v>126</v>
      </c>
      <c r="C4" s="420" t="s">
        <v>415</v>
      </c>
      <c r="D4" s="420" t="s">
        <v>415</v>
      </c>
      <c r="E4" s="420" t="s">
        <v>415</v>
      </c>
      <c r="F4" s="420" t="s">
        <v>415</v>
      </c>
    </row>
    <row r="5" spans="2:6" ht="14.25" thickTop="1" thickBot="1">
      <c r="B5" s="79" t="s">
        <v>127</v>
      </c>
      <c r="C5" s="443">
        <f>'Cental Budget'!Z15-Central_sanacioni!Y8</f>
        <v>14653322.954870224</v>
      </c>
      <c r="D5" s="443" t="e">
        <f>'Cental Budget'!#REF!-Central_sanacioni!AA8</f>
        <v>#REF!</v>
      </c>
      <c r="E5" s="443" t="e">
        <f>'Cental Budget'!#REF!-Central_sanacioni!AC8</f>
        <v>#REF!</v>
      </c>
      <c r="F5" s="443" t="e">
        <f>'Cental Budget'!#REF!-Central_sanacioni!AE8</f>
        <v>#REF!</v>
      </c>
    </row>
    <row r="6" spans="2:6" ht="13.5" thickTop="1">
      <c r="B6" s="80" t="s">
        <v>2</v>
      </c>
      <c r="C6" s="443">
        <f>'Cental Budget'!Z16-Central_sanacioni!Y9</f>
        <v>26878980.012608171</v>
      </c>
      <c r="D6" s="443" t="e">
        <f>'Cental Budget'!#REF!-Central_sanacioni!AA9</f>
        <v>#REF!</v>
      </c>
      <c r="E6" s="443" t="e">
        <f>'Cental Budget'!#REF!-Central_sanacioni!AC9</f>
        <v>#REF!</v>
      </c>
      <c r="F6" s="443" t="e">
        <f>'Cental Budget'!#REF!-Central_sanacioni!AE9</f>
        <v>#REF!</v>
      </c>
    </row>
    <row r="7" spans="2:6">
      <c r="B7" s="81" t="s">
        <v>3</v>
      </c>
      <c r="C7" s="443">
        <f>'Cental Budget'!Z17-Central_sanacioni!Y10</f>
        <v>-13600951.000231698</v>
      </c>
      <c r="D7" s="443" t="e">
        <f>'Cental Budget'!#REF!-Central_sanacioni!AA10</f>
        <v>#REF!</v>
      </c>
      <c r="E7" s="443" t="e">
        <f>'Cental Budget'!#REF!-Central_sanacioni!AC10</f>
        <v>#REF!</v>
      </c>
      <c r="F7" s="443" t="e">
        <f>'Cental Budget'!#REF!-Central_sanacioni!AE10</f>
        <v>#REF!</v>
      </c>
    </row>
    <row r="8" spans="2:6">
      <c r="B8" s="81" t="s">
        <v>5</v>
      </c>
      <c r="C8" s="443">
        <f>'Cental Budget'!Z18-Central_sanacioni!Y11</f>
        <v>2305814.1539503857</v>
      </c>
      <c r="D8" s="443" t="e">
        <f>'Cental Budget'!#REF!-Central_sanacioni!AA11</f>
        <v>#REF!</v>
      </c>
      <c r="E8" s="443" t="e">
        <f>'Cental Budget'!#REF!-Central_sanacioni!AC11</f>
        <v>#REF!</v>
      </c>
      <c r="F8" s="443" t="e">
        <f>'Cental Budget'!#REF!-Central_sanacioni!AE11</f>
        <v>#REF!</v>
      </c>
    </row>
    <row r="9" spans="2:6">
      <c r="B9" s="81" t="s">
        <v>7</v>
      </c>
      <c r="C9" s="443">
        <f>'Cental Budget'!Z19-Central_sanacioni!Y12</f>
        <v>-934729.69904225343</v>
      </c>
      <c r="D9" s="443" t="e">
        <f>'Cental Budget'!#REF!-Central_sanacioni!AA12</f>
        <v>#REF!</v>
      </c>
      <c r="E9" s="443" t="e">
        <f>'Cental Budget'!#REF!-Central_sanacioni!AC12</f>
        <v>#REF!</v>
      </c>
      <c r="F9" s="443" t="e">
        <f>'Cental Budget'!#REF!-Central_sanacioni!AE12</f>
        <v>#REF!</v>
      </c>
    </row>
    <row r="10" spans="2:6">
      <c r="B10" s="81" t="s">
        <v>9</v>
      </c>
      <c r="C10" s="443">
        <f>'Cental Budget'!Z20-Central_sanacioni!Y13</f>
        <v>23965079.078949094</v>
      </c>
      <c r="D10" s="443" t="e">
        <f>'Cental Budget'!#REF!-Central_sanacioni!AA13</f>
        <v>#REF!</v>
      </c>
      <c r="E10" s="443" t="e">
        <f>'Cental Budget'!#REF!-Central_sanacioni!AC13</f>
        <v>#REF!</v>
      </c>
      <c r="F10" s="443" t="e">
        <f>'Cental Budget'!#REF!-Central_sanacioni!AE13</f>
        <v>#REF!</v>
      </c>
    </row>
    <row r="11" spans="2:6">
      <c r="B11" s="81" t="s">
        <v>12</v>
      </c>
      <c r="C11" s="443">
        <f>'Cental Budget'!Z21-Central_sanacioni!Y14</f>
        <v>14603613.520369589</v>
      </c>
      <c r="D11" s="443" t="e">
        <f>'Cental Budget'!#REF!-Central_sanacioni!AA14</f>
        <v>#REF!</v>
      </c>
      <c r="E11" s="443" t="e">
        <f>'Cental Budget'!#REF!-Central_sanacioni!AC14</f>
        <v>#REF!</v>
      </c>
      <c r="F11" s="443" t="e">
        <f>'Cental Budget'!#REF!-Central_sanacioni!AE14</f>
        <v>#REF!</v>
      </c>
    </row>
    <row r="12" spans="2:6">
      <c r="B12" s="81" t="s">
        <v>14</v>
      </c>
      <c r="C12" s="443">
        <f>'Cental Budget'!Z22-Central_sanacioni!Y15</f>
        <v>998057.27467419207</v>
      </c>
      <c r="D12" s="443" t="e">
        <f>'Cental Budget'!#REF!-Central_sanacioni!AA15</f>
        <v>#REF!</v>
      </c>
      <c r="E12" s="443" t="e">
        <f>'Cental Budget'!#REF!-Central_sanacioni!AC15</f>
        <v>#REF!</v>
      </c>
      <c r="F12" s="443" t="e">
        <f>'Cental Budget'!#REF!-Central_sanacioni!AE15</f>
        <v>#REF!</v>
      </c>
    </row>
    <row r="13" spans="2:6">
      <c r="B13" s="81" t="s">
        <v>404</v>
      </c>
      <c r="C13" s="443">
        <f>'Cental Budget'!Z23-Central_sanacioni!Y16</f>
        <v>-457903.31606131606</v>
      </c>
      <c r="D13" s="443" t="e">
        <f>'Cental Budget'!#REF!-Central_sanacioni!AA16</f>
        <v>#REF!</v>
      </c>
      <c r="E13" s="443" t="e">
        <f>'Cental Budget'!#REF!-Central_sanacioni!AC16</f>
        <v>#REF!</v>
      </c>
      <c r="F13" s="443" t="e">
        <f>'Cental Budget'!#REF!-Central_sanacioni!AE16</f>
        <v>#REF!</v>
      </c>
    </row>
    <row r="14" spans="2:6">
      <c r="B14" s="80" t="s">
        <v>18</v>
      </c>
      <c r="C14" s="443">
        <f>'Cental Budget'!Z24-Central_sanacioni!Y17</f>
        <v>2795840.3665233254</v>
      </c>
      <c r="D14" s="443" t="e">
        <f>'Cental Budget'!#REF!-Central_sanacioni!AA17</f>
        <v>#REF!</v>
      </c>
      <c r="E14" s="443" t="e">
        <f>'Cental Budget'!#REF!-Central_sanacioni!AC17</f>
        <v>#REF!</v>
      </c>
      <c r="F14" s="443" t="e">
        <f>'Cental Budget'!#REF!-Central_sanacioni!AE17</f>
        <v>#REF!</v>
      </c>
    </row>
    <row r="15" spans="2:6">
      <c r="B15" s="81" t="s">
        <v>20</v>
      </c>
      <c r="C15" s="443">
        <f>'Cental Budget'!Z25-Central_sanacioni!Y18</f>
        <v>9429249.5086308718</v>
      </c>
      <c r="D15" s="443" t="e">
        <f>'Cental Budget'!#REF!-Central_sanacioni!AA18</f>
        <v>#REF!</v>
      </c>
      <c r="E15" s="443" t="e">
        <f>'Cental Budget'!#REF!-Central_sanacioni!AC18</f>
        <v>#REF!</v>
      </c>
      <c r="F15" s="443" t="e">
        <f>'Cental Budget'!#REF!-Central_sanacioni!AE18</f>
        <v>#REF!</v>
      </c>
    </row>
    <row r="16" spans="2:6">
      <c r="B16" s="81" t="s">
        <v>22</v>
      </c>
      <c r="C16" s="443">
        <f>'Cental Budget'!Z26-Central_sanacioni!Y19</f>
        <v>-4972260.1282324195</v>
      </c>
      <c r="D16" s="443" t="e">
        <f>'Cental Budget'!#REF!-Central_sanacioni!AA19</f>
        <v>#REF!</v>
      </c>
      <c r="E16" s="443" t="e">
        <f>'Cental Budget'!#REF!-Central_sanacioni!AC19</f>
        <v>#REF!</v>
      </c>
      <c r="F16" s="443" t="e">
        <f>'Cental Budget'!#REF!-Central_sanacioni!AE19</f>
        <v>#REF!</v>
      </c>
    </row>
    <row r="17" spans="2:6">
      <c r="B17" s="81" t="s">
        <v>24</v>
      </c>
      <c r="C17" s="443">
        <f>'Cental Budget'!Z27-Central_sanacioni!Y20</f>
        <v>-1302555.5674651433</v>
      </c>
      <c r="D17" s="443" t="e">
        <f>'Cental Budget'!#REF!-Central_sanacioni!AA20</f>
        <v>#REF!</v>
      </c>
      <c r="E17" s="443" t="e">
        <f>'Cental Budget'!#REF!-Central_sanacioni!AC20</f>
        <v>#REF!</v>
      </c>
      <c r="F17" s="443" t="e">
        <f>'Cental Budget'!#REF!-Central_sanacioni!AE20</f>
        <v>#REF!</v>
      </c>
    </row>
    <row r="18" spans="2:6">
      <c r="B18" s="81" t="s">
        <v>26</v>
      </c>
      <c r="C18" s="443">
        <f>'Cental Budget'!Z28-Central_sanacioni!Y21</f>
        <v>-358593.44641002454</v>
      </c>
      <c r="D18" s="443" t="e">
        <f>'Cental Budget'!#REF!-Central_sanacioni!AA21</f>
        <v>#REF!</v>
      </c>
      <c r="E18" s="443" t="e">
        <f>'Cental Budget'!#REF!-Central_sanacioni!AC21</f>
        <v>#REF!</v>
      </c>
      <c r="F18" s="443" t="e">
        <f>'Cental Budget'!#REF!-Central_sanacioni!AE21</f>
        <v>#REF!</v>
      </c>
    </row>
    <row r="19" spans="2:6">
      <c r="B19" s="80" t="s">
        <v>28</v>
      </c>
      <c r="C19" s="443">
        <f>'Cental Budget'!Z29-Central_sanacioni!Y22</f>
        <v>-219271.21205939725</v>
      </c>
      <c r="D19" s="443" t="e">
        <f>'Cental Budget'!#REF!-Central_sanacioni!AA22</f>
        <v>#REF!</v>
      </c>
      <c r="E19" s="443" t="e">
        <f>'Cental Budget'!#REF!-Central_sanacioni!AC22</f>
        <v>#REF!</v>
      </c>
      <c r="F19" s="443" t="e">
        <f>'Cental Budget'!#REF!-Central_sanacioni!AE22</f>
        <v>#REF!</v>
      </c>
    </row>
    <row r="20" spans="2:6">
      <c r="B20" s="81" t="s">
        <v>30</v>
      </c>
      <c r="C20" s="443">
        <f>'Cental Budget'!Z30-Central_sanacioni!Y23</f>
        <v>229835.15578619577</v>
      </c>
      <c r="D20" s="443" t="e">
        <f>'Cental Budget'!#REF!-Central_sanacioni!AA23</f>
        <v>#REF!</v>
      </c>
      <c r="E20" s="443" t="e">
        <f>'Cental Budget'!#REF!-Central_sanacioni!AC23</f>
        <v>#REF!</v>
      </c>
      <c r="F20" s="443" t="e">
        <f>'Cental Budget'!#REF!-Central_sanacioni!AE23</f>
        <v>#REF!</v>
      </c>
    </row>
    <row r="21" spans="2:6">
      <c r="B21" s="81" t="s">
        <v>31</v>
      </c>
      <c r="C21" s="443">
        <f>'Cental Budget'!Z31-Central_sanacioni!Y24</f>
        <v>-607285.1047498954</v>
      </c>
      <c r="D21" s="443" t="e">
        <f>'Cental Budget'!#REF!-Central_sanacioni!AA24</f>
        <v>#REF!</v>
      </c>
      <c r="E21" s="443" t="e">
        <f>'Cental Budget'!#REF!-Central_sanacioni!AC24</f>
        <v>#REF!</v>
      </c>
      <c r="F21" s="443" t="e">
        <f>'Cental Budget'!#REF!-Central_sanacioni!AE24</f>
        <v>#REF!</v>
      </c>
    </row>
    <row r="22" spans="2:6">
      <c r="B22" s="81" t="s">
        <v>33</v>
      </c>
      <c r="C22" s="443">
        <f>'Cental Budget'!Z32-Central_sanacioni!Y25</f>
        <v>145092.90559120616</v>
      </c>
      <c r="D22" s="443" t="e">
        <f>'Cental Budget'!#REF!-Central_sanacioni!AA25</f>
        <v>#REF!</v>
      </c>
      <c r="E22" s="443" t="e">
        <f>'Cental Budget'!#REF!-Central_sanacioni!AC25</f>
        <v>#REF!</v>
      </c>
      <c r="F22" s="443" t="e">
        <f>'Cental Budget'!#REF!-Central_sanacioni!AE25</f>
        <v>#REF!</v>
      </c>
    </row>
    <row r="23" spans="2:6">
      <c r="B23" s="81" t="s">
        <v>36</v>
      </c>
      <c r="C23" s="443">
        <f>'Cental Budget'!Z33-Central_sanacioni!Y26</f>
        <v>13085.831313095987</v>
      </c>
      <c r="D23" s="443" t="e">
        <f>'Cental Budget'!#REF!-Central_sanacioni!AA26</f>
        <v>#REF!</v>
      </c>
      <c r="E23" s="443" t="e">
        <f>'Cental Budget'!#REF!-Central_sanacioni!AC26</f>
        <v>#REF!</v>
      </c>
      <c r="F23" s="443" t="e">
        <f>'Cental Budget'!#REF!-Central_sanacioni!AE26</f>
        <v>#REF!</v>
      </c>
    </row>
    <row r="24" spans="2:6">
      <c r="B24" s="80" t="s">
        <v>38</v>
      </c>
      <c r="C24" s="443">
        <f>'Cental Budget'!Z34-Central_sanacioni!Y27</f>
        <v>-4481506.2422678359</v>
      </c>
      <c r="D24" s="443" t="e">
        <f>'Cental Budget'!#REF!-Central_sanacioni!AA27</f>
        <v>#REF!</v>
      </c>
      <c r="E24" s="443" t="e">
        <f>'Cental Budget'!#REF!-Central_sanacioni!AC27</f>
        <v>#REF!</v>
      </c>
      <c r="F24" s="443" t="e">
        <f>'Cental Budget'!#REF!-Central_sanacioni!AE27</f>
        <v>#REF!</v>
      </c>
    </row>
    <row r="25" spans="2:6">
      <c r="B25" s="81" t="s">
        <v>39</v>
      </c>
      <c r="C25" s="443">
        <f>'Cental Budget'!Z35-Central_sanacioni!Y28</f>
        <v>-8386.9552001662087</v>
      </c>
      <c r="D25" s="443" t="e">
        <f>'Cental Budget'!#REF!-Central_sanacioni!AA28</f>
        <v>#REF!</v>
      </c>
      <c r="E25" s="443" t="e">
        <f>'Cental Budget'!#REF!-Central_sanacioni!AC28</f>
        <v>#REF!</v>
      </c>
      <c r="F25" s="443" t="e">
        <f>'Cental Budget'!#REF!-Central_sanacioni!AE28</f>
        <v>#REF!</v>
      </c>
    </row>
    <row r="26" spans="2:6">
      <c r="B26" s="81" t="s">
        <v>41</v>
      </c>
      <c r="C26" s="443">
        <f>'Cental Budget'!Z36-Central_sanacioni!Y29</f>
        <v>748438.13717430644</v>
      </c>
      <c r="D26" s="443" t="e">
        <f>'Cental Budget'!#REF!-Central_sanacioni!AA29</f>
        <v>#REF!</v>
      </c>
      <c r="E26" s="443" t="e">
        <f>'Cental Budget'!#REF!-Central_sanacioni!AC29</f>
        <v>#REF!</v>
      </c>
      <c r="F26" s="443" t="e">
        <f>'Cental Budget'!#REF!-Central_sanacioni!AE29</f>
        <v>#REF!</v>
      </c>
    </row>
    <row r="27" spans="2:6">
      <c r="B27" s="81" t="s">
        <v>44</v>
      </c>
      <c r="C27" s="443">
        <f>'Cental Budget'!Z37-Central_sanacioni!Y30</f>
        <v>126009.55419985115</v>
      </c>
      <c r="D27" s="443" t="e">
        <f>'Cental Budget'!#REF!-Central_sanacioni!AA30</f>
        <v>#REF!</v>
      </c>
      <c r="E27" s="443" t="e">
        <f>'Cental Budget'!#REF!-Central_sanacioni!AC30</f>
        <v>#REF!</v>
      </c>
      <c r="F27" s="443" t="e">
        <f>'Cental Budget'!#REF!-Central_sanacioni!AE30</f>
        <v>#REF!</v>
      </c>
    </row>
    <row r="28" spans="2:6">
      <c r="B28" s="81" t="s">
        <v>46</v>
      </c>
      <c r="C28" s="443">
        <f>'Cental Budget'!Z38-Central_sanacioni!Y31</f>
        <v>-4647066.9405965451</v>
      </c>
      <c r="D28" s="443" t="e">
        <f>'Cental Budget'!#REF!-Central_sanacioni!AA31</f>
        <v>#REF!</v>
      </c>
      <c r="E28" s="443" t="e">
        <f>'Cental Budget'!#REF!-Central_sanacioni!AC31</f>
        <v>#REF!</v>
      </c>
      <c r="F28" s="443" t="e">
        <f>'Cental Budget'!#REF!-Central_sanacioni!AE31</f>
        <v>#REF!</v>
      </c>
    </row>
    <row r="29" spans="2:6">
      <c r="B29" s="81" t="s">
        <v>49</v>
      </c>
      <c r="C29" s="443">
        <f>'Cental Budget'!Z39-Central_sanacioni!Y32</f>
        <v>-779294.8145020823</v>
      </c>
      <c r="D29" s="443" t="e">
        <f>'Cental Budget'!#REF!-Central_sanacioni!AA32</f>
        <v>#REF!</v>
      </c>
      <c r="E29" s="443" t="e">
        <f>'Cental Budget'!#REF!-Central_sanacioni!AC32</f>
        <v>#REF!</v>
      </c>
      <c r="F29" s="443" t="e">
        <f>'Cental Budget'!#REF!-Central_sanacioni!AE32</f>
        <v>#REF!</v>
      </c>
    </row>
    <row r="30" spans="2:6">
      <c r="B30" s="81" t="s">
        <v>50</v>
      </c>
      <c r="C30" s="443">
        <f>'Cental Budget'!Z40-Central_sanacioni!Y33</f>
        <v>78794.776656801812</v>
      </c>
      <c r="D30" s="443" t="e">
        <f>'Cental Budget'!#REF!-Central_sanacioni!AA33</f>
        <v>#REF!</v>
      </c>
      <c r="E30" s="443" t="e">
        <f>'Cental Budget'!#REF!-Central_sanacioni!AC33</f>
        <v>#REF!</v>
      </c>
      <c r="F30" s="443" t="e">
        <f>'Cental Budget'!#REF!-Central_sanacioni!AE33</f>
        <v>#REF!</v>
      </c>
    </row>
    <row r="31" spans="2:6">
      <c r="B31" s="80" t="s">
        <v>52</v>
      </c>
      <c r="C31" s="443">
        <f>'Cental Budget'!Z41-Central_sanacioni!Y34</f>
        <v>-1668126.9611135051</v>
      </c>
      <c r="D31" s="443" t="e">
        <f>'Cental Budget'!#REF!-Central_sanacioni!AA34</f>
        <v>#REF!</v>
      </c>
      <c r="E31" s="443" t="e">
        <f>'Cental Budget'!#REF!-Central_sanacioni!AC34</f>
        <v>#REF!</v>
      </c>
      <c r="F31" s="443" t="e">
        <f>'Cental Budget'!#REF!-Central_sanacioni!AE34</f>
        <v>#REF!</v>
      </c>
    </row>
    <row r="32" spans="2:6">
      <c r="B32" s="81" t="s">
        <v>54</v>
      </c>
      <c r="C32" s="443">
        <f>'Cental Budget'!Z42-Central_sanacioni!Y35</f>
        <v>1316126.8006697344</v>
      </c>
      <c r="D32" s="443" t="e">
        <f>'Cental Budget'!#REF!-Central_sanacioni!AA35</f>
        <v>#REF!</v>
      </c>
      <c r="E32" s="443" t="e">
        <f>'Cental Budget'!#REF!-Central_sanacioni!AC35</f>
        <v>#REF!</v>
      </c>
      <c r="F32" s="443" t="e">
        <f>'Cental Budget'!#REF!-Central_sanacioni!AE35</f>
        <v>#REF!</v>
      </c>
    </row>
    <row r="33" spans="2:6">
      <c r="B33" s="81" t="s">
        <v>56</v>
      </c>
      <c r="C33" s="443">
        <f>'Cental Budget'!Z43-Central_sanacioni!Y36</f>
        <v>-1390554.1960810684</v>
      </c>
      <c r="D33" s="443" t="e">
        <f>'Cental Budget'!#REF!-Central_sanacioni!AA36</f>
        <v>#REF!</v>
      </c>
      <c r="E33" s="443" t="e">
        <f>'Cental Budget'!#REF!-Central_sanacioni!AC36</f>
        <v>#REF!</v>
      </c>
      <c r="F33" s="443" t="e">
        <f>'Cental Budget'!#REF!-Central_sanacioni!AE36</f>
        <v>#REF!</v>
      </c>
    </row>
    <row r="34" spans="2:6">
      <c r="B34" s="81" t="s">
        <v>58</v>
      </c>
      <c r="C34" s="443">
        <f>'Cental Budget'!Z44-Central_sanacioni!Y37</f>
        <v>-2030390.8712676554</v>
      </c>
      <c r="D34" s="443" t="e">
        <f>'Cental Budget'!#REF!-Central_sanacioni!AA37</f>
        <v>#REF!</v>
      </c>
      <c r="E34" s="443" t="e">
        <f>'Cental Budget'!#REF!-Central_sanacioni!AC37</f>
        <v>#REF!</v>
      </c>
      <c r="F34" s="443" t="e">
        <f>'Cental Budget'!#REF!-Central_sanacioni!AE37</f>
        <v>#REF!</v>
      </c>
    </row>
    <row r="35" spans="2:6">
      <c r="B35" s="81" t="s">
        <v>52</v>
      </c>
      <c r="C35" s="443">
        <f>'Cental Budget'!Z45-Central_sanacioni!Y38</f>
        <v>436691.30556548573</v>
      </c>
      <c r="D35" s="443" t="e">
        <f>'Cental Budget'!#REF!-Central_sanacioni!AA38</f>
        <v>#REF!</v>
      </c>
      <c r="E35" s="443" t="e">
        <f>'Cental Budget'!#REF!-Central_sanacioni!AC38</f>
        <v>#REF!</v>
      </c>
      <c r="F35" s="443" t="e">
        <f>'Cental Budget'!#REF!-Central_sanacioni!AE38</f>
        <v>#REF!</v>
      </c>
    </row>
    <row r="36" spans="2:6">
      <c r="B36" s="82" t="s">
        <v>398</v>
      </c>
      <c r="C36" s="443">
        <f>'Cental Budget'!Z46-Central_sanacioni!Y39</f>
        <v>1269628.2111789491</v>
      </c>
      <c r="D36" s="443" t="e">
        <f>'Cental Budget'!#REF!-Central_sanacioni!AA39</f>
        <v>#REF!</v>
      </c>
      <c r="E36" s="443" t="e">
        <f>'Cental Budget'!#REF!-Central_sanacioni!AC39</f>
        <v>#REF!</v>
      </c>
      <c r="F36" s="443" t="e">
        <f>'Cental Budget'!#REF!-Central_sanacioni!AE39</f>
        <v>#REF!</v>
      </c>
    </row>
    <row r="37" spans="2:6">
      <c r="B37" s="80" t="s">
        <v>122</v>
      </c>
      <c r="C37" s="443">
        <f>'Cental Budget'!Z47-Central_sanacioni!Y40</f>
        <v>-9922221.2199999988</v>
      </c>
      <c r="D37" s="443" t="e">
        <f>'Cental Budget'!#REF!-Central_sanacioni!AA40</f>
        <v>#REF!</v>
      </c>
      <c r="E37" s="443" t="e">
        <f>'Cental Budget'!#REF!-Central_sanacioni!AC40</f>
        <v>#REF!</v>
      </c>
      <c r="F37" s="443" t="e">
        <f>'Cental Budget'!#REF!-Central_sanacioni!AE40</f>
        <v>#REF!</v>
      </c>
    </row>
  </sheetData>
  <mergeCells count="1">
    <mergeCell ref="B3:B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HI730"/>
  <sheetViews>
    <sheetView zoomScaleNormal="100" workbookViewId="0">
      <pane ySplit="12" topLeftCell="A13" activePane="bottomLeft" state="frozen"/>
      <selection pane="bottomLeft" activeCell="Z69" sqref="Z69"/>
    </sheetView>
  </sheetViews>
  <sheetFormatPr defaultColWidth="9.140625" defaultRowHeight="12.75"/>
  <cols>
    <col min="1" max="1" width="13.42578125" style="286" customWidth="1"/>
    <col min="2" max="2" width="9.140625" style="286" customWidth="1"/>
    <col min="3" max="3" width="37.42578125" style="286" customWidth="1"/>
    <col min="4" max="4" width="8.5703125" style="286" customWidth="1"/>
    <col min="5" max="5" width="8" style="286" customWidth="1"/>
    <col min="6" max="6" width="10.5703125" style="286" customWidth="1"/>
    <col min="7" max="17" width="8" style="286" customWidth="1"/>
    <col min="18" max="23" width="8" style="150" customWidth="1"/>
    <col min="24" max="24" width="8.5703125" style="150" customWidth="1"/>
    <col min="25" max="25" width="7.140625" style="150" customWidth="1"/>
    <col min="26" max="26" width="10" style="150" customWidth="1"/>
    <col min="27" max="27" width="7" style="150" customWidth="1"/>
    <col min="28" max="30" width="15.28515625" style="150" customWidth="1"/>
    <col min="31" max="31" width="13.5703125" style="150" customWidth="1"/>
    <col min="32" max="32" width="13.140625" style="150" bestFit="1" customWidth="1"/>
    <col min="33" max="33" width="9.140625" style="150" customWidth="1"/>
    <col min="34" max="34" width="13.140625" style="150" bestFit="1" customWidth="1"/>
    <col min="35" max="35" width="9.140625" style="150" customWidth="1"/>
    <col min="36" max="104" width="9.140625" style="286" customWidth="1"/>
    <col min="105" max="105" width="12.7109375" style="286" customWidth="1"/>
    <col min="106" max="106" width="11.85546875" style="286" customWidth="1"/>
    <col min="107" max="112" width="9.140625" style="286" customWidth="1"/>
    <col min="113" max="113" width="9.140625" style="286" hidden="1" customWidth="1"/>
    <col min="114" max="114" width="10" style="286" hidden="1" customWidth="1"/>
    <col min="115" max="119" width="9.140625" style="286" hidden="1" customWidth="1"/>
    <col min="120" max="153" width="9.140625" style="286" customWidth="1"/>
    <col min="154" max="154" width="9.140625" style="286"/>
    <col min="155" max="155" width="11" style="286" bestFit="1" customWidth="1"/>
    <col min="156" max="156" width="17.42578125" style="286" bestFit="1" customWidth="1"/>
    <col min="157" max="157" width="9.140625" style="286"/>
    <col min="158" max="160" width="9.140625" style="286" hidden="1" customWidth="1"/>
    <col min="161" max="161" width="17.42578125" style="287" hidden="1" customWidth="1"/>
    <col min="162" max="162" width="9.140625" style="286" hidden="1" customWidth="1"/>
    <col min="163" max="163" width="11.5703125" style="286" hidden="1" customWidth="1"/>
    <col min="164" max="165" width="9.140625" style="286" hidden="1" customWidth="1"/>
    <col min="166" max="176" width="0" style="286" hidden="1" customWidth="1"/>
    <col min="177" max="178" width="9.140625" style="286"/>
    <col min="179" max="179" width="0" style="286" hidden="1" customWidth="1"/>
    <col min="180" max="16384" width="9.140625" style="286"/>
  </cols>
  <sheetData>
    <row r="1" spans="1:217">
      <c r="A1" s="150"/>
      <c r="B1" s="150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2" spans="1:217" ht="15" customHeight="1">
      <c r="A2" s="150"/>
      <c r="B2" s="150"/>
      <c r="C2" s="288"/>
      <c r="D2" s="289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</row>
    <row r="3" spans="1:217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289"/>
      <c r="P3" s="292"/>
      <c r="Q3" s="292"/>
      <c r="R3" s="292"/>
      <c r="S3" s="293"/>
      <c r="T3" s="293"/>
      <c r="U3" s="293"/>
      <c r="V3" s="293"/>
      <c r="W3" s="293"/>
      <c r="X3" s="293"/>
      <c r="Y3" s="293"/>
      <c r="Z3" s="293"/>
      <c r="AA3" s="293"/>
      <c r="FE3" s="294"/>
    </row>
    <row r="4" spans="1:217">
      <c r="A4" s="150"/>
      <c r="B4" s="150"/>
      <c r="C4" s="289"/>
      <c r="D4" s="289"/>
      <c r="E4" s="289"/>
      <c r="F4" s="289"/>
      <c r="G4" s="289"/>
      <c r="H4" s="289"/>
      <c r="I4" s="289"/>
      <c r="J4" s="289"/>
      <c r="K4" s="289"/>
      <c r="L4" s="150"/>
      <c r="M4" s="150"/>
      <c r="N4" s="289"/>
      <c r="O4" s="289"/>
      <c r="P4" s="292"/>
      <c r="Q4" s="292"/>
      <c r="R4" s="292"/>
      <c r="S4" s="293"/>
      <c r="T4" s="293"/>
      <c r="U4" s="293"/>
      <c r="V4" s="293"/>
      <c r="W4" s="293"/>
      <c r="X4" s="293"/>
      <c r="Y4" s="293"/>
      <c r="Z4" s="293"/>
      <c r="AA4" s="293"/>
      <c r="AB4" s="289"/>
      <c r="AC4" s="289"/>
      <c r="AD4" s="289"/>
      <c r="AE4" s="289"/>
      <c r="AF4" s="289"/>
      <c r="AG4" s="289"/>
      <c r="AH4" s="289"/>
      <c r="AI4" s="289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296"/>
      <c r="BS4" s="296"/>
      <c r="BT4" s="296"/>
      <c r="BU4" s="296"/>
      <c r="BV4" s="296"/>
      <c r="BW4" s="296"/>
      <c r="BX4" s="296"/>
      <c r="BY4" s="296"/>
      <c r="BZ4" s="296"/>
      <c r="CA4" s="296"/>
      <c r="CB4" s="296"/>
      <c r="CC4" s="296"/>
      <c r="CD4" s="296"/>
      <c r="CE4" s="296"/>
      <c r="CF4" s="296"/>
      <c r="CG4" s="296"/>
      <c r="CH4" s="296"/>
      <c r="CI4" s="296"/>
      <c r="CJ4" s="296"/>
      <c r="CK4" s="296"/>
      <c r="CL4" s="296"/>
      <c r="CM4" s="296"/>
      <c r="CN4" s="296"/>
      <c r="CO4" s="296"/>
      <c r="CP4" s="296"/>
      <c r="CQ4" s="296"/>
      <c r="CR4" s="296"/>
      <c r="CS4" s="296"/>
      <c r="CT4" s="296"/>
      <c r="CU4" s="296"/>
      <c r="CV4" s="296"/>
      <c r="CW4" s="296"/>
      <c r="CX4" s="296"/>
      <c r="CY4" s="296"/>
      <c r="CZ4" s="296"/>
      <c r="DA4" s="296"/>
      <c r="DB4" s="296"/>
      <c r="DC4" s="296"/>
      <c r="DD4" s="296"/>
      <c r="DE4" s="296"/>
      <c r="DF4" s="296"/>
      <c r="DG4" s="296"/>
      <c r="DH4" s="296"/>
      <c r="DI4" s="296"/>
      <c r="DJ4" s="296"/>
      <c r="DK4" s="296"/>
      <c r="DL4" s="296"/>
      <c r="DM4" s="296"/>
      <c r="DN4" s="296"/>
      <c r="DO4" s="296"/>
      <c r="DP4" s="296"/>
      <c r="DQ4" s="296"/>
      <c r="DR4" s="296"/>
      <c r="DS4" s="296"/>
      <c r="DT4" s="296"/>
      <c r="DU4" s="296"/>
      <c r="DV4" s="296"/>
      <c r="DW4" s="296"/>
      <c r="DX4" s="296"/>
      <c r="DY4" s="296"/>
      <c r="DZ4" s="296"/>
      <c r="EA4" s="296"/>
      <c r="EB4" s="296"/>
      <c r="EC4" s="296"/>
      <c r="ED4" s="296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7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6"/>
      <c r="GW4" s="296"/>
      <c r="GX4" s="296"/>
      <c r="GY4" s="296"/>
      <c r="GZ4" s="296"/>
      <c r="HA4" s="296"/>
      <c r="HB4" s="296"/>
      <c r="HC4" s="296"/>
      <c r="HD4" s="296"/>
      <c r="HE4" s="296"/>
      <c r="HF4" s="296"/>
      <c r="HG4" s="296"/>
      <c r="HH4" s="296"/>
      <c r="HI4" s="296"/>
    </row>
    <row r="5" spans="1:217">
      <c r="A5" s="150"/>
      <c r="B5" s="150"/>
      <c r="C5" s="574"/>
      <c r="D5" s="574"/>
      <c r="E5" s="298"/>
      <c r="F5" s="298"/>
      <c r="G5" s="298"/>
      <c r="H5" s="298"/>
      <c r="I5" s="575"/>
      <c r="J5" s="575"/>
      <c r="K5" s="575"/>
      <c r="L5" s="299"/>
      <c r="M5" s="150"/>
      <c r="N5" s="150"/>
      <c r="O5" s="289"/>
      <c r="P5" s="292"/>
      <c r="Q5" s="292"/>
      <c r="R5" s="292"/>
      <c r="S5" s="293"/>
      <c r="T5" s="293"/>
      <c r="U5" s="293"/>
      <c r="V5" s="293"/>
      <c r="W5" s="293"/>
      <c r="X5" s="293"/>
      <c r="Y5" s="293"/>
      <c r="Z5" s="293"/>
      <c r="AA5" s="293"/>
      <c r="AB5" s="289"/>
      <c r="AC5" s="289"/>
      <c r="AD5" s="289"/>
      <c r="AE5" s="289"/>
      <c r="AF5" s="289"/>
      <c r="AG5" s="289"/>
      <c r="AH5" s="289"/>
      <c r="AI5" s="289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296"/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296"/>
      <c r="CB5" s="296"/>
      <c r="CC5" s="296"/>
      <c r="CD5" s="296"/>
      <c r="CE5" s="296"/>
      <c r="CF5" s="296"/>
      <c r="CG5" s="296"/>
      <c r="CH5" s="296"/>
      <c r="CI5" s="296"/>
      <c r="CJ5" s="296"/>
      <c r="CK5" s="296"/>
      <c r="CL5" s="296"/>
      <c r="CM5" s="296"/>
      <c r="CN5" s="296"/>
      <c r="CO5" s="296"/>
      <c r="CP5" s="296"/>
      <c r="CQ5" s="296"/>
      <c r="CR5" s="296"/>
      <c r="CS5" s="296"/>
      <c r="CT5" s="296"/>
      <c r="CU5" s="296"/>
      <c r="CV5" s="296"/>
      <c r="CW5" s="296"/>
      <c r="CX5" s="296"/>
      <c r="CY5" s="296"/>
      <c r="CZ5" s="296"/>
      <c r="DA5" s="296"/>
      <c r="DB5" s="296"/>
      <c r="DC5" s="296"/>
      <c r="DD5" s="296"/>
      <c r="DE5" s="296"/>
      <c r="DF5" s="296"/>
      <c r="DG5" s="296"/>
      <c r="DH5" s="296"/>
      <c r="DI5" s="296"/>
      <c r="DJ5" s="296"/>
      <c r="DK5" s="296"/>
      <c r="DL5" s="296"/>
      <c r="DM5" s="296"/>
      <c r="DN5" s="296"/>
      <c r="DO5" s="296"/>
      <c r="DP5" s="296"/>
      <c r="DQ5" s="296"/>
      <c r="DR5" s="296"/>
      <c r="DS5" s="296"/>
      <c r="DT5" s="296"/>
      <c r="DU5" s="296"/>
      <c r="DV5" s="296"/>
      <c r="DW5" s="296"/>
      <c r="DX5" s="296"/>
      <c r="DY5" s="296"/>
      <c r="DZ5" s="296"/>
      <c r="EA5" s="296"/>
      <c r="EB5" s="296"/>
      <c r="EC5" s="296"/>
      <c r="ED5" s="296"/>
      <c r="EE5" s="296"/>
      <c r="EF5" s="296"/>
      <c r="EG5" s="296"/>
      <c r="EH5" s="296"/>
      <c r="EI5" s="296"/>
      <c r="EJ5" s="296"/>
      <c r="EK5" s="296"/>
      <c r="EL5" s="296"/>
      <c r="EM5" s="296"/>
      <c r="EN5" s="296"/>
      <c r="EO5" s="296"/>
      <c r="EP5" s="296"/>
      <c r="EQ5" s="296"/>
      <c r="ER5" s="296"/>
      <c r="ES5" s="296"/>
      <c r="ET5" s="296"/>
      <c r="EU5" s="296"/>
      <c r="EV5" s="296"/>
      <c r="EW5" s="296"/>
      <c r="EX5" s="296"/>
      <c r="EY5" s="296"/>
      <c r="EZ5" s="296"/>
      <c r="FA5" s="296"/>
      <c r="FB5" s="296"/>
      <c r="FC5" s="296"/>
      <c r="FD5" s="296"/>
      <c r="FE5" s="297"/>
      <c r="FF5" s="296"/>
      <c r="FG5" s="296"/>
      <c r="FH5" s="296"/>
      <c r="FI5" s="296"/>
      <c r="FJ5" s="296"/>
      <c r="FK5" s="296"/>
      <c r="FL5" s="296"/>
      <c r="FM5" s="296"/>
      <c r="FN5" s="296"/>
      <c r="FO5" s="296"/>
      <c r="FP5" s="296"/>
      <c r="FQ5" s="296"/>
      <c r="FR5" s="296"/>
      <c r="FS5" s="296"/>
      <c r="FT5" s="296"/>
      <c r="FU5" s="296"/>
      <c r="FV5" s="296"/>
      <c r="FW5" s="296"/>
      <c r="FX5" s="296"/>
      <c r="FY5" s="296"/>
      <c r="FZ5" s="296"/>
      <c r="GA5" s="296"/>
      <c r="GB5" s="296"/>
      <c r="GC5" s="296"/>
      <c r="GD5" s="296"/>
      <c r="GE5" s="296"/>
      <c r="GF5" s="296"/>
      <c r="GG5" s="296"/>
      <c r="GH5" s="296"/>
      <c r="GI5" s="296"/>
      <c r="GJ5" s="296"/>
      <c r="GK5" s="296"/>
      <c r="GL5" s="296"/>
      <c r="GM5" s="296"/>
      <c r="GN5" s="296"/>
      <c r="GO5" s="296"/>
      <c r="GP5" s="296"/>
      <c r="GQ5" s="296"/>
      <c r="GR5" s="296"/>
      <c r="GS5" s="296"/>
      <c r="GT5" s="296"/>
      <c r="GU5" s="296"/>
      <c r="GV5" s="296"/>
      <c r="GW5" s="296"/>
      <c r="GX5" s="296"/>
      <c r="GY5" s="296"/>
      <c r="GZ5" s="296"/>
      <c r="HA5" s="296"/>
      <c r="HB5" s="296"/>
      <c r="HC5" s="296"/>
      <c r="HD5" s="296"/>
      <c r="HE5" s="296"/>
      <c r="HF5" s="296"/>
      <c r="HG5" s="296"/>
      <c r="HH5" s="296"/>
      <c r="HI5" s="296"/>
    </row>
    <row r="6" spans="1:217">
      <c r="A6" s="150"/>
      <c r="B6" s="150"/>
      <c r="C6" s="150"/>
      <c r="D6" s="150"/>
      <c r="E6" s="150"/>
      <c r="F6" s="150"/>
      <c r="G6" s="150"/>
      <c r="H6" s="576"/>
      <c r="I6" s="576"/>
      <c r="J6" s="576"/>
      <c r="K6" s="576"/>
      <c r="L6" s="576"/>
      <c r="M6" s="299"/>
      <c r="N6" s="150"/>
      <c r="O6" s="289"/>
      <c r="P6" s="292"/>
      <c r="Q6" s="292"/>
      <c r="R6" s="292"/>
      <c r="S6" s="293"/>
      <c r="T6" s="293"/>
      <c r="U6" s="293"/>
      <c r="V6" s="293"/>
      <c r="W6" s="293"/>
      <c r="X6" s="293"/>
      <c r="Y6" s="293"/>
      <c r="Z6" s="293"/>
      <c r="AA6" s="293"/>
      <c r="AB6" s="289"/>
      <c r="AC6" s="289"/>
      <c r="AD6" s="289"/>
      <c r="AE6" s="289"/>
      <c r="AF6" s="289"/>
      <c r="AG6" s="289"/>
      <c r="AH6" s="289"/>
      <c r="AI6" s="289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296"/>
      <c r="BU6" s="296"/>
      <c r="BV6" s="296"/>
      <c r="BW6" s="296"/>
      <c r="BX6" s="296"/>
      <c r="BY6" s="296"/>
      <c r="BZ6" s="296"/>
      <c r="CA6" s="296"/>
      <c r="CB6" s="296"/>
      <c r="CC6" s="296"/>
      <c r="CD6" s="296"/>
      <c r="CE6" s="296"/>
      <c r="CF6" s="296"/>
      <c r="CG6" s="296"/>
      <c r="CH6" s="296"/>
      <c r="CI6" s="296"/>
      <c r="CJ6" s="296"/>
      <c r="CK6" s="296"/>
      <c r="CL6" s="296"/>
      <c r="CM6" s="296"/>
      <c r="CN6" s="296"/>
      <c r="CO6" s="296"/>
      <c r="CP6" s="296"/>
      <c r="CQ6" s="296"/>
      <c r="CR6" s="296"/>
      <c r="CS6" s="296"/>
      <c r="CT6" s="296"/>
      <c r="CU6" s="296"/>
      <c r="CV6" s="296"/>
      <c r="CW6" s="296"/>
      <c r="CX6" s="296"/>
      <c r="CY6" s="296"/>
      <c r="CZ6" s="296"/>
      <c r="DA6" s="296"/>
      <c r="DB6" s="296"/>
      <c r="DC6" s="296"/>
      <c r="DD6" s="296"/>
      <c r="DE6" s="296"/>
      <c r="DF6" s="296"/>
      <c r="DG6" s="296"/>
      <c r="DH6" s="296"/>
      <c r="DI6" s="296"/>
      <c r="DJ6" s="296"/>
      <c r="DK6" s="296"/>
      <c r="DL6" s="296"/>
      <c r="DM6" s="296"/>
      <c r="DN6" s="296"/>
      <c r="DO6" s="296"/>
      <c r="DP6" s="296"/>
      <c r="DQ6" s="296"/>
      <c r="DR6" s="296"/>
      <c r="DS6" s="296"/>
      <c r="DT6" s="296"/>
      <c r="DU6" s="296"/>
      <c r="DV6" s="296"/>
      <c r="DW6" s="296"/>
      <c r="DX6" s="296"/>
      <c r="DY6" s="296"/>
      <c r="DZ6" s="296"/>
      <c r="EA6" s="296"/>
      <c r="EB6" s="296"/>
      <c r="EC6" s="296"/>
      <c r="ED6" s="296"/>
      <c r="EE6" s="296"/>
      <c r="EF6" s="296"/>
      <c r="EG6" s="296"/>
      <c r="EH6" s="296"/>
      <c r="EI6" s="296"/>
      <c r="EJ6" s="296"/>
      <c r="EK6" s="296"/>
      <c r="EL6" s="296"/>
      <c r="EM6" s="296"/>
      <c r="EN6" s="296"/>
      <c r="EO6" s="296"/>
      <c r="EP6" s="296"/>
      <c r="EQ6" s="296"/>
      <c r="ER6" s="296"/>
      <c r="ES6" s="296"/>
      <c r="ET6" s="296"/>
      <c r="EU6" s="296"/>
      <c r="EV6" s="296"/>
      <c r="EW6" s="296"/>
      <c r="EX6" s="296"/>
      <c r="EY6" s="296"/>
      <c r="EZ6" s="296"/>
      <c r="FA6" s="296"/>
      <c r="FB6" s="296"/>
      <c r="FC6" s="296"/>
      <c r="FD6" s="296"/>
      <c r="FE6" s="297"/>
      <c r="FF6" s="296"/>
      <c r="FG6" s="296"/>
      <c r="FH6" s="296"/>
      <c r="FI6" s="296"/>
      <c r="FJ6" s="296"/>
      <c r="FK6" s="296"/>
      <c r="FL6" s="296"/>
      <c r="FM6" s="296"/>
      <c r="FN6" s="296"/>
      <c r="FO6" s="296"/>
      <c r="FP6" s="296"/>
      <c r="FQ6" s="296"/>
      <c r="FR6" s="296"/>
      <c r="FS6" s="296"/>
      <c r="FT6" s="296"/>
      <c r="FU6" s="296"/>
      <c r="FV6" s="296"/>
      <c r="FW6" s="296"/>
      <c r="FX6" s="296"/>
      <c r="FY6" s="296"/>
      <c r="FZ6" s="296"/>
      <c r="GA6" s="296"/>
      <c r="GB6" s="296"/>
      <c r="GC6" s="296"/>
      <c r="GD6" s="296"/>
      <c r="GE6" s="296"/>
      <c r="GF6" s="296"/>
      <c r="GG6" s="296"/>
      <c r="GH6" s="296"/>
      <c r="GI6" s="296"/>
      <c r="GJ6" s="296"/>
      <c r="GK6" s="296"/>
      <c r="GL6" s="296"/>
      <c r="GM6" s="296"/>
      <c r="GN6" s="296"/>
      <c r="GO6" s="296"/>
      <c r="GP6" s="296"/>
      <c r="GQ6" s="296"/>
      <c r="GR6" s="296"/>
      <c r="GS6" s="296"/>
      <c r="GT6" s="296"/>
      <c r="GU6" s="296"/>
      <c r="GV6" s="296"/>
      <c r="GW6" s="296"/>
      <c r="GX6" s="296"/>
      <c r="GY6" s="296"/>
      <c r="GZ6" s="296"/>
      <c r="HA6" s="296"/>
      <c r="HB6" s="296"/>
      <c r="HC6" s="296"/>
      <c r="HD6" s="296"/>
      <c r="HE6" s="296"/>
      <c r="HF6" s="296"/>
      <c r="HG6" s="296"/>
      <c r="HH6" s="296"/>
      <c r="HI6" s="296"/>
    </row>
    <row r="7" spans="1:217">
      <c r="A7" s="150"/>
      <c r="B7" s="150"/>
      <c r="C7" s="150"/>
      <c r="D7" s="285"/>
      <c r="E7" s="285"/>
      <c r="F7" s="291"/>
      <c r="G7" s="285"/>
      <c r="H7" s="285"/>
      <c r="I7" s="285"/>
      <c r="J7" s="285"/>
      <c r="K7" s="285"/>
      <c r="L7" s="285"/>
      <c r="M7" s="285"/>
      <c r="N7" s="285"/>
      <c r="O7" s="285"/>
      <c r="P7" s="292"/>
      <c r="Q7" s="292"/>
      <c r="R7" s="292"/>
      <c r="S7" s="293"/>
      <c r="T7" s="293"/>
      <c r="U7" s="293"/>
      <c r="V7" s="293"/>
      <c r="W7" s="293"/>
      <c r="X7" s="293"/>
      <c r="Y7" s="293"/>
      <c r="Z7" s="293"/>
      <c r="AA7" s="293"/>
      <c r="AB7" s="511"/>
      <c r="AC7" s="511"/>
      <c r="AD7" s="511"/>
      <c r="AE7" s="511"/>
      <c r="AF7" s="511"/>
      <c r="AG7" s="511"/>
      <c r="AH7" s="511"/>
      <c r="AI7" s="511"/>
      <c r="AJ7" s="511"/>
      <c r="AK7" s="511"/>
      <c r="AL7" s="511"/>
      <c r="AM7" s="511"/>
      <c r="AN7" s="511"/>
      <c r="AO7" s="511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296"/>
      <c r="BW7" s="296"/>
      <c r="BX7" s="296"/>
      <c r="BY7" s="296"/>
      <c r="BZ7" s="296"/>
      <c r="CA7" s="296"/>
      <c r="CB7" s="296"/>
      <c r="CC7" s="296"/>
      <c r="CD7" s="296"/>
      <c r="CE7" s="296"/>
      <c r="CF7" s="296"/>
      <c r="CG7" s="296"/>
      <c r="CH7" s="296"/>
      <c r="CI7" s="296"/>
      <c r="CJ7" s="296"/>
      <c r="CK7" s="296"/>
      <c r="CL7" s="296"/>
      <c r="CM7" s="296"/>
      <c r="CN7" s="296"/>
      <c r="CO7" s="296"/>
      <c r="CP7" s="296"/>
      <c r="CQ7" s="296"/>
      <c r="CR7" s="296"/>
      <c r="CS7" s="296"/>
      <c r="CT7" s="296"/>
      <c r="CU7" s="296"/>
      <c r="CV7" s="296"/>
      <c r="CW7" s="296"/>
      <c r="CX7" s="296"/>
      <c r="CY7" s="296"/>
      <c r="CZ7" s="296"/>
      <c r="DA7" s="296"/>
      <c r="DB7" s="296"/>
      <c r="DC7" s="296"/>
      <c r="DD7" s="296"/>
      <c r="DE7" s="296"/>
      <c r="DF7" s="296"/>
      <c r="DG7" s="296"/>
      <c r="DH7" s="296"/>
      <c r="DI7" s="296"/>
      <c r="DJ7" s="296"/>
      <c r="DK7" s="296"/>
      <c r="DL7" s="296"/>
      <c r="DM7" s="296"/>
      <c r="DN7" s="296"/>
      <c r="DO7" s="296"/>
      <c r="DP7" s="296"/>
      <c r="DQ7" s="296"/>
      <c r="DR7" s="296"/>
      <c r="DS7" s="296"/>
      <c r="DT7" s="296"/>
      <c r="DU7" s="296"/>
      <c r="DV7" s="296"/>
      <c r="DW7" s="296"/>
      <c r="DX7" s="296"/>
      <c r="DY7" s="296"/>
      <c r="DZ7" s="296"/>
      <c r="EA7" s="296"/>
      <c r="EB7" s="296"/>
      <c r="EC7" s="296"/>
      <c r="ED7" s="296"/>
      <c r="EE7" s="296"/>
      <c r="EF7" s="296"/>
      <c r="EG7" s="296"/>
      <c r="EH7" s="296"/>
      <c r="EI7" s="296"/>
      <c r="EJ7" s="296"/>
      <c r="EK7" s="296"/>
      <c r="EL7" s="296"/>
      <c r="EM7" s="296"/>
      <c r="EN7" s="296"/>
      <c r="EO7" s="296"/>
      <c r="EP7" s="296"/>
      <c r="EQ7" s="296"/>
      <c r="ER7" s="296"/>
      <c r="ES7" s="296"/>
      <c r="ET7" s="296"/>
      <c r="EU7" s="296"/>
      <c r="EV7" s="296"/>
      <c r="EW7" s="296"/>
      <c r="EX7" s="296"/>
      <c r="EY7" s="296"/>
      <c r="EZ7" s="296"/>
      <c r="FA7" s="296"/>
      <c r="FB7" s="296"/>
      <c r="FC7" s="296"/>
      <c r="FD7" s="296"/>
      <c r="FE7" s="297"/>
      <c r="FF7" s="296"/>
      <c r="FG7" s="296"/>
      <c r="FH7" s="296"/>
      <c r="FI7" s="296"/>
      <c r="FJ7" s="296"/>
      <c r="FK7" s="296"/>
      <c r="FL7" s="296"/>
      <c r="FM7" s="296"/>
      <c r="FN7" s="296"/>
      <c r="FO7" s="296"/>
      <c r="FP7" s="296"/>
      <c r="FQ7" s="296"/>
      <c r="FR7" s="296"/>
      <c r="FS7" s="296"/>
      <c r="FT7" s="296"/>
      <c r="FU7" s="296"/>
      <c r="FV7" s="296"/>
      <c r="FW7" s="296"/>
      <c r="FX7" s="296"/>
      <c r="FY7" s="296"/>
      <c r="FZ7" s="296"/>
      <c r="GA7" s="296"/>
      <c r="GB7" s="296"/>
      <c r="GC7" s="296"/>
      <c r="GD7" s="296"/>
      <c r="GE7" s="296"/>
      <c r="GF7" s="296"/>
      <c r="GG7" s="296"/>
      <c r="GH7" s="296"/>
      <c r="GI7" s="296"/>
      <c r="GJ7" s="296"/>
      <c r="GK7" s="296"/>
      <c r="GL7" s="296"/>
      <c r="GM7" s="296"/>
      <c r="GN7" s="296"/>
      <c r="GO7" s="296"/>
      <c r="GP7" s="296"/>
      <c r="GQ7" s="296"/>
      <c r="GR7" s="296"/>
      <c r="GS7" s="296"/>
      <c r="GT7" s="296"/>
      <c r="GU7" s="296"/>
      <c r="GV7" s="296"/>
      <c r="GW7" s="296"/>
      <c r="GX7" s="296"/>
      <c r="GY7" s="296"/>
      <c r="GZ7" s="296"/>
      <c r="HA7" s="296"/>
      <c r="HB7" s="296"/>
      <c r="HC7" s="296"/>
      <c r="HD7" s="296"/>
      <c r="HE7" s="296"/>
      <c r="HF7" s="296"/>
      <c r="HG7" s="296"/>
      <c r="HH7" s="296"/>
      <c r="HI7" s="296"/>
    </row>
    <row r="8" spans="1:217" ht="13.5" thickBot="1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292"/>
      <c r="Q8" s="292"/>
      <c r="R8" s="292"/>
      <c r="S8" s="293"/>
      <c r="T8" s="293"/>
      <c r="U8" s="293"/>
      <c r="V8" s="293"/>
      <c r="W8" s="293"/>
      <c r="X8" s="293"/>
      <c r="Y8" s="293"/>
      <c r="Z8" s="293"/>
      <c r="AA8" s="293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  <c r="BR8" s="296"/>
      <c r="BS8" s="296"/>
      <c r="BT8" s="296"/>
      <c r="BU8" s="296"/>
      <c r="BV8" s="296"/>
      <c r="BW8" s="296"/>
      <c r="BX8" s="296"/>
      <c r="BY8" s="296"/>
      <c r="BZ8" s="296"/>
      <c r="CA8" s="296"/>
      <c r="CB8" s="296"/>
      <c r="CC8" s="296"/>
      <c r="CD8" s="296"/>
      <c r="CE8" s="296"/>
      <c r="CF8" s="296"/>
      <c r="CG8" s="296"/>
      <c r="CH8" s="296"/>
      <c r="CI8" s="296"/>
      <c r="CJ8" s="296"/>
      <c r="CK8" s="296"/>
      <c r="CL8" s="296"/>
      <c r="CM8" s="296"/>
      <c r="CN8" s="296"/>
      <c r="CO8" s="296"/>
      <c r="CP8" s="296"/>
      <c r="CQ8" s="296"/>
      <c r="CR8" s="296"/>
      <c r="CS8" s="296"/>
      <c r="CT8" s="296"/>
      <c r="CU8" s="296"/>
      <c r="CV8" s="296"/>
      <c r="CW8" s="296"/>
      <c r="CX8" s="296"/>
      <c r="CY8" s="296"/>
      <c r="CZ8" s="296"/>
      <c r="DA8" s="296"/>
      <c r="DB8" s="296"/>
      <c r="DC8" s="296"/>
      <c r="DD8" s="296"/>
      <c r="DE8" s="296"/>
      <c r="DF8" s="296"/>
      <c r="DG8" s="296"/>
      <c r="DH8" s="296"/>
      <c r="DI8" s="296"/>
      <c r="DJ8" s="296"/>
      <c r="DK8" s="296"/>
      <c r="DL8" s="296"/>
      <c r="DM8" s="296"/>
      <c r="DN8" s="296"/>
      <c r="DO8" s="296"/>
      <c r="DP8" s="296"/>
      <c r="DQ8" s="296"/>
      <c r="DR8" s="296"/>
      <c r="DS8" s="296"/>
      <c r="DT8" s="296"/>
      <c r="DU8" s="296"/>
      <c r="DV8" s="296"/>
      <c r="DW8" s="296"/>
      <c r="DX8" s="296"/>
      <c r="DY8" s="296"/>
      <c r="DZ8" s="296"/>
      <c r="EA8" s="296"/>
      <c r="EB8" s="296"/>
      <c r="EC8" s="296"/>
      <c r="ED8" s="296"/>
      <c r="EE8" s="296"/>
      <c r="EF8" s="296"/>
      <c r="EG8" s="296"/>
      <c r="EH8" s="296"/>
      <c r="EI8" s="296"/>
      <c r="EJ8" s="296"/>
      <c r="EK8" s="296"/>
      <c r="EL8" s="296"/>
      <c r="EM8" s="296"/>
      <c r="EN8" s="296"/>
      <c r="EO8" s="296"/>
      <c r="EP8" s="296"/>
      <c r="EQ8" s="296"/>
      <c r="ER8" s="296"/>
      <c r="ES8" s="296"/>
      <c r="ET8" s="296"/>
      <c r="EU8" s="296"/>
      <c r="EV8" s="296"/>
      <c r="EW8" s="296"/>
      <c r="EX8" s="296"/>
      <c r="EY8" s="296"/>
      <c r="EZ8" s="296"/>
      <c r="FA8" s="296"/>
      <c r="FB8" s="296"/>
      <c r="FC8" s="296"/>
      <c r="FD8" s="296"/>
      <c r="FE8" s="297"/>
      <c r="FF8" s="296"/>
      <c r="FG8" s="296"/>
      <c r="FH8" s="296"/>
      <c r="FI8" s="296"/>
      <c r="FJ8" s="296"/>
      <c r="FK8" s="296"/>
      <c r="FL8" s="296"/>
      <c r="FM8" s="296"/>
      <c r="FN8" s="296"/>
      <c r="FO8" s="296"/>
      <c r="FP8" s="296"/>
      <c r="FQ8" s="296"/>
      <c r="FR8" s="296"/>
      <c r="FS8" s="296"/>
      <c r="FT8" s="296"/>
      <c r="FU8" s="296"/>
      <c r="FV8" s="296"/>
      <c r="FW8" s="296"/>
      <c r="FX8" s="296"/>
      <c r="FY8" s="296"/>
      <c r="FZ8" s="296"/>
      <c r="GA8" s="296"/>
      <c r="GB8" s="296"/>
      <c r="GC8" s="296"/>
      <c r="GD8" s="296"/>
      <c r="GE8" s="296"/>
      <c r="GF8" s="296"/>
      <c r="GG8" s="296"/>
      <c r="GH8" s="296"/>
      <c r="GI8" s="296"/>
      <c r="GJ8" s="296"/>
      <c r="GK8" s="296"/>
      <c r="GL8" s="296"/>
      <c r="GM8" s="296"/>
      <c r="GN8" s="296"/>
      <c r="GO8" s="296"/>
      <c r="GP8" s="296"/>
      <c r="GQ8" s="296"/>
      <c r="GR8" s="296"/>
      <c r="GS8" s="296"/>
      <c r="GT8" s="296"/>
      <c r="GU8" s="296"/>
      <c r="GV8" s="296"/>
      <c r="GW8" s="296"/>
      <c r="GX8" s="296"/>
      <c r="GY8" s="296"/>
      <c r="GZ8" s="296"/>
      <c r="HA8" s="296"/>
      <c r="HB8" s="296"/>
      <c r="HC8" s="296"/>
      <c r="HD8" s="296"/>
      <c r="HE8" s="296"/>
      <c r="HF8" s="296"/>
      <c r="HG8" s="296"/>
      <c r="HH8" s="296"/>
      <c r="HI8" s="296"/>
    </row>
    <row r="9" spans="1:217" ht="16.5" customHeight="1" thickTop="1" thickBot="1">
      <c r="A9" s="150"/>
      <c r="B9" s="150"/>
      <c r="C9" s="300" t="str">
        <f>'[3]Cental Budget_int'!C11</f>
        <v>BDP (u mil. €)</v>
      </c>
      <c r="D9" s="577">
        <f>'[3]Cental Budget_int'!D11</f>
        <v>2148900000</v>
      </c>
      <c r="E9" s="577" t="e">
        <f>'[3]Cental Budget_int'!E11</f>
        <v>#REF!</v>
      </c>
      <c r="F9" s="578">
        <f>'[3]Cental Budget_int'!F11</f>
        <v>2680500000</v>
      </c>
      <c r="G9" s="578" t="e">
        <f>'[3]Cental Budget_int'!G11</f>
        <v>#REF!</v>
      </c>
      <c r="H9" s="578">
        <f>'[3]Cental Budget_int'!H11</f>
        <v>3085600000</v>
      </c>
      <c r="I9" s="578" t="e">
        <f>'[3]Cental Budget_int'!I11</f>
        <v>#REF!</v>
      </c>
      <c r="J9" s="578">
        <f>'[3]Cental Budget_int'!J11</f>
        <v>2981000000</v>
      </c>
      <c r="K9" s="578" t="e">
        <f>'[3]Cental Budget_int'!K11</f>
        <v>#REF!</v>
      </c>
      <c r="L9" s="578">
        <f>'[3]Cental Budget_int'!L11</f>
        <v>3125000000</v>
      </c>
      <c r="M9" s="578" t="e">
        <f>'[3]Cental Budget_int'!M11</f>
        <v>#REF!</v>
      </c>
      <c r="N9" s="578">
        <f>'[3]Cental Budget_int'!N11</f>
        <v>3265000000</v>
      </c>
      <c r="O9" s="578" t="e">
        <f>'[3]Cental Budget_int'!O11</f>
        <v>#REF!</v>
      </c>
      <c r="P9" s="578">
        <f>'[3]Cental Budget_int'!P11</f>
        <v>3181000000</v>
      </c>
      <c r="Q9" s="578" t="e">
        <f>'[3]Cental Budget_int'!Q11</f>
        <v>#REF!</v>
      </c>
      <c r="R9" s="582">
        <f>'[3]Cental Budget_int'!R11</f>
        <v>3362000000</v>
      </c>
      <c r="S9" s="583"/>
      <c r="T9" s="582">
        <f>'[3]Cental Budget_int'!T11</f>
        <v>3457900000</v>
      </c>
      <c r="U9" s="583"/>
      <c r="V9" s="582">
        <f>+'Cental Budget'!V11:W11</f>
        <v>3655000000</v>
      </c>
      <c r="W9" s="583"/>
      <c r="X9" s="578">
        <f>+'Cental Budget'!X11</f>
        <v>3954200000</v>
      </c>
      <c r="Y9" s="578" t="e">
        <f>'[3]Cental Budget_int'!Y11</f>
        <v>#REF!</v>
      </c>
      <c r="Z9" s="578">
        <f>+'Cental Budget'!Z11</f>
        <v>4236500000</v>
      </c>
      <c r="AA9" s="578" t="e">
        <f>'[3]Cental Budget_int'!AA11</f>
        <v>#REF!</v>
      </c>
      <c r="AB9" s="511"/>
      <c r="AC9" s="511"/>
      <c r="AD9" s="511"/>
      <c r="AE9" s="511"/>
      <c r="AF9" s="511"/>
      <c r="AG9" s="511"/>
      <c r="AH9" s="511"/>
      <c r="AI9" s="511"/>
      <c r="AJ9" s="511"/>
      <c r="AK9" s="511"/>
      <c r="AL9" s="511"/>
      <c r="AM9" s="511"/>
      <c r="AN9" s="511"/>
      <c r="AO9" s="511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6"/>
      <c r="BY9" s="296"/>
      <c r="BZ9" s="296"/>
      <c r="CA9" s="296"/>
      <c r="CB9" s="296"/>
      <c r="CC9" s="296"/>
      <c r="CD9" s="296"/>
      <c r="CE9" s="296"/>
      <c r="CF9" s="296"/>
      <c r="CG9" s="296"/>
      <c r="CH9" s="296"/>
      <c r="CI9" s="296"/>
      <c r="CJ9" s="296"/>
      <c r="CK9" s="296"/>
      <c r="CL9" s="296"/>
      <c r="CM9" s="296"/>
      <c r="CN9" s="296"/>
      <c r="CO9" s="296"/>
      <c r="CP9" s="296"/>
      <c r="CQ9" s="296"/>
      <c r="CR9" s="296"/>
      <c r="CS9" s="296"/>
      <c r="CT9" s="296"/>
      <c r="CU9" s="296"/>
      <c r="CV9" s="296"/>
      <c r="CW9" s="296"/>
      <c r="CX9" s="296"/>
      <c r="CY9" s="296"/>
      <c r="CZ9" s="296"/>
      <c r="DA9" s="296"/>
      <c r="DB9" s="296"/>
      <c r="DC9" s="296"/>
      <c r="DD9" s="296"/>
      <c r="DE9" s="296"/>
      <c r="DF9" s="296"/>
      <c r="DG9" s="296"/>
      <c r="DH9" s="296"/>
      <c r="DI9" s="296"/>
      <c r="DJ9" s="296"/>
      <c r="DK9" s="296"/>
      <c r="DL9" s="296"/>
      <c r="DM9" s="296"/>
      <c r="DN9" s="296"/>
      <c r="DO9" s="296"/>
      <c r="DP9" s="296"/>
      <c r="DQ9" s="296"/>
      <c r="DR9" s="296"/>
      <c r="DS9" s="296"/>
      <c r="DT9" s="296"/>
      <c r="DU9" s="296"/>
      <c r="DV9" s="296"/>
      <c r="DW9" s="296"/>
      <c r="DX9" s="296"/>
      <c r="DY9" s="296"/>
      <c r="DZ9" s="296"/>
      <c r="EA9" s="296"/>
      <c r="EB9" s="296"/>
      <c r="EC9" s="296"/>
      <c r="ED9" s="296"/>
      <c r="EE9" s="296"/>
      <c r="EF9" s="296"/>
      <c r="EG9" s="296"/>
      <c r="EH9" s="296"/>
      <c r="EI9" s="296"/>
      <c r="EJ9" s="296"/>
      <c r="EK9" s="296"/>
      <c r="EL9" s="296"/>
      <c r="EM9" s="296"/>
      <c r="EN9" s="296"/>
      <c r="EO9" s="296"/>
      <c r="EP9" s="296"/>
      <c r="EQ9" s="296"/>
      <c r="ER9" s="296"/>
      <c r="ES9" s="296"/>
      <c r="ET9" s="296"/>
      <c r="EU9" s="296"/>
      <c r="EV9" s="296"/>
      <c r="EW9" s="296"/>
      <c r="EX9" s="296"/>
      <c r="EY9" s="296"/>
      <c r="EZ9" s="296"/>
      <c r="FA9" s="296"/>
      <c r="FB9" s="296"/>
      <c r="FC9" s="296"/>
      <c r="FD9" s="296"/>
      <c r="FE9" s="297"/>
      <c r="FF9" s="296"/>
      <c r="FG9" s="296"/>
      <c r="FH9" s="296"/>
      <c r="FI9" s="296"/>
      <c r="FJ9" s="296"/>
      <c r="FK9" s="296"/>
      <c r="FL9" s="296"/>
      <c r="FM9" s="296"/>
      <c r="FN9" s="296"/>
      <c r="FO9" s="296"/>
      <c r="FP9" s="296"/>
      <c r="FQ9" s="296"/>
      <c r="FR9" s="296"/>
      <c r="FS9" s="296"/>
      <c r="FT9" s="296"/>
      <c r="FU9" s="296"/>
      <c r="FV9" s="296"/>
      <c r="FW9" s="296"/>
      <c r="FX9" s="296"/>
      <c r="FY9" s="296"/>
      <c r="FZ9" s="296"/>
      <c r="GA9" s="296"/>
      <c r="GB9" s="296"/>
      <c r="GC9" s="296"/>
      <c r="GD9" s="296"/>
      <c r="GE9" s="296"/>
      <c r="GF9" s="296"/>
      <c r="GG9" s="296"/>
      <c r="GH9" s="296"/>
      <c r="GI9" s="296"/>
      <c r="GJ9" s="296"/>
      <c r="GK9" s="296"/>
      <c r="GL9" s="296"/>
      <c r="GM9" s="296"/>
      <c r="GN9" s="296"/>
      <c r="GO9" s="296"/>
      <c r="GP9" s="296"/>
      <c r="GQ9" s="296"/>
      <c r="GR9" s="296"/>
      <c r="GS9" s="296"/>
      <c r="GT9" s="296"/>
      <c r="GU9" s="296"/>
      <c r="GV9" s="296"/>
      <c r="GW9" s="296"/>
      <c r="GX9" s="296"/>
      <c r="GY9" s="296"/>
      <c r="GZ9" s="296"/>
      <c r="HA9" s="296"/>
      <c r="HB9" s="296"/>
      <c r="HC9" s="296"/>
      <c r="HD9" s="296"/>
      <c r="HE9" s="296"/>
      <c r="HF9" s="296"/>
      <c r="HG9" s="296"/>
      <c r="HH9" s="296"/>
      <c r="HI9" s="296"/>
    </row>
    <row r="10" spans="1:217" ht="16.5" customHeight="1" thickTop="1" thickBot="1">
      <c r="A10" s="150"/>
      <c r="B10" s="150"/>
      <c r="C10" s="302"/>
      <c r="D10" s="303"/>
      <c r="E10" s="303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511"/>
      <c r="AC10" s="511"/>
      <c r="AD10" s="511"/>
      <c r="AE10" s="511"/>
      <c r="AF10" s="511"/>
      <c r="AG10" s="511"/>
      <c r="AH10" s="511"/>
      <c r="AI10" s="511"/>
      <c r="AJ10" s="511"/>
      <c r="AK10" s="511"/>
      <c r="AL10" s="511"/>
      <c r="AM10" s="511"/>
      <c r="AN10" s="511"/>
      <c r="AO10" s="511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  <c r="BQ10" s="296"/>
      <c r="BR10" s="296"/>
      <c r="BS10" s="296"/>
      <c r="BT10" s="296"/>
      <c r="BU10" s="296"/>
      <c r="BV10" s="296"/>
      <c r="BW10" s="296"/>
      <c r="BX10" s="296"/>
      <c r="BY10" s="296"/>
      <c r="BZ10" s="296"/>
      <c r="CA10" s="296"/>
      <c r="CB10" s="296"/>
      <c r="CC10" s="296"/>
      <c r="CD10" s="296"/>
      <c r="CE10" s="296"/>
      <c r="CF10" s="296"/>
      <c r="CG10" s="296"/>
      <c r="CH10" s="296"/>
      <c r="CI10" s="296"/>
      <c r="CJ10" s="296"/>
      <c r="CK10" s="296"/>
      <c r="CL10" s="296"/>
      <c r="CM10" s="296"/>
      <c r="CN10" s="296"/>
      <c r="CO10" s="296"/>
      <c r="CP10" s="296"/>
      <c r="CQ10" s="296"/>
      <c r="CR10" s="296"/>
      <c r="CS10" s="296"/>
      <c r="CT10" s="296"/>
      <c r="CU10" s="296"/>
      <c r="CV10" s="296"/>
      <c r="CW10" s="296"/>
      <c r="CX10" s="296"/>
      <c r="CY10" s="296"/>
      <c r="CZ10" s="296"/>
      <c r="DA10" s="296"/>
      <c r="DB10" s="296"/>
      <c r="DC10" s="296"/>
      <c r="DD10" s="296"/>
      <c r="DE10" s="296"/>
      <c r="DF10" s="296"/>
      <c r="DG10" s="296"/>
      <c r="DH10" s="296"/>
      <c r="DI10" s="296"/>
      <c r="DJ10" s="296"/>
      <c r="DK10" s="296"/>
      <c r="DL10" s="296"/>
      <c r="DM10" s="296"/>
      <c r="DN10" s="296"/>
      <c r="DO10" s="296"/>
      <c r="DP10" s="296"/>
      <c r="DQ10" s="296"/>
      <c r="DR10" s="296"/>
      <c r="DS10" s="296"/>
      <c r="DT10" s="296"/>
      <c r="DU10" s="296"/>
      <c r="DV10" s="296"/>
      <c r="DW10" s="296"/>
      <c r="DX10" s="296"/>
      <c r="DY10" s="296"/>
      <c r="DZ10" s="296"/>
      <c r="EA10" s="296"/>
      <c r="EB10" s="296"/>
      <c r="EC10" s="296"/>
      <c r="ED10" s="296"/>
      <c r="EE10" s="296"/>
      <c r="EF10" s="296"/>
      <c r="EG10" s="296"/>
      <c r="EH10" s="296"/>
      <c r="EI10" s="296"/>
      <c r="EJ10" s="296"/>
      <c r="EK10" s="296"/>
      <c r="EL10" s="296"/>
      <c r="EM10" s="296"/>
      <c r="EN10" s="296"/>
      <c r="EO10" s="296"/>
      <c r="EP10" s="296"/>
      <c r="EQ10" s="296"/>
      <c r="ER10" s="296"/>
      <c r="ES10" s="296"/>
      <c r="ET10" s="296"/>
      <c r="EU10" s="296"/>
      <c r="EV10" s="296"/>
      <c r="EW10" s="296"/>
      <c r="EX10" s="296"/>
      <c r="EY10" s="296"/>
      <c r="EZ10" s="296"/>
      <c r="FA10" s="296"/>
      <c r="FB10" s="296"/>
      <c r="FC10" s="296"/>
      <c r="FD10" s="296"/>
      <c r="FE10" s="297"/>
      <c r="FF10" s="296"/>
      <c r="FG10" s="296"/>
      <c r="FH10" s="296"/>
      <c r="FI10" s="296"/>
      <c r="FJ10" s="296"/>
      <c r="FK10" s="296"/>
      <c r="FL10" s="296"/>
      <c r="FM10" s="296"/>
      <c r="FN10" s="296"/>
      <c r="FO10" s="296"/>
      <c r="FP10" s="296"/>
      <c r="FQ10" s="296"/>
      <c r="FR10" s="296"/>
      <c r="FS10" s="296"/>
      <c r="FT10" s="296"/>
      <c r="FU10" s="296"/>
      <c r="FV10" s="296"/>
      <c r="FW10" s="296"/>
      <c r="FX10" s="296"/>
      <c r="FY10" s="296"/>
      <c r="FZ10" s="296"/>
      <c r="GA10" s="296"/>
      <c r="GB10" s="296"/>
      <c r="GC10" s="296"/>
      <c r="GD10" s="296"/>
      <c r="GE10" s="296"/>
      <c r="GF10" s="296"/>
      <c r="GG10" s="296"/>
      <c r="GH10" s="296"/>
      <c r="GI10" s="296"/>
      <c r="GJ10" s="296"/>
      <c r="GK10" s="296"/>
      <c r="GL10" s="296"/>
      <c r="GM10" s="296"/>
      <c r="GN10" s="296"/>
      <c r="GO10" s="296"/>
      <c r="GP10" s="296"/>
      <c r="GQ10" s="296"/>
      <c r="GR10" s="296"/>
      <c r="GS10" s="296"/>
      <c r="GT10" s="296"/>
      <c r="GU10" s="296"/>
      <c r="GV10" s="296"/>
      <c r="GW10" s="296"/>
      <c r="GX10" s="296"/>
      <c r="GY10" s="296"/>
      <c r="GZ10" s="296"/>
      <c r="HA10" s="296"/>
      <c r="HB10" s="296"/>
      <c r="HC10" s="296"/>
      <c r="HD10" s="296"/>
      <c r="HE10" s="296"/>
      <c r="HF10" s="296"/>
      <c r="HG10" s="296"/>
      <c r="HH10" s="296"/>
      <c r="HI10" s="296"/>
    </row>
    <row r="11" spans="1:217" ht="17.25" customHeight="1" thickTop="1">
      <c r="A11" s="150"/>
      <c r="B11" s="151"/>
      <c r="C11" s="579" t="str">
        <f>IF([3]MasterSheet!$A$1=1,[3]MasterSheet!B258,[3]MasterSheet!B257)</f>
        <v>Javna potrošnja</v>
      </c>
      <c r="D11" s="581">
        <v>2006</v>
      </c>
      <c r="E11" s="581"/>
      <c r="F11" s="581">
        <v>2007</v>
      </c>
      <c r="G11" s="581"/>
      <c r="H11" s="581">
        <v>2008</v>
      </c>
      <c r="I11" s="581"/>
      <c r="J11" s="581">
        <v>2009</v>
      </c>
      <c r="K11" s="581"/>
      <c r="L11" s="581">
        <v>2010</v>
      </c>
      <c r="M11" s="581"/>
      <c r="N11" s="581">
        <v>2011</v>
      </c>
      <c r="O11" s="581"/>
      <c r="P11" s="581">
        <v>2012</v>
      </c>
      <c r="Q11" s="581"/>
      <c r="R11" s="581">
        <v>2013</v>
      </c>
      <c r="S11" s="581"/>
      <c r="T11" s="581">
        <v>2014</v>
      </c>
      <c r="U11" s="581"/>
      <c r="V11" s="581">
        <v>2015</v>
      </c>
      <c r="W11" s="581"/>
      <c r="X11" s="581">
        <v>2016</v>
      </c>
      <c r="Y11" s="581"/>
      <c r="Z11" s="581">
        <v>2017</v>
      </c>
      <c r="AA11" s="581"/>
      <c r="AB11" s="511"/>
      <c r="AC11" s="511"/>
      <c r="AD11" s="511"/>
      <c r="AE11" s="511"/>
      <c r="AF11" s="511"/>
      <c r="AG11" s="511"/>
      <c r="AH11" s="511"/>
      <c r="AI11" s="511"/>
      <c r="AJ11" s="511"/>
      <c r="AK11" s="511"/>
      <c r="AL11" s="511"/>
      <c r="AM11" s="511"/>
      <c r="AN11" s="511"/>
      <c r="AO11" s="511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  <c r="BI11" s="296"/>
      <c r="BJ11" s="296"/>
      <c r="BK11" s="296"/>
      <c r="BL11" s="296"/>
      <c r="BM11" s="296"/>
      <c r="BN11" s="296"/>
      <c r="BO11" s="296"/>
      <c r="BP11" s="296"/>
      <c r="BQ11" s="296"/>
      <c r="BR11" s="296"/>
      <c r="BS11" s="296"/>
      <c r="BT11" s="296"/>
      <c r="BU11" s="296"/>
      <c r="BV11" s="296"/>
      <c r="BW11" s="296"/>
      <c r="BX11" s="296"/>
      <c r="BY11" s="296"/>
      <c r="BZ11" s="296"/>
      <c r="CA11" s="296"/>
      <c r="CB11" s="296"/>
      <c r="CC11" s="296"/>
      <c r="CD11" s="296"/>
      <c r="CE11" s="296"/>
      <c r="CF11" s="296"/>
      <c r="CG11" s="296"/>
      <c r="CH11" s="296"/>
      <c r="CI11" s="296"/>
      <c r="CJ11" s="296"/>
      <c r="CK11" s="296"/>
      <c r="CL11" s="296"/>
      <c r="CM11" s="296"/>
      <c r="CN11" s="296"/>
      <c r="CO11" s="296"/>
      <c r="CP11" s="296"/>
      <c r="CQ11" s="296"/>
      <c r="CR11" s="296"/>
      <c r="CS11" s="296"/>
      <c r="CT11" s="296"/>
      <c r="CU11" s="296"/>
      <c r="CV11" s="296"/>
      <c r="CW11" s="296"/>
      <c r="CX11" s="296"/>
      <c r="CY11" s="296"/>
      <c r="CZ11" s="296"/>
      <c r="DA11" s="296"/>
      <c r="DB11" s="296"/>
      <c r="DC11" s="296"/>
      <c r="DD11" s="296"/>
      <c r="DE11" s="296"/>
      <c r="DF11" s="296"/>
      <c r="DG11" s="296"/>
      <c r="DH11" s="296"/>
      <c r="DI11" s="296"/>
      <c r="DJ11" s="296"/>
      <c r="DK11" s="296"/>
      <c r="DL11" s="296"/>
      <c r="DM11" s="296"/>
      <c r="DN11" s="296"/>
      <c r="DO11" s="296"/>
      <c r="DP11" s="296"/>
      <c r="DQ11" s="296"/>
      <c r="DR11" s="296"/>
      <c r="DS11" s="296"/>
      <c r="DT11" s="296"/>
      <c r="DU11" s="296"/>
      <c r="DV11" s="296"/>
      <c r="DW11" s="296"/>
      <c r="DX11" s="296"/>
      <c r="DY11" s="296"/>
      <c r="DZ11" s="296"/>
      <c r="EA11" s="296"/>
      <c r="EB11" s="296"/>
      <c r="EC11" s="296"/>
      <c r="ED11" s="296"/>
      <c r="EE11" s="296"/>
      <c r="EF11" s="296"/>
      <c r="EG11" s="296"/>
      <c r="EH11" s="296"/>
      <c r="EI11" s="296"/>
      <c r="EJ11" s="296"/>
      <c r="EK11" s="296"/>
      <c r="EL11" s="296"/>
      <c r="EM11" s="296"/>
      <c r="EN11" s="296"/>
      <c r="EO11" s="296"/>
      <c r="EP11" s="296"/>
      <c r="EQ11" s="296"/>
      <c r="ER11" s="296"/>
      <c r="ES11" s="296"/>
      <c r="ET11" s="296"/>
      <c r="EU11" s="296"/>
      <c r="EV11" s="296"/>
      <c r="EW11" s="296"/>
      <c r="EX11" s="296"/>
      <c r="EY11" s="296"/>
      <c r="EZ11" s="296"/>
      <c r="FA11" s="296"/>
      <c r="FB11" s="296"/>
      <c r="FC11" s="296"/>
      <c r="FD11" s="296"/>
      <c r="FE11" s="297"/>
      <c r="FF11" s="296"/>
      <c r="FG11" s="296"/>
      <c r="FH11" s="296"/>
      <c r="FI11" s="296"/>
      <c r="FJ11" s="296"/>
      <c r="FK11" s="296"/>
      <c r="FL11" s="296"/>
      <c r="FM11" s="296"/>
      <c r="FN11" s="296"/>
      <c r="FO11" s="296"/>
      <c r="FP11" s="296"/>
      <c r="FQ11" s="296"/>
      <c r="FR11" s="296"/>
      <c r="FS11" s="296"/>
      <c r="FT11" s="296"/>
      <c r="FU11" s="296"/>
      <c r="FV11" s="296"/>
      <c r="FW11" s="296"/>
      <c r="FX11" s="296"/>
      <c r="FY11" s="296"/>
      <c r="FZ11" s="296"/>
      <c r="GA11" s="296"/>
      <c r="GB11" s="296"/>
      <c r="GC11" s="296"/>
      <c r="GD11" s="296"/>
      <c r="GE11" s="296"/>
      <c r="GF11" s="296"/>
      <c r="GG11" s="296"/>
      <c r="GH11" s="296"/>
      <c r="GI11" s="296"/>
      <c r="GJ11" s="296"/>
      <c r="GK11" s="296"/>
      <c r="GL11" s="296"/>
      <c r="GM11" s="296"/>
      <c r="GN11" s="296"/>
      <c r="GO11" s="296"/>
      <c r="GP11" s="296"/>
      <c r="GQ11" s="296"/>
      <c r="GR11" s="296"/>
      <c r="GS11" s="296"/>
      <c r="GT11" s="296"/>
      <c r="GU11" s="296"/>
      <c r="GV11" s="296"/>
      <c r="GW11" s="296"/>
      <c r="GX11" s="296"/>
      <c r="GY11" s="296"/>
      <c r="GZ11" s="296"/>
      <c r="HA11" s="296"/>
      <c r="HB11" s="296"/>
      <c r="HC11" s="296"/>
      <c r="HD11" s="296"/>
      <c r="HE11" s="296"/>
      <c r="HF11" s="296"/>
      <c r="HG11" s="296"/>
      <c r="HH11" s="296"/>
      <c r="HI11" s="296"/>
    </row>
    <row r="12" spans="1:217" ht="16.5" customHeight="1" thickBot="1">
      <c r="A12" s="150"/>
      <c r="B12" s="150"/>
      <c r="C12" s="580"/>
      <c r="D12" s="305" t="str">
        <f>IF([3]MasterSheet!$A$1=1,[3]MasterSheet!C258,[3]MasterSheet!C257)</f>
        <v>mil. €</v>
      </c>
      <c r="E12" s="306" t="str">
        <f>IF([3]MasterSheet!$A$1=1,[3]MasterSheet!D258,[3]MasterSheet!D257)</f>
        <v xml:space="preserve"> % BDP</v>
      </c>
      <c r="F12" s="305" t="str">
        <f>IF([3]MasterSheet!$A$1=1,[3]MasterSheet!E258,[3]MasterSheet!E257)</f>
        <v>mil. €</v>
      </c>
      <c r="G12" s="306" t="str">
        <f>IF([3]MasterSheet!$A$1=1,[3]MasterSheet!F258,[3]MasterSheet!F257)</f>
        <v xml:space="preserve"> % BDP</v>
      </c>
      <c r="H12" s="305" t="str">
        <f>IF([3]MasterSheet!$A$1=1,[3]MasterSheet!G258,[3]MasterSheet!G257)</f>
        <v>mil. €</v>
      </c>
      <c r="I12" s="306" t="str">
        <f>IF([3]MasterSheet!$A$1=1,[3]MasterSheet!H258,[3]MasterSheet!H257)</f>
        <v xml:space="preserve"> % BDP</v>
      </c>
      <c r="J12" s="307" t="str">
        <f>IF([3]MasterSheet!$A$1=1,[3]MasterSheet!I258,[3]MasterSheet!I257)</f>
        <v>mil. €</v>
      </c>
      <c r="K12" s="307" t="str">
        <f>IF([3]MasterSheet!$A$1=1,[3]MasterSheet!J258,[3]MasterSheet!J257)</f>
        <v xml:space="preserve"> % BDP</v>
      </c>
      <c r="L12" s="305" t="str">
        <f>IF([3]MasterSheet!$A$1=1,[3]MasterSheet!K258,[3]MasterSheet!K257)</f>
        <v>mil. €</v>
      </c>
      <c r="M12" s="306" t="str">
        <f>IF([3]MasterSheet!$A$1=1,[3]MasterSheet!L258,[3]MasterSheet!L257)</f>
        <v xml:space="preserve"> % BDP</v>
      </c>
      <c r="N12" s="305" t="str">
        <f>IF([3]MasterSheet!$A$1=1,[3]MasterSheet!M258,[3]MasterSheet!M257)</f>
        <v>mil. €</v>
      </c>
      <c r="O12" s="306" t="str">
        <f>IF([3]MasterSheet!$A$1=1,[3]MasterSheet!N258,[3]MasterSheet!N257)</f>
        <v xml:space="preserve"> % BDP</v>
      </c>
      <c r="P12" s="305" t="str">
        <f>IF([3]MasterSheet!$A$1=1,[3]MasterSheet!O258,[3]MasterSheet!O257)</f>
        <v>mil. €</v>
      </c>
      <c r="Q12" s="306" t="str">
        <f>IF([3]MasterSheet!$A$1=1,[3]MasterSheet!P258,[3]MasterSheet!P257)</f>
        <v xml:space="preserve"> % BDP</v>
      </c>
      <c r="R12" s="305" t="str">
        <f>IF([3]MasterSheet!$A$1=1,[3]MasterSheet!Q258,[3]MasterSheet!Q257)</f>
        <v>mil. €</v>
      </c>
      <c r="S12" s="306" t="str">
        <f>IF([3]MasterSheet!$A$1=1,[3]MasterSheet!R258,[3]MasterSheet!R257)</f>
        <v xml:space="preserve"> % BDP</v>
      </c>
      <c r="T12" s="305" t="str">
        <f>IF([3]MasterSheet!$A$1=1,[3]MasterSheet!S258,[3]MasterSheet!S257)</f>
        <v>mil. €</v>
      </c>
      <c r="U12" s="306" t="str">
        <f>IF([3]MasterSheet!$A$1=1,[3]MasterSheet!T258,[3]MasterSheet!T257)</f>
        <v xml:space="preserve"> % BDP</v>
      </c>
      <c r="V12" s="305" t="str">
        <f>IF([3]MasterSheet!$A$1=1,[3]MasterSheet!U258,[3]MasterSheet!U257)</f>
        <v>mil. €</v>
      </c>
      <c r="W12" s="306" t="str">
        <f>IF([3]MasterSheet!$A$1=1,[3]MasterSheet!V258,[3]MasterSheet!V257)</f>
        <v xml:space="preserve"> % BDP</v>
      </c>
      <c r="X12" s="305" t="s">
        <v>415</v>
      </c>
      <c r="Y12" s="306" t="s">
        <v>149</v>
      </c>
      <c r="Z12" s="305" t="s">
        <v>415</v>
      </c>
      <c r="AA12" s="306" t="s">
        <v>149</v>
      </c>
      <c r="AB12" s="511"/>
      <c r="AC12" s="511"/>
      <c r="AD12" s="511"/>
      <c r="AE12" s="511"/>
      <c r="AF12" s="511"/>
      <c r="AG12" s="511"/>
      <c r="AH12" s="511"/>
      <c r="AI12" s="511"/>
      <c r="AJ12" s="511"/>
      <c r="AK12" s="511"/>
      <c r="AL12" s="511"/>
      <c r="AM12" s="511"/>
      <c r="AN12" s="511"/>
      <c r="AO12" s="511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296"/>
      <c r="BB12" s="296"/>
      <c r="BC12" s="296"/>
      <c r="BD12" s="296"/>
      <c r="BE12" s="296"/>
      <c r="BF12" s="296"/>
      <c r="BG12" s="296"/>
      <c r="BH12" s="296"/>
      <c r="BI12" s="296"/>
      <c r="BJ12" s="296"/>
      <c r="BK12" s="296"/>
      <c r="BL12" s="296"/>
      <c r="BM12" s="296"/>
      <c r="BN12" s="296"/>
      <c r="BO12" s="296"/>
      <c r="BP12" s="296"/>
      <c r="BQ12" s="296"/>
      <c r="BR12" s="296"/>
      <c r="BS12" s="296"/>
      <c r="BT12" s="296"/>
      <c r="BU12" s="296"/>
      <c r="BV12" s="296"/>
      <c r="BW12" s="296"/>
      <c r="BX12" s="296"/>
      <c r="BY12" s="296"/>
      <c r="BZ12" s="296"/>
      <c r="CA12" s="296"/>
      <c r="CB12" s="296"/>
      <c r="CC12" s="296"/>
      <c r="CD12" s="296"/>
      <c r="CE12" s="296"/>
      <c r="CF12" s="296"/>
      <c r="CG12" s="296"/>
      <c r="CH12" s="296"/>
      <c r="CI12" s="296"/>
      <c r="CJ12" s="296"/>
      <c r="CK12" s="296"/>
      <c r="CL12" s="296"/>
      <c r="CM12" s="296"/>
      <c r="CN12" s="296"/>
      <c r="CO12" s="296"/>
      <c r="CP12" s="296"/>
      <c r="CQ12" s="296"/>
      <c r="CR12" s="296"/>
      <c r="CS12" s="296"/>
      <c r="CT12" s="296"/>
      <c r="CU12" s="296"/>
      <c r="CV12" s="296"/>
      <c r="CW12" s="296"/>
      <c r="CX12" s="296"/>
      <c r="CY12" s="296"/>
      <c r="CZ12" s="296"/>
      <c r="DA12" s="296"/>
      <c r="DB12" s="296"/>
      <c r="DC12" s="296"/>
      <c r="DD12" s="296"/>
      <c r="DE12" s="296"/>
      <c r="DF12" s="296"/>
      <c r="DG12" s="296"/>
      <c r="DH12" s="296"/>
      <c r="DI12" s="296"/>
      <c r="DJ12" s="296"/>
      <c r="DK12" s="296"/>
      <c r="DL12" s="296"/>
      <c r="DM12" s="296"/>
      <c r="DN12" s="296"/>
      <c r="DO12" s="296"/>
      <c r="DP12" s="296"/>
      <c r="DQ12" s="296"/>
      <c r="DR12" s="296"/>
      <c r="DS12" s="296"/>
      <c r="DT12" s="296"/>
      <c r="DU12" s="296"/>
      <c r="DV12" s="296"/>
      <c r="DW12" s="296"/>
      <c r="DX12" s="296"/>
      <c r="DY12" s="296"/>
      <c r="DZ12" s="296"/>
      <c r="EA12" s="296"/>
      <c r="EB12" s="296"/>
      <c r="EC12" s="296"/>
      <c r="ED12" s="296"/>
      <c r="EE12" s="296"/>
      <c r="EF12" s="296"/>
      <c r="EG12" s="296"/>
      <c r="EH12" s="296"/>
      <c r="EI12" s="296"/>
      <c r="EJ12" s="296"/>
      <c r="EK12" s="296"/>
      <c r="EL12" s="296"/>
      <c r="EM12" s="296"/>
      <c r="EN12" s="296"/>
      <c r="EO12" s="296"/>
      <c r="EP12" s="296"/>
      <c r="EQ12" s="296"/>
      <c r="ER12" s="296"/>
      <c r="ES12" s="296"/>
      <c r="ET12" s="296"/>
      <c r="EU12" s="296"/>
      <c r="EV12" s="296"/>
      <c r="EW12" s="296"/>
      <c r="EX12" s="296"/>
      <c r="EY12" s="296"/>
      <c r="EZ12" s="296"/>
      <c r="FA12" s="296"/>
      <c r="FB12" s="296"/>
      <c r="FC12" s="296"/>
      <c r="FD12" s="296"/>
      <c r="FE12" s="297"/>
      <c r="FF12" s="296"/>
      <c r="FG12" s="296"/>
      <c r="FH12" s="296"/>
      <c r="FI12" s="296"/>
      <c r="FJ12" s="296"/>
      <c r="FK12" s="296"/>
      <c r="FL12" s="296"/>
      <c r="FM12" s="296"/>
      <c r="FN12" s="296"/>
      <c r="FO12" s="296"/>
      <c r="FP12" s="296"/>
      <c r="FQ12" s="296"/>
      <c r="FR12" s="296"/>
      <c r="FS12" s="296"/>
      <c r="FT12" s="296"/>
      <c r="FU12" s="296"/>
      <c r="FV12" s="296"/>
      <c r="FW12" s="296"/>
      <c r="FX12" s="296"/>
      <c r="FY12" s="296"/>
      <c r="FZ12" s="296"/>
      <c r="GA12" s="296"/>
      <c r="GB12" s="296"/>
      <c r="GC12" s="296"/>
      <c r="GD12" s="296"/>
      <c r="GE12" s="296"/>
      <c r="GF12" s="296"/>
      <c r="GG12" s="296"/>
      <c r="GH12" s="296"/>
      <c r="GI12" s="296"/>
      <c r="GJ12" s="296"/>
      <c r="GK12" s="296"/>
      <c r="GL12" s="296"/>
      <c r="GM12" s="296"/>
      <c r="GN12" s="296"/>
      <c r="GO12" s="296"/>
      <c r="GP12" s="296"/>
      <c r="GQ12" s="296"/>
      <c r="GR12" s="296"/>
      <c r="GS12" s="296"/>
      <c r="GT12" s="296"/>
      <c r="GU12" s="296"/>
      <c r="GV12" s="296"/>
      <c r="GW12" s="296"/>
      <c r="GX12" s="296"/>
      <c r="GY12" s="296"/>
      <c r="GZ12" s="296"/>
      <c r="HA12" s="296"/>
      <c r="HB12" s="296"/>
      <c r="HC12" s="296"/>
      <c r="HD12" s="296"/>
      <c r="HE12" s="296"/>
      <c r="HF12" s="296"/>
      <c r="HG12" s="296"/>
      <c r="HH12" s="296"/>
      <c r="HI12" s="296"/>
    </row>
    <row r="13" spans="1:217" ht="15" customHeight="1" thickTop="1" thickBot="1">
      <c r="A13" s="150"/>
      <c r="B13" s="150"/>
      <c r="C13" s="308" t="str">
        <f>IF([3]MasterSheet!$A$1=1,[3]MasterSheet!C259,[3]MasterSheet!B259)</f>
        <v>Izvorni prihodi</v>
      </c>
      <c r="D13" s="309">
        <f>D14+D23+SUM(D28:D31)</f>
        <v>980262233.06999969</v>
      </c>
      <c r="E13" s="310">
        <f>+D13/$D$9*100</f>
        <v>45.616931130811103</v>
      </c>
      <c r="F13" s="309">
        <f>F14+F23+SUM(F28:F31)</f>
        <v>1325688706.78</v>
      </c>
      <c r="G13" s="310">
        <f t="shared" ref="G13:G51" si="0">+F13/$F$9*100</f>
        <v>49.456769512404399</v>
      </c>
      <c r="H13" s="309">
        <f>H14+H23+SUM(H28:H31)</f>
        <v>1546980526.29</v>
      </c>
      <c r="I13" s="310">
        <f t="shared" ref="I13:I51" si="1">+H13/$H$9*100</f>
        <v>50.135485036621731</v>
      </c>
      <c r="J13" s="309">
        <f>J14+J23+SUM(J28:J31)</f>
        <v>1352965211.46</v>
      </c>
      <c r="K13" s="310">
        <f t="shared" ref="K13:K51" si="2">+J13/$J$9*100</f>
        <v>45.386286865481381</v>
      </c>
      <c r="L13" s="309">
        <f>L14+L23+SUM(L28:L31)</f>
        <v>1314152154.2360001</v>
      </c>
      <c r="M13" s="310">
        <f t="shared" ref="M13:M51" si="3">+L13/$L$9*100</f>
        <v>42.052868935551999</v>
      </c>
      <c r="N13" s="309">
        <f>N14+N23+SUM(N28:N31)</f>
        <v>1285074777.0499997</v>
      </c>
      <c r="O13" s="310">
        <f t="shared" ref="O13:O51" si="4">+N13/$N$9*100</f>
        <v>39.359104963246544</v>
      </c>
      <c r="P13" s="309">
        <f>P14+P23+SUM(P28:P31)</f>
        <v>1299905501.3633332</v>
      </c>
      <c r="Q13" s="310">
        <f t="shared" ref="Q13:Q51" si="5">+P13/P$9*100</f>
        <v>40.864680960808968</v>
      </c>
      <c r="R13" s="309">
        <f>R14+R23+SUM(R28:R32)</f>
        <v>1431898677.03</v>
      </c>
      <c r="S13" s="310">
        <f>+R13/R$9*100</f>
        <v>42.590680458953003</v>
      </c>
      <c r="T13" s="309">
        <f>T14+T23+SUM(T28:T32)</f>
        <v>1549805242.8399999</v>
      </c>
      <c r="U13" s="310">
        <f>+T13/T$9*100</f>
        <v>44.81926148355938</v>
      </c>
      <c r="V13" s="309">
        <f>V14+V23+SUM(V28:V32)</f>
        <v>1525811584.8280001</v>
      </c>
      <c r="W13" s="311">
        <f>+V13/V$9*100</f>
        <v>41.745870993926133</v>
      </c>
      <c r="X13" s="309">
        <f>X14+X23+SUM(X28:X32)</f>
        <v>1684248684.9300001</v>
      </c>
      <c r="Y13" s="310">
        <f t="shared" ref="Y13:Y32" si="6">+X13/X$9*100</f>
        <v>42.593917478377428</v>
      </c>
      <c r="Z13" s="309">
        <f>Z14+Z23+SUM(Z28:Z32)</f>
        <v>1785392407.1099999</v>
      </c>
      <c r="AA13" s="310">
        <f t="shared" ref="AA13:AA32" si="7">+Z13/Z$9*100</f>
        <v>42.143099424288913</v>
      </c>
      <c r="AB13" s="513"/>
      <c r="AC13" s="513"/>
      <c r="AD13" s="511"/>
      <c r="AE13" s="511"/>
      <c r="AF13" s="511"/>
      <c r="AG13" s="511"/>
      <c r="AH13" s="511"/>
      <c r="AI13" s="511"/>
      <c r="AJ13" s="511"/>
      <c r="AK13" s="511"/>
      <c r="AL13" s="511"/>
      <c r="AM13" s="511"/>
      <c r="AN13" s="511"/>
      <c r="AO13" s="511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6"/>
      <c r="BS13" s="296"/>
      <c r="BT13" s="296"/>
      <c r="BU13" s="296"/>
      <c r="BV13" s="296"/>
      <c r="BW13" s="296"/>
      <c r="BX13" s="296"/>
      <c r="BY13" s="296"/>
      <c r="BZ13" s="296"/>
      <c r="CA13" s="296"/>
      <c r="CB13" s="296"/>
      <c r="CC13" s="296"/>
      <c r="CD13" s="296"/>
      <c r="CE13" s="296"/>
      <c r="CF13" s="296"/>
      <c r="CG13" s="296"/>
      <c r="CH13" s="296"/>
      <c r="CI13" s="296"/>
      <c r="CJ13" s="296"/>
      <c r="CK13" s="296"/>
      <c r="CL13" s="296"/>
      <c r="CM13" s="296"/>
      <c r="CN13" s="296"/>
      <c r="CO13" s="296"/>
      <c r="CP13" s="296"/>
      <c r="CQ13" s="296"/>
      <c r="CR13" s="296"/>
      <c r="CS13" s="296"/>
      <c r="CT13" s="296"/>
      <c r="CU13" s="296"/>
      <c r="CV13" s="296"/>
      <c r="CW13" s="296"/>
      <c r="CX13" s="296"/>
      <c r="CY13" s="296"/>
      <c r="CZ13" s="296"/>
      <c r="DA13" s="296"/>
      <c r="DB13" s="296"/>
      <c r="DC13" s="296"/>
      <c r="DD13" s="296"/>
      <c r="DE13" s="296"/>
      <c r="DF13" s="296"/>
      <c r="DG13" s="296"/>
      <c r="DH13" s="296"/>
      <c r="DI13" s="296"/>
      <c r="DJ13" s="296"/>
      <c r="DK13" s="296"/>
      <c r="DL13" s="296"/>
      <c r="DM13" s="296"/>
      <c r="DN13" s="296"/>
      <c r="DO13" s="296"/>
      <c r="DP13" s="296"/>
      <c r="DQ13" s="296"/>
      <c r="DR13" s="296"/>
      <c r="DS13" s="296"/>
      <c r="DT13" s="296"/>
      <c r="DU13" s="296"/>
      <c r="DV13" s="296"/>
      <c r="DW13" s="296"/>
      <c r="DX13" s="296"/>
      <c r="DY13" s="296"/>
      <c r="DZ13" s="296"/>
      <c r="EA13" s="296"/>
      <c r="EB13" s="296"/>
      <c r="EC13" s="296"/>
      <c r="ED13" s="296"/>
      <c r="EE13" s="296"/>
      <c r="EF13" s="296"/>
      <c r="EG13" s="296"/>
      <c r="EH13" s="296"/>
      <c r="EI13" s="296"/>
      <c r="EJ13" s="296"/>
      <c r="EK13" s="296"/>
      <c r="EL13" s="296"/>
      <c r="EM13" s="296"/>
      <c r="EN13" s="296"/>
      <c r="EO13" s="296"/>
      <c r="EP13" s="296"/>
      <c r="EQ13" s="296"/>
      <c r="ER13" s="296"/>
      <c r="ES13" s="296"/>
      <c r="ET13" s="296"/>
      <c r="EU13" s="312"/>
      <c r="EV13" s="296"/>
      <c r="EW13" s="296"/>
      <c r="EX13" s="296"/>
      <c r="EY13" s="296"/>
      <c r="EZ13" s="296"/>
      <c r="FA13" s="296"/>
      <c r="FB13" s="296"/>
      <c r="FC13" s="296"/>
      <c r="FD13" s="296"/>
      <c r="FE13" s="297"/>
      <c r="FF13" s="296"/>
      <c r="FG13" s="296"/>
      <c r="FH13" s="296"/>
      <c r="FI13" s="296"/>
      <c r="FJ13" s="296"/>
      <c r="FK13" s="296"/>
      <c r="FL13" s="296"/>
      <c r="FM13" s="296"/>
      <c r="FN13" s="296"/>
      <c r="FO13" s="296"/>
      <c r="FP13" s="296"/>
      <c r="FQ13" s="296"/>
      <c r="FR13" s="296"/>
      <c r="FS13" s="296"/>
      <c r="FT13" s="296"/>
      <c r="FU13" s="296"/>
      <c r="FV13" s="296"/>
      <c r="FW13" s="296"/>
      <c r="FX13" s="296"/>
      <c r="FY13" s="296"/>
      <c r="FZ13" s="296"/>
      <c r="GA13" s="296"/>
      <c r="GB13" s="296"/>
      <c r="GC13" s="296"/>
      <c r="GD13" s="296"/>
      <c r="GE13" s="296"/>
      <c r="GF13" s="296"/>
      <c r="GG13" s="296"/>
      <c r="GH13" s="296"/>
      <c r="GI13" s="296"/>
      <c r="GJ13" s="296"/>
      <c r="GK13" s="296"/>
      <c r="GL13" s="296"/>
      <c r="GM13" s="296"/>
      <c r="GN13" s="296"/>
      <c r="GO13" s="296"/>
      <c r="GP13" s="296"/>
      <c r="GQ13" s="296"/>
      <c r="GR13" s="296"/>
      <c r="GS13" s="296"/>
      <c r="GT13" s="296"/>
      <c r="GU13" s="296"/>
      <c r="GV13" s="296"/>
      <c r="GW13" s="296"/>
      <c r="GX13" s="296"/>
      <c r="GY13" s="296"/>
      <c r="GZ13" s="296"/>
      <c r="HA13" s="296"/>
      <c r="HB13" s="296"/>
      <c r="HC13" s="296"/>
      <c r="HD13" s="296"/>
      <c r="HE13" s="296"/>
      <c r="HF13" s="296"/>
      <c r="HG13" s="296"/>
      <c r="HH13" s="296"/>
      <c r="HI13" s="296"/>
    </row>
    <row r="14" spans="1:217" ht="15" customHeight="1" thickTop="1">
      <c r="A14" s="150"/>
      <c r="B14" s="150"/>
      <c r="C14" s="313" t="str">
        <f>IF([3]MasterSheet!$A$1=1,[3]MasterSheet!C260,[3]MasterSheet!B260)</f>
        <v>Porezi</v>
      </c>
      <c r="D14" s="314">
        <f>SUM(D15:D22)</f>
        <v>554531683.49999976</v>
      </c>
      <c r="E14" s="315">
        <f t="shared" ref="E14:E51" si="8">+D14/$D$9*100</f>
        <v>25.805374075108183</v>
      </c>
      <c r="F14" s="314">
        <f>SUM(F15:F22)</f>
        <v>782946165.35000002</v>
      </c>
      <c r="G14" s="315">
        <f t="shared" si="0"/>
        <v>29.20895972206678</v>
      </c>
      <c r="H14" s="314">
        <f>SUM(H15:H22)</f>
        <v>922256952.19000006</v>
      </c>
      <c r="I14" s="315">
        <f t="shared" si="1"/>
        <v>29.889063786297644</v>
      </c>
      <c r="J14" s="314">
        <f>SUM(J15:J22)</f>
        <v>795656504.07000005</v>
      </c>
      <c r="K14" s="315">
        <f t="shared" si="2"/>
        <v>26.690926000335459</v>
      </c>
      <c r="L14" s="314">
        <f>SUM(L15:L22)</f>
        <v>757055907.19000006</v>
      </c>
      <c r="M14" s="315">
        <f t="shared" si="3"/>
        <v>24.225789030080001</v>
      </c>
      <c r="N14" s="314">
        <f>SUM(N15:N22)</f>
        <v>794524489.61999989</v>
      </c>
      <c r="O14" s="315">
        <f t="shared" si="4"/>
        <v>24.334593862787131</v>
      </c>
      <c r="P14" s="314">
        <f>SUM(P15:P22)</f>
        <v>785991110.5333333</v>
      </c>
      <c r="Q14" s="315">
        <f t="shared" si="5"/>
        <v>24.708931484858009</v>
      </c>
      <c r="R14" s="314">
        <f>SUM(R15:R22)</f>
        <v>863515765.85000002</v>
      </c>
      <c r="S14" s="315">
        <f t="shared" ref="S14:S71" si="9">+R14/R$9*100</f>
        <v>25.684585539857231</v>
      </c>
      <c r="T14" s="314">
        <f>SUM(T15:T22)</f>
        <v>950116518.19000006</v>
      </c>
      <c r="U14" s="315">
        <f t="shared" ref="U14:U71" si="10">+T14/T$9*100</f>
        <v>27.476691581306572</v>
      </c>
      <c r="V14" s="314">
        <f>SUM(V15:V22)</f>
        <v>925573053.77799988</v>
      </c>
      <c r="W14" s="316">
        <f t="shared" ref="W14:W71" si="11">+V14/V$9*100</f>
        <v>25.323476163556769</v>
      </c>
      <c r="X14" s="314">
        <f>SUM(X15:X22)</f>
        <v>1012752250.3000001</v>
      </c>
      <c r="Y14" s="315">
        <f t="shared" si="6"/>
        <v>25.612064394820699</v>
      </c>
      <c r="Z14" s="314">
        <f>SUM(Z15:Z22)</f>
        <v>1104352042.8699999</v>
      </c>
      <c r="AA14" s="315">
        <f t="shared" si="7"/>
        <v>26.067556777292573</v>
      </c>
      <c r="AB14" s="513"/>
      <c r="AC14" s="513"/>
      <c r="AD14" s="511"/>
      <c r="AE14" s="511"/>
      <c r="AF14" s="511"/>
      <c r="AG14" s="511"/>
      <c r="AH14" s="511"/>
      <c r="AI14" s="511"/>
      <c r="AJ14" s="511"/>
      <c r="AK14" s="511"/>
      <c r="AL14" s="511"/>
      <c r="AM14" s="511"/>
      <c r="AN14" s="511"/>
      <c r="AO14" s="511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6"/>
      <c r="BK14" s="296"/>
      <c r="BL14" s="296"/>
      <c r="BM14" s="296"/>
      <c r="BN14" s="296"/>
      <c r="BO14" s="296"/>
      <c r="BP14" s="296"/>
      <c r="BQ14" s="296"/>
      <c r="BR14" s="296"/>
      <c r="BS14" s="296"/>
      <c r="BT14" s="296"/>
      <c r="BU14" s="296"/>
      <c r="BV14" s="296"/>
      <c r="BW14" s="296"/>
      <c r="BX14" s="296"/>
      <c r="BY14" s="296"/>
      <c r="BZ14" s="296"/>
      <c r="CA14" s="296"/>
      <c r="CB14" s="296"/>
      <c r="CC14" s="296"/>
      <c r="CD14" s="296"/>
      <c r="CE14" s="296"/>
      <c r="CF14" s="296"/>
      <c r="CG14" s="296"/>
      <c r="CH14" s="296"/>
      <c r="CI14" s="296"/>
      <c r="CJ14" s="296"/>
      <c r="CK14" s="296"/>
      <c r="CL14" s="296"/>
      <c r="CM14" s="296"/>
      <c r="CN14" s="296"/>
      <c r="CO14" s="296"/>
      <c r="CP14" s="296"/>
      <c r="CQ14" s="296"/>
      <c r="CR14" s="296"/>
      <c r="CS14" s="296"/>
      <c r="CT14" s="296"/>
      <c r="CU14" s="296"/>
      <c r="CV14" s="296"/>
      <c r="CW14" s="296"/>
      <c r="CX14" s="296"/>
      <c r="CY14" s="296"/>
      <c r="CZ14" s="296"/>
      <c r="DA14" s="296"/>
      <c r="DB14" s="296"/>
      <c r="DC14" s="296"/>
      <c r="DD14" s="296"/>
      <c r="DE14" s="296"/>
      <c r="DF14" s="296"/>
      <c r="DG14" s="296"/>
      <c r="DH14" s="296"/>
      <c r="DI14" s="296"/>
      <c r="DJ14" s="296"/>
      <c r="DK14" s="296"/>
      <c r="DL14" s="296"/>
      <c r="DM14" s="296"/>
      <c r="DN14" s="296"/>
      <c r="DO14" s="296"/>
      <c r="DP14" s="296"/>
      <c r="DQ14" s="296"/>
      <c r="DR14" s="296"/>
      <c r="DS14" s="296"/>
      <c r="DT14" s="296"/>
      <c r="DU14" s="296"/>
      <c r="DV14" s="296"/>
      <c r="DW14" s="296"/>
      <c r="DX14" s="296"/>
      <c r="DY14" s="296"/>
      <c r="DZ14" s="296"/>
      <c r="EA14" s="296"/>
      <c r="EB14" s="296"/>
      <c r="EC14" s="296"/>
      <c r="ED14" s="296"/>
      <c r="EE14" s="296"/>
      <c r="EF14" s="296"/>
      <c r="EG14" s="296"/>
      <c r="EH14" s="296"/>
      <c r="EI14" s="296"/>
      <c r="EJ14" s="296"/>
      <c r="EK14" s="296"/>
      <c r="EL14" s="296"/>
      <c r="EM14" s="296"/>
      <c r="EN14" s="296"/>
      <c r="EO14" s="296"/>
      <c r="EP14" s="296"/>
      <c r="EQ14" s="296"/>
      <c r="ER14" s="296"/>
      <c r="ES14" s="296"/>
      <c r="ET14" s="296"/>
      <c r="EU14" s="296"/>
      <c r="EV14" s="296"/>
      <c r="EW14" s="296"/>
      <c r="EX14" s="296"/>
      <c r="EY14" s="296"/>
      <c r="EZ14" s="317"/>
      <c r="FA14" s="296"/>
      <c r="FB14" s="296"/>
      <c r="FC14" s="296"/>
      <c r="FD14" s="296"/>
      <c r="FE14" s="297"/>
      <c r="FF14" s="296"/>
      <c r="FG14" s="296"/>
      <c r="FH14" s="296"/>
      <c r="FI14" s="296"/>
      <c r="FJ14" s="296"/>
      <c r="FK14" s="296"/>
      <c r="FL14" s="296"/>
      <c r="FM14" s="296"/>
      <c r="FN14" s="296"/>
      <c r="FO14" s="296"/>
      <c r="FP14" s="296"/>
      <c r="FQ14" s="296"/>
      <c r="FR14" s="296"/>
      <c r="FS14" s="296"/>
      <c r="FT14" s="296"/>
      <c r="FU14" s="296"/>
      <c r="FV14" s="296"/>
      <c r="FW14" s="296"/>
      <c r="FX14" s="296"/>
      <c r="FY14" s="296"/>
      <c r="FZ14" s="296"/>
      <c r="GA14" s="296"/>
      <c r="GB14" s="296"/>
      <c r="GC14" s="296"/>
      <c r="GD14" s="296"/>
      <c r="GE14" s="296"/>
      <c r="GF14" s="296"/>
      <c r="GG14" s="296"/>
      <c r="GH14" s="296"/>
      <c r="GI14" s="296"/>
      <c r="GJ14" s="296"/>
      <c r="GK14" s="296"/>
      <c r="GL14" s="296"/>
      <c r="GM14" s="296"/>
      <c r="GN14" s="296"/>
      <c r="GO14" s="296"/>
      <c r="GP14" s="296"/>
      <c r="GQ14" s="296"/>
      <c r="GR14" s="296"/>
      <c r="GS14" s="296"/>
      <c r="GT14" s="296"/>
      <c r="GU14" s="296"/>
      <c r="GV14" s="296"/>
      <c r="GW14" s="296"/>
      <c r="GX14" s="296"/>
      <c r="GY14" s="296"/>
      <c r="GZ14" s="296"/>
      <c r="HA14" s="296"/>
      <c r="HB14" s="296"/>
      <c r="HC14" s="296"/>
      <c r="HD14" s="296"/>
      <c r="HE14" s="296"/>
      <c r="HF14" s="296"/>
      <c r="HG14" s="296"/>
      <c r="HH14" s="296"/>
      <c r="HI14" s="296"/>
    </row>
    <row r="15" spans="1:217" ht="15" customHeight="1">
      <c r="A15" s="150"/>
      <c r="B15" s="150"/>
      <c r="C15" s="318" t="str">
        <f>IF([3]MasterSheet!$A$1=1,[3]MasterSheet!C261,[3]MasterSheet!B261)</f>
        <v>Porez na dohodak fizičkih lica</v>
      </c>
      <c r="D15" s="319">
        <f>+'[3]Cental Budget_int'!D17+'[3]Local Government_int'!D16</f>
        <v>93019533.179999962</v>
      </c>
      <c r="E15" s="320">
        <f t="shared" si="8"/>
        <v>4.3287046014239827</v>
      </c>
      <c r="F15" s="319">
        <f>+'[3]Cental Budget_int'!F17+'[3]Local Government_int'!F16</f>
        <v>104831944.40000001</v>
      </c>
      <c r="G15" s="320">
        <f t="shared" si="0"/>
        <v>3.9109100690169747</v>
      </c>
      <c r="H15" s="319">
        <f>+'[3]Cental Budget_int'!H17+'[3]Local Government_int'!H16</f>
        <v>141105553.49000001</v>
      </c>
      <c r="I15" s="320">
        <f t="shared" si="1"/>
        <v>4.5730345310474467</v>
      </c>
      <c r="J15" s="319">
        <f>+'[3]Cental Budget_int'!J17+'[3]Local Government_int'!J16</f>
        <v>121370552.8</v>
      </c>
      <c r="K15" s="320">
        <f t="shared" si="2"/>
        <v>4.0714710768198588</v>
      </c>
      <c r="L15" s="319">
        <f>+'[3]Cental Budget_int'!L17+'[3]Local Government_int'!L16</f>
        <v>113126139.23999999</v>
      </c>
      <c r="M15" s="320">
        <f t="shared" si="3"/>
        <v>3.6200364556800002</v>
      </c>
      <c r="N15" s="319">
        <f>+'[3]Cental Budget_int'!N17+'[3]Local Government_int'!N16</f>
        <v>113227848.49200001</v>
      </c>
      <c r="O15" s="320">
        <f t="shared" si="4"/>
        <v>3.4679279783154673</v>
      </c>
      <c r="P15" s="319">
        <f>+'[3]Cental Budget_int'!P17+'[3]Local Government_int'!P16</f>
        <v>109682444.37333333</v>
      </c>
      <c r="Q15" s="320">
        <f t="shared" si="5"/>
        <v>3.4480491786649901</v>
      </c>
      <c r="R15" s="319">
        <f>+'[3]Cental Budget_int'!R17+'[3]Local Government_int'!R16</f>
        <v>124151670.43000001</v>
      </c>
      <c r="S15" s="320">
        <f t="shared" si="9"/>
        <v>3.6927921008328375</v>
      </c>
      <c r="T15" s="319">
        <f>+'[3]Cental Budget_int'!T17+'[3]Local Government_int'!T16</f>
        <v>136822612.75</v>
      </c>
      <c r="U15" s="320">
        <f t="shared" si="10"/>
        <v>3.9568123066022731</v>
      </c>
      <c r="V15" s="319">
        <f>+'[3]Cental Budget_int'!V17+'[3]Local Government_int'!V16</f>
        <v>135727918.74999997</v>
      </c>
      <c r="W15" s="321">
        <f t="shared" si="11"/>
        <v>3.713486149110806</v>
      </c>
      <c r="X15" s="319">
        <f>'Cental Budget'!X17+'Local Government_int'!X16</f>
        <v>160048107.97000003</v>
      </c>
      <c r="Y15" s="320">
        <f t="shared" si="6"/>
        <v>4.0475471137018877</v>
      </c>
      <c r="Z15" s="319">
        <f>'Cental Budget'!Z17+'Local Government_int'!Z16</f>
        <v>145621214.5</v>
      </c>
      <c r="AA15" s="320">
        <f t="shared" si="7"/>
        <v>3.4373</v>
      </c>
      <c r="AB15" s="513"/>
      <c r="AC15" s="513"/>
      <c r="AD15" s="511"/>
      <c r="AE15" s="511"/>
      <c r="AF15" s="511"/>
      <c r="AG15" s="511"/>
      <c r="AH15" s="511"/>
      <c r="AI15" s="511"/>
      <c r="AJ15" s="511"/>
      <c r="AK15" s="511"/>
      <c r="AL15" s="511"/>
      <c r="AM15" s="511"/>
      <c r="AN15" s="511"/>
      <c r="AO15" s="511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  <c r="BH15" s="296"/>
      <c r="BI15" s="296"/>
      <c r="BJ15" s="296"/>
      <c r="BK15" s="296"/>
      <c r="BL15" s="296"/>
      <c r="BM15" s="296"/>
      <c r="BN15" s="296"/>
      <c r="BO15" s="296"/>
      <c r="BP15" s="296"/>
      <c r="BQ15" s="296"/>
      <c r="BR15" s="296"/>
      <c r="BS15" s="296"/>
      <c r="BT15" s="296"/>
      <c r="BU15" s="296"/>
      <c r="BV15" s="296"/>
      <c r="BW15" s="296"/>
      <c r="BX15" s="296"/>
      <c r="BY15" s="296"/>
      <c r="BZ15" s="296"/>
      <c r="CA15" s="296"/>
      <c r="CB15" s="296"/>
      <c r="CC15" s="296"/>
      <c r="CD15" s="296"/>
      <c r="CE15" s="296"/>
      <c r="CF15" s="296"/>
      <c r="CG15" s="296"/>
      <c r="CH15" s="296"/>
      <c r="CI15" s="296"/>
      <c r="CJ15" s="296"/>
      <c r="CK15" s="296"/>
      <c r="CL15" s="296"/>
      <c r="CM15" s="296"/>
      <c r="CN15" s="296"/>
      <c r="CO15" s="296"/>
      <c r="CP15" s="296"/>
      <c r="CQ15" s="296"/>
      <c r="CR15" s="296"/>
      <c r="CS15" s="296"/>
      <c r="CT15" s="296"/>
      <c r="CU15" s="296"/>
      <c r="CV15" s="296"/>
      <c r="CW15" s="296"/>
      <c r="CX15" s="296"/>
      <c r="CY15" s="296"/>
      <c r="CZ15" s="296"/>
      <c r="DA15" s="296"/>
      <c r="DB15" s="296"/>
      <c r="DC15" s="296"/>
      <c r="DD15" s="296"/>
      <c r="DE15" s="296"/>
      <c r="DF15" s="296"/>
      <c r="DG15" s="296"/>
      <c r="DH15" s="296"/>
      <c r="DI15" s="296"/>
      <c r="DJ15" s="296"/>
      <c r="DK15" s="296"/>
      <c r="DL15" s="296"/>
      <c r="DM15" s="296"/>
      <c r="DN15" s="296"/>
      <c r="DO15" s="296"/>
      <c r="DP15" s="296"/>
      <c r="DQ15" s="296"/>
      <c r="DR15" s="296"/>
      <c r="DS15" s="296"/>
      <c r="DT15" s="296"/>
      <c r="DU15" s="296"/>
      <c r="DV15" s="296"/>
      <c r="DW15" s="296"/>
      <c r="DX15" s="296"/>
      <c r="DY15" s="296"/>
      <c r="DZ15" s="296"/>
      <c r="EA15" s="296"/>
      <c r="EB15" s="296"/>
      <c r="EC15" s="296"/>
      <c r="ED15" s="296"/>
      <c r="EE15" s="296"/>
      <c r="EF15" s="296"/>
      <c r="EG15" s="296"/>
      <c r="EH15" s="296"/>
      <c r="EI15" s="296"/>
      <c r="EJ15" s="296"/>
      <c r="EK15" s="296"/>
      <c r="EL15" s="296"/>
      <c r="EM15" s="296"/>
      <c r="EN15" s="296"/>
      <c r="EO15" s="296"/>
      <c r="EP15" s="296"/>
      <c r="EQ15" s="296"/>
      <c r="ER15" s="296"/>
      <c r="ES15" s="296"/>
      <c r="ET15" s="296"/>
      <c r="EU15" s="296"/>
      <c r="EV15" s="296"/>
      <c r="EW15" s="296"/>
      <c r="EX15" s="296"/>
      <c r="EY15" s="296"/>
      <c r="EZ15" s="296"/>
      <c r="FA15" s="296"/>
      <c r="FB15" s="296"/>
      <c r="FC15" s="296"/>
      <c r="FD15" s="296"/>
      <c r="FE15" s="297"/>
      <c r="FF15" s="296"/>
      <c r="FG15" s="296"/>
      <c r="FH15" s="296"/>
      <c r="FI15" s="296"/>
      <c r="FJ15" s="296"/>
      <c r="FK15" s="296"/>
      <c r="FL15" s="296"/>
      <c r="FM15" s="296"/>
      <c r="FN15" s="296"/>
      <c r="FO15" s="296"/>
      <c r="FP15" s="296"/>
      <c r="FQ15" s="296"/>
      <c r="FR15" s="296"/>
      <c r="FS15" s="296"/>
      <c r="FT15" s="296"/>
      <c r="FU15" s="296"/>
      <c r="FV15" s="296"/>
      <c r="FW15" s="296"/>
      <c r="FX15" s="296"/>
      <c r="FY15" s="296"/>
      <c r="FZ15" s="296"/>
      <c r="GA15" s="296"/>
      <c r="GB15" s="296"/>
      <c r="GC15" s="296"/>
      <c r="GD15" s="296"/>
      <c r="GE15" s="296"/>
      <c r="GF15" s="296"/>
      <c r="GG15" s="296"/>
      <c r="GH15" s="296"/>
      <c r="GI15" s="296"/>
      <c r="GJ15" s="296"/>
      <c r="GK15" s="296"/>
      <c r="GL15" s="296"/>
      <c r="GM15" s="296"/>
      <c r="GN15" s="296"/>
      <c r="GO15" s="296"/>
      <c r="GP15" s="296"/>
      <c r="GQ15" s="296"/>
      <c r="GR15" s="296"/>
      <c r="GS15" s="296"/>
      <c r="GT15" s="296"/>
      <c r="GU15" s="296"/>
      <c r="GV15" s="296"/>
      <c r="GW15" s="296"/>
      <c r="GX15" s="296"/>
      <c r="GY15" s="296"/>
      <c r="GZ15" s="296"/>
      <c r="HA15" s="296"/>
      <c r="HB15" s="296"/>
      <c r="HC15" s="296"/>
      <c r="HD15" s="296"/>
      <c r="HE15" s="296"/>
      <c r="HF15" s="296"/>
      <c r="HG15" s="296"/>
      <c r="HH15" s="296"/>
      <c r="HI15" s="296"/>
    </row>
    <row r="16" spans="1:217" ht="15" customHeight="1">
      <c r="A16" s="150"/>
      <c r="B16" s="150"/>
      <c r="C16" s="318" t="str">
        <f>IF([3]MasterSheet!$A$1=1,[3]MasterSheet!C262,[3]MasterSheet!B262)</f>
        <v>Porez na dobit pravnih lica</v>
      </c>
      <c r="D16" s="319">
        <f>+'[3]Cental Budget_int'!D18</f>
        <v>12681282.079999981</v>
      </c>
      <c r="E16" s="320">
        <f t="shared" si="8"/>
        <v>0.59012899995346368</v>
      </c>
      <c r="F16" s="319">
        <f>+'[3]Cental Budget_int'!F18</f>
        <v>39076661.670000002</v>
      </c>
      <c r="G16" s="320">
        <f t="shared" si="0"/>
        <v>1.457812410744264</v>
      </c>
      <c r="H16" s="319">
        <f>+'[3]Cental Budget_int'!H18</f>
        <v>62803344.119999997</v>
      </c>
      <c r="I16" s="320">
        <f t="shared" si="1"/>
        <v>2.035368943479388</v>
      </c>
      <c r="J16" s="319">
        <f>+'[3]Cental Budget_int'!J18</f>
        <v>54738223</v>
      </c>
      <c r="K16" s="320">
        <f t="shared" si="2"/>
        <v>1.8362369339147935</v>
      </c>
      <c r="L16" s="319">
        <f>+'[3]Cental Budget_int'!L18</f>
        <v>20270971.710000001</v>
      </c>
      <c r="M16" s="320">
        <f t="shared" si="3"/>
        <v>0.64867109472000006</v>
      </c>
      <c r="N16" s="319">
        <f>+'[3]Cental Budget_int'!N18</f>
        <v>36101185.260000005</v>
      </c>
      <c r="O16" s="320">
        <f t="shared" si="4"/>
        <v>1.1057024581929558</v>
      </c>
      <c r="P16" s="319">
        <f>+'[3]Cental Budget_int'!P18</f>
        <v>64016557.520000003</v>
      </c>
      <c r="Q16" s="320">
        <f t="shared" si="5"/>
        <v>2.0124664419993712</v>
      </c>
      <c r="R16" s="319">
        <f>+'[3]Cental Budget_int'!R18</f>
        <v>40638726.390000008</v>
      </c>
      <c r="S16" s="320">
        <f t="shared" si="9"/>
        <v>1.2087664006543728</v>
      </c>
      <c r="T16" s="319">
        <f>+'[3]Cental Budget_int'!T18</f>
        <v>45020371.5</v>
      </c>
      <c r="U16" s="320">
        <f t="shared" si="10"/>
        <v>1.3019570114809567</v>
      </c>
      <c r="V16" s="319">
        <f>+'[3]Cental Budget_int'!V18</f>
        <v>42151728.179999992</v>
      </c>
      <c r="W16" s="321">
        <f t="shared" si="11"/>
        <v>1.1532620569083445</v>
      </c>
      <c r="X16" s="319">
        <f>'Cental Budget'!X18</f>
        <v>45254590.029999994</v>
      </c>
      <c r="Y16" s="320">
        <f t="shared" si="6"/>
        <v>1.1444689198826563</v>
      </c>
      <c r="Z16" s="319">
        <f>'Cental Budget'!Z18</f>
        <v>49228502.210000001</v>
      </c>
      <c r="AA16" s="320">
        <f t="shared" si="7"/>
        <v>1.1620087857901571</v>
      </c>
      <c r="AB16" s="513"/>
      <c r="AC16" s="513"/>
      <c r="AD16" s="511"/>
      <c r="AE16" s="511"/>
      <c r="AF16" s="511"/>
      <c r="AG16" s="511"/>
      <c r="AH16" s="511"/>
      <c r="AI16" s="511"/>
      <c r="AJ16" s="511"/>
      <c r="AK16" s="511"/>
      <c r="AL16" s="511"/>
      <c r="AM16" s="511"/>
      <c r="AN16" s="511"/>
      <c r="AO16" s="511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6"/>
      <c r="BH16" s="296"/>
      <c r="BI16" s="296"/>
      <c r="BJ16" s="296"/>
      <c r="BK16" s="296"/>
      <c r="BL16" s="296"/>
      <c r="BM16" s="296"/>
      <c r="BN16" s="296"/>
      <c r="BO16" s="296"/>
      <c r="BP16" s="296"/>
      <c r="BQ16" s="296"/>
      <c r="BR16" s="296"/>
      <c r="BS16" s="296"/>
      <c r="BT16" s="296"/>
      <c r="BU16" s="296"/>
      <c r="BV16" s="296"/>
      <c r="BW16" s="296"/>
      <c r="BX16" s="296"/>
      <c r="BY16" s="296"/>
      <c r="BZ16" s="296"/>
      <c r="CA16" s="296"/>
      <c r="CB16" s="296"/>
      <c r="CC16" s="296"/>
      <c r="CD16" s="296"/>
      <c r="CE16" s="296"/>
      <c r="CF16" s="296"/>
      <c r="CG16" s="296"/>
      <c r="CH16" s="296"/>
      <c r="CI16" s="296"/>
      <c r="CJ16" s="296"/>
      <c r="CK16" s="296"/>
      <c r="CL16" s="296"/>
      <c r="CM16" s="296"/>
      <c r="CN16" s="296"/>
      <c r="CO16" s="296"/>
      <c r="CP16" s="296"/>
      <c r="CQ16" s="296"/>
      <c r="CR16" s="296"/>
      <c r="CS16" s="296"/>
      <c r="CT16" s="296"/>
      <c r="CU16" s="296"/>
      <c r="CV16" s="296"/>
      <c r="CW16" s="296"/>
      <c r="CX16" s="296"/>
      <c r="CY16" s="296"/>
      <c r="CZ16" s="296"/>
      <c r="DA16" s="296"/>
      <c r="DB16" s="296"/>
      <c r="DC16" s="296"/>
      <c r="DD16" s="296"/>
      <c r="DE16" s="296"/>
      <c r="DF16" s="296"/>
      <c r="DG16" s="296"/>
      <c r="DH16" s="296"/>
      <c r="DI16" s="296"/>
      <c r="DJ16" s="296"/>
      <c r="DK16" s="296"/>
      <c r="DL16" s="296"/>
      <c r="DM16" s="296"/>
      <c r="DN16" s="296"/>
      <c r="DO16" s="296"/>
      <c r="DP16" s="296"/>
      <c r="DQ16" s="296"/>
      <c r="DR16" s="296"/>
      <c r="DS16" s="296"/>
      <c r="DT16" s="296"/>
      <c r="DU16" s="296"/>
      <c r="DV16" s="296"/>
      <c r="DW16" s="296"/>
      <c r="DX16" s="296"/>
      <c r="DY16" s="296"/>
      <c r="DZ16" s="296"/>
      <c r="EA16" s="296"/>
      <c r="EB16" s="296"/>
      <c r="EC16" s="296"/>
      <c r="ED16" s="296"/>
      <c r="EE16" s="296"/>
      <c r="EF16" s="296"/>
      <c r="EG16" s="296"/>
      <c r="EH16" s="296"/>
      <c r="EI16" s="296"/>
      <c r="EJ16" s="296"/>
      <c r="EK16" s="296"/>
      <c r="EL16" s="296"/>
      <c r="EM16" s="296"/>
      <c r="EN16" s="296"/>
      <c r="EO16" s="296"/>
      <c r="EP16" s="296"/>
      <c r="EQ16" s="296"/>
      <c r="ER16" s="296"/>
      <c r="ES16" s="296"/>
      <c r="ET16" s="296"/>
      <c r="EU16" s="296"/>
      <c r="EV16" s="296"/>
      <c r="EW16" s="296"/>
      <c r="EX16" s="296"/>
      <c r="EY16" s="296"/>
      <c r="EZ16" s="317"/>
      <c r="FA16" s="296"/>
      <c r="FB16" s="296"/>
      <c r="FC16" s="296"/>
      <c r="FD16" s="296"/>
      <c r="FE16" s="297"/>
      <c r="FF16" s="296"/>
      <c r="FG16" s="296"/>
      <c r="FH16" s="296"/>
      <c r="FI16" s="296"/>
      <c r="FJ16" s="296"/>
      <c r="FK16" s="296"/>
      <c r="FL16" s="296"/>
      <c r="FM16" s="296"/>
      <c r="FN16" s="296"/>
      <c r="FO16" s="296"/>
      <c r="FP16" s="296"/>
      <c r="FQ16" s="296"/>
      <c r="FR16" s="296"/>
      <c r="FS16" s="296"/>
      <c r="FT16" s="296"/>
      <c r="FU16" s="296"/>
      <c r="FV16" s="296"/>
      <c r="FW16" s="296"/>
      <c r="FX16" s="296"/>
      <c r="FY16" s="296"/>
      <c r="FZ16" s="296"/>
      <c r="GA16" s="296"/>
      <c r="GB16" s="296"/>
      <c r="GC16" s="296"/>
      <c r="GD16" s="296"/>
      <c r="GE16" s="296"/>
      <c r="GF16" s="296"/>
      <c r="GG16" s="296"/>
      <c r="GH16" s="296"/>
      <c r="GI16" s="296"/>
      <c r="GJ16" s="296"/>
      <c r="GK16" s="296"/>
      <c r="GL16" s="296"/>
      <c r="GM16" s="296"/>
      <c r="GN16" s="296"/>
      <c r="GO16" s="296"/>
      <c r="GP16" s="296"/>
      <c r="GQ16" s="296"/>
      <c r="GR16" s="296"/>
      <c r="GS16" s="296"/>
      <c r="GT16" s="296"/>
      <c r="GU16" s="296"/>
      <c r="GV16" s="296"/>
      <c r="GW16" s="296"/>
      <c r="GX16" s="296"/>
      <c r="GY16" s="296"/>
      <c r="GZ16" s="296"/>
      <c r="HA16" s="296"/>
      <c r="HB16" s="296"/>
      <c r="HC16" s="296"/>
      <c r="HD16" s="296"/>
      <c r="HE16" s="296"/>
      <c r="HF16" s="296"/>
      <c r="HG16" s="296"/>
      <c r="HH16" s="296"/>
      <c r="HI16" s="296"/>
    </row>
    <row r="17" spans="1:217" ht="15" customHeight="1">
      <c r="A17" s="150"/>
      <c r="B17" s="150"/>
      <c r="C17" s="318" t="str">
        <f>IF([3]MasterSheet!$A$1=1,[3]MasterSheet!C263,[3]MasterSheet!B263)</f>
        <v>Porez na promet nepokretnosti</v>
      </c>
      <c r="D17" s="319">
        <f>+'[3]Cental Budget_int'!D19+'[3]Local Government_int'!D17</f>
        <v>24870004.329999998</v>
      </c>
      <c r="E17" s="320">
        <f t="shared" si="8"/>
        <v>1.1573365130997253</v>
      </c>
      <c r="F17" s="319">
        <f>+'[3]Cental Budget_int'!F19+'[3]Local Government_int'!F17</f>
        <v>43472121.93</v>
      </c>
      <c r="G17" s="320">
        <f t="shared" si="0"/>
        <v>1.6217915288192501</v>
      </c>
      <c r="H17" s="319">
        <f>+'[3]Cental Budget_int'!H19+'[3]Local Government_int'!H17</f>
        <v>36753715.740000002</v>
      </c>
      <c r="I17" s="320">
        <f t="shared" si="1"/>
        <v>1.1911367558983668</v>
      </c>
      <c r="J17" s="319">
        <f>+'[3]Cental Budget_int'!J19+'[3]Local Government_int'!J17</f>
        <v>19797901.619999997</v>
      </c>
      <c r="K17" s="320">
        <f t="shared" si="2"/>
        <v>0.66413625025159329</v>
      </c>
      <c r="L17" s="319">
        <f>+'[3]Cental Budget_int'!L19+'[3]Local Government_int'!L17</f>
        <v>18231782.979999997</v>
      </c>
      <c r="M17" s="320">
        <f t="shared" si="3"/>
        <v>0.58341705535999988</v>
      </c>
      <c r="N17" s="319">
        <f>+'[3]Cental Budget_int'!N19+'[3]Local Government_int'!N17</f>
        <v>15656686.157999998</v>
      </c>
      <c r="O17" s="320">
        <f t="shared" si="4"/>
        <v>0.47953096961715158</v>
      </c>
      <c r="P17" s="319">
        <f>+'[3]Cental Budget_int'!P19+'[3]Local Government_int'!P17</f>
        <v>14414493.999999998</v>
      </c>
      <c r="Q17" s="320">
        <f t="shared" si="5"/>
        <v>0.45314347689405837</v>
      </c>
      <c r="R17" s="319">
        <f>+'[3]Cental Budget_int'!R19+'[3]Local Government_int'!R17</f>
        <v>14130634.390000001</v>
      </c>
      <c r="S17" s="320">
        <f t="shared" si="9"/>
        <v>0.42030441374182037</v>
      </c>
      <c r="T17" s="319">
        <f>+'[3]Cental Budget_int'!T19+'[3]Local Government_int'!T17</f>
        <v>14878988.949999999</v>
      </c>
      <c r="U17" s="320">
        <f t="shared" si="10"/>
        <v>0.43028974088319499</v>
      </c>
      <c r="V17" s="319">
        <f>+'[3]Cental Budget_int'!V19+'[3]Local Government_int'!V17</f>
        <v>14563053.488000002</v>
      </c>
      <c r="W17" s="321">
        <f t="shared" si="11"/>
        <v>0.39844195589603287</v>
      </c>
      <c r="X17" s="319">
        <f>'Cental Budget'!X19+'Local Government_int'!X17</f>
        <v>13227449.570000002</v>
      </c>
      <c r="Y17" s="320">
        <f t="shared" si="6"/>
        <v>0.33451645263264385</v>
      </c>
      <c r="Z17" s="319">
        <f>'Cental Budget'!Z19+'Local Government_int'!Z17</f>
        <v>15174414.339999996</v>
      </c>
      <c r="AA17" s="320">
        <f t="shared" si="7"/>
        <v>0.35818280042487893</v>
      </c>
      <c r="AB17" s="513"/>
      <c r="AC17" s="513"/>
      <c r="AD17" s="511"/>
      <c r="AE17" s="511"/>
      <c r="AF17" s="511"/>
      <c r="AG17" s="511"/>
      <c r="AH17" s="511"/>
      <c r="AI17" s="511"/>
      <c r="AJ17" s="511"/>
      <c r="AK17" s="511"/>
      <c r="AL17" s="511"/>
      <c r="AM17" s="511"/>
      <c r="AN17" s="511"/>
      <c r="AO17" s="511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6"/>
      <c r="BC17" s="296"/>
      <c r="BD17" s="296"/>
      <c r="BE17" s="296"/>
      <c r="BF17" s="296"/>
      <c r="BG17" s="296"/>
      <c r="BH17" s="296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96"/>
      <c r="BT17" s="296"/>
      <c r="BU17" s="296"/>
      <c r="BV17" s="296"/>
      <c r="BW17" s="296"/>
      <c r="BX17" s="296"/>
      <c r="BY17" s="296"/>
      <c r="BZ17" s="296"/>
      <c r="CA17" s="296"/>
      <c r="CB17" s="296"/>
      <c r="CC17" s="296"/>
      <c r="CD17" s="296"/>
      <c r="CE17" s="296"/>
      <c r="CF17" s="296"/>
      <c r="CG17" s="296"/>
      <c r="CH17" s="296"/>
      <c r="CI17" s="296"/>
      <c r="CJ17" s="296"/>
      <c r="CK17" s="296"/>
      <c r="CL17" s="296"/>
      <c r="CM17" s="296"/>
      <c r="CN17" s="296"/>
      <c r="CO17" s="296"/>
      <c r="CP17" s="296"/>
      <c r="CQ17" s="296"/>
      <c r="CR17" s="296"/>
      <c r="CS17" s="296"/>
      <c r="CT17" s="296"/>
      <c r="CU17" s="296"/>
      <c r="CV17" s="296"/>
      <c r="CW17" s="296"/>
      <c r="CX17" s="296"/>
      <c r="CY17" s="296"/>
      <c r="CZ17" s="296"/>
      <c r="DA17" s="296"/>
      <c r="DB17" s="296"/>
      <c r="DC17" s="296"/>
      <c r="DD17" s="296"/>
      <c r="DE17" s="296"/>
      <c r="DF17" s="296"/>
      <c r="DG17" s="296"/>
      <c r="DH17" s="296"/>
      <c r="DI17" s="296"/>
      <c r="DJ17" s="296"/>
      <c r="DK17" s="296"/>
      <c r="DL17" s="296"/>
      <c r="DM17" s="296"/>
      <c r="DN17" s="296"/>
      <c r="DO17" s="296"/>
      <c r="DP17" s="296"/>
      <c r="DQ17" s="296"/>
      <c r="DR17" s="296"/>
      <c r="DS17" s="296"/>
      <c r="DT17" s="296"/>
      <c r="DU17" s="296"/>
      <c r="DV17" s="296"/>
      <c r="DW17" s="296"/>
      <c r="DX17" s="296"/>
      <c r="DY17" s="296"/>
      <c r="DZ17" s="296"/>
      <c r="EA17" s="296"/>
      <c r="EB17" s="296"/>
      <c r="EC17" s="296"/>
      <c r="ED17" s="296"/>
      <c r="EE17" s="296"/>
      <c r="EF17" s="296"/>
      <c r="EG17" s="296"/>
      <c r="EH17" s="296"/>
      <c r="EI17" s="296"/>
      <c r="EJ17" s="296"/>
      <c r="EK17" s="296"/>
      <c r="EL17" s="296"/>
      <c r="EM17" s="296"/>
      <c r="EN17" s="296"/>
      <c r="EO17" s="296"/>
      <c r="EP17" s="296"/>
      <c r="EQ17" s="296"/>
      <c r="ER17" s="296"/>
      <c r="ES17" s="296"/>
      <c r="ET17" s="296"/>
      <c r="EU17" s="296"/>
      <c r="EV17" s="296"/>
      <c r="EW17" s="296"/>
      <c r="EX17" s="296"/>
      <c r="EY17" s="296"/>
      <c r="EZ17" s="296"/>
      <c r="FA17" s="296"/>
      <c r="FB17" s="296"/>
      <c r="FC17" s="296"/>
      <c r="FD17" s="296"/>
      <c r="FE17" s="297"/>
      <c r="FF17" s="296"/>
      <c r="FG17" s="296"/>
      <c r="FH17" s="296"/>
      <c r="FI17" s="296"/>
      <c r="FJ17" s="296"/>
      <c r="FK17" s="296"/>
      <c r="FL17" s="296"/>
      <c r="FM17" s="296"/>
      <c r="FN17" s="296"/>
      <c r="FO17" s="296"/>
      <c r="FP17" s="296"/>
      <c r="FQ17" s="296"/>
      <c r="FR17" s="296"/>
      <c r="FS17" s="296"/>
      <c r="FT17" s="296"/>
      <c r="FU17" s="296"/>
      <c r="FV17" s="296"/>
      <c r="FW17" s="296"/>
      <c r="FX17" s="296"/>
      <c r="FY17" s="296"/>
      <c r="FZ17" s="296"/>
      <c r="GA17" s="296"/>
      <c r="GB17" s="296"/>
      <c r="GC17" s="296"/>
      <c r="GD17" s="296"/>
      <c r="GE17" s="296"/>
      <c r="GF17" s="296"/>
      <c r="GG17" s="296"/>
      <c r="GH17" s="296"/>
      <c r="GI17" s="296"/>
      <c r="GJ17" s="296"/>
      <c r="GK17" s="296"/>
      <c r="GL17" s="296"/>
      <c r="GM17" s="296"/>
      <c r="GN17" s="296"/>
      <c r="GO17" s="296"/>
      <c r="GP17" s="296"/>
      <c r="GQ17" s="296"/>
      <c r="GR17" s="296"/>
      <c r="GS17" s="296"/>
      <c r="GT17" s="296"/>
      <c r="GU17" s="296"/>
      <c r="GV17" s="296"/>
      <c r="GW17" s="296"/>
      <c r="GX17" s="296"/>
      <c r="GY17" s="296"/>
      <c r="GZ17" s="296"/>
      <c r="HA17" s="296"/>
      <c r="HB17" s="296"/>
      <c r="HC17" s="296"/>
      <c r="HD17" s="296"/>
      <c r="HE17" s="296"/>
      <c r="HF17" s="296"/>
      <c r="HG17" s="296"/>
      <c r="HH17" s="296"/>
      <c r="HI17" s="296"/>
    </row>
    <row r="18" spans="1:217" ht="15" customHeight="1">
      <c r="A18" s="291"/>
      <c r="B18" s="150"/>
      <c r="C18" s="318" t="str">
        <f>IF([3]MasterSheet!$A$1=1,[3]MasterSheet!C264,[3]MasterSheet!B264)</f>
        <v>Porez na dodatu vrijednost</v>
      </c>
      <c r="D18" s="319">
        <f>+'[3]Cental Budget_int'!D20</f>
        <v>273156637.07999986</v>
      </c>
      <c r="E18" s="320">
        <f t="shared" si="8"/>
        <v>12.711463403601837</v>
      </c>
      <c r="F18" s="319">
        <f>+'[3]Cental Budget_int'!F20</f>
        <v>393174255.16000003</v>
      </c>
      <c r="G18" s="320">
        <f t="shared" si="0"/>
        <v>14.667944605857116</v>
      </c>
      <c r="H18" s="319">
        <f>+'[3]Cental Budget_int'!H20</f>
        <v>440064484.29000002</v>
      </c>
      <c r="I18" s="320">
        <f t="shared" si="1"/>
        <v>14.26187724559243</v>
      </c>
      <c r="J18" s="319">
        <f>+'[3]Cental Budget_int'!J20</f>
        <v>370776942</v>
      </c>
      <c r="K18" s="320">
        <f t="shared" si="2"/>
        <v>12.438005434417979</v>
      </c>
      <c r="L18" s="319">
        <f>+'[3]Cental Budget_int'!L20</f>
        <v>364177041.45999998</v>
      </c>
      <c r="M18" s="320">
        <f t="shared" si="3"/>
        <v>11.653665326719999</v>
      </c>
      <c r="N18" s="319">
        <f>+'[3]Cental Budget_int'!N20</f>
        <v>392235880.90999997</v>
      </c>
      <c r="O18" s="320">
        <f t="shared" si="4"/>
        <v>12.013350104441042</v>
      </c>
      <c r="P18" s="319">
        <f>+'[3]Cental Budget_int'!P20</f>
        <v>354714031.35000002</v>
      </c>
      <c r="Q18" s="320">
        <f t="shared" si="5"/>
        <v>11.151022676831186</v>
      </c>
      <c r="R18" s="319">
        <f>+'[3]Cental Budget_int'!R20</f>
        <v>429195069.32999998</v>
      </c>
      <c r="S18" s="320">
        <f t="shared" si="9"/>
        <v>12.766063930101129</v>
      </c>
      <c r="T18" s="319">
        <f>+'[3]Cental Budget_int'!T20</f>
        <v>497589192.80000001</v>
      </c>
      <c r="U18" s="320">
        <f t="shared" si="10"/>
        <v>14.38992431244397</v>
      </c>
      <c r="V18" s="319">
        <f>+'[3]Cental Budget_int'!V20</f>
        <v>457115481.22000003</v>
      </c>
      <c r="W18" s="321">
        <f t="shared" si="11"/>
        <v>12.506579513543093</v>
      </c>
      <c r="X18" s="319">
        <f>'Cental Budget'!X20</f>
        <v>500656533.33000004</v>
      </c>
      <c r="Y18" s="320">
        <f t="shared" si="6"/>
        <v>12.661386205300696</v>
      </c>
      <c r="Z18" s="319">
        <f>'Cental Budget'!Z20</f>
        <v>548710516.46000004</v>
      </c>
      <c r="AA18" s="320">
        <f t="shared" si="7"/>
        <v>12.951977256225659</v>
      </c>
      <c r="AB18" s="513"/>
      <c r="AC18" s="513"/>
      <c r="AD18" s="511"/>
      <c r="AE18" s="511"/>
      <c r="AF18" s="511"/>
      <c r="AG18" s="511"/>
      <c r="AH18" s="511"/>
      <c r="AI18" s="511"/>
      <c r="AJ18" s="511"/>
      <c r="AK18" s="511"/>
      <c r="AL18" s="511"/>
      <c r="AM18" s="511"/>
      <c r="AN18" s="511"/>
      <c r="AO18" s="511"/>
      <c r="AP18" s="584"/>
      <c r="AQ18" s="585"/>
      <c r="AR18" s="585"/>
      <c r="AS18" s="585"/>
      <c r="AT18" s="585"/>
      <c r="AU18" s="585"/>
      <c r="AV18" s="585"/>
      <c r="AW18" s="585"/>
      <c r="AX18" s="585"/>
      <c r="AY18" s="585"/>
      <c r="AZ18" s="585"/>
      <c r="BA18" s="585"/>
      <c r="BB18" s="322"/>
      <c r="BC18" s="584"/>
      <c r="BD18" s="585"/>
      <c r="BE18" s="585"/>
      <c r="BF18" s="585"/>
      <c r="BG18" s="585"/>
      <c r="BH18" s="585"/>
      <c r="BI18" s="585"/>
      <c r="BJ18" s="585"/>
      <c r="BK18" s="585"/>
      <c r="BL18" s="585"/>
      <c r="BM18" s="585"/>
      <c r="BN18" s="585"/>
      <c r="BO18" s="584"/>
      <c r="BP18" s="585"/>
      <c r="BQ18" s="585"/>
      <c r="BR18" s="585"/>
      <c r="BS18" s="585"/>
      <c r="BT18" s="585"/>
      <c r="BU18" s="585"/>
      <c r="BV18" s="585"/>
      <c r="BW18" s="585"/>
      <c r="BX18" s="585"/>
      <c r="BY18" s="585"/>
      <c r="BZ18" s="585"/>
      <c r="CA18" s="296"/>
      <c r="CB18" s="296"/>
      <c r="CC18" s="296"/>
      <c r="CD18" s="296"/>
      <c r="CE18" s="296"/>
      <c r="CF18" s="296"/>
      <c r="CG18" s="296"/>
      <c r="CH18" s="296"/>
      <c r="CI18" s="296"/>
      <c r="CJ18" s="296"/>
      <c r="CK18" s="296"/>
      <c r="CL18" s="296"/>
      <c r="CM18" s="296"/>
      <c r="CN18" s="296"/>
      <c r="CO18" s="296"/>
      <c r="CP18" s="296"/>
      <c r="CQ18" s="296"/>
      <c r="CR18" s="296"/>
      <c r="CS18" s="296"/>
      <c r="CT18" s="296"/>
      <c r="CU18" s="296"/>
      <c r="CV18" s="296"/>
      <c r="CW18" s="296"/>
      <c r="CX18" s="296"/>
      <c r="CY18" s="296"/>
      <c r="CZ18" s="296"/>
      <c r="DA18" s="296"/>
      <c r="DB18" s="296"/>
      <c r="DC18" s="296"/>
      <c r="DD18" s="296"/>
      <c r="DE18" s="296"/>
      <c r="DF18" s="296"/>
      <c r="DG18" s="296"/>
      <c r="DH18" s="296"/>
      <c r="DI18" s="296"/>
      <c r="DJ18" s="296"/>
      <c r="DK18" s="296"/>
      <c r="DL18" s="296"/>
      <c r="DM18" s="296"/>
      <c r="DN18" s="296"/>
      <c r="DO18" s="296"/>
      <c r="DP18" s="296"/>
      <c r="DQ18" s="296"/>
      <c r="DR18" s="296"/>
      <c r="DS18" s="296"/>
      <c r="DT18" s="296"/>
      <c r="DU18" s="296"/>
      <c r="DV18" s="296"/>
      <c r="DW18" s="296"/>
      <c r="DX18" s="296"/>
      <c r="DY18" s="296"/>
      <c r="DZ18" s="296"/>
      <c r="EA18" s="296"/>
      <c r="EB18" s="296"/>
      <c r="EC18" s="296"/>
      <c r="ED18" s="296"/>
      <c r="EE18" s="296"/>
      <c r="EF18" s="296"/>
      <c r="EG18" s="296"/>
      <c r="EH18" s="296"/>
      <c r="EI18" s="296"/>
      <c r="EJ18" s="296"/>
      <c r="EK18" s="296"/>
      <c r="EL18" s="296"/>
      <c r="EM18" s="296"/>
      <c r="EN18" s="296"/>
      <c r="EO18" s="296"/>
      <c r="EP18" s="296"/>
      <c r="EQ18" s="296"/>
      <c r="ER18" s="296"/>
      <c r="ES18" s="296"/>
      <c r="ET18" s="296"/>
      <c r="EU18" s="296"/>
      <c r="EV18" s="296"/>
      <c r="EW18" s="296"/>
      <c r="EX18" s="296"/>
      <c r="EY18" s="296"/>
      <c r="EZ18" s="323"/>
      <c r="FA18" s="296"/>
      <c r="FB18" s="296"/>
      <c r="FC18" s="296"/>
      <c r="FD18" s="296"/>
      <c r="FE18" s="297"/>
      <c r="FF18" s="296"/>
      <c r="FG18" s="296"/>
      <c r="FH18" s="296"/>
      <c r="FI18" s="296"/>
      <c r="FJ18" s="296"/>
      <c r="FK18" s="296"/>
      <c r="FL18" s="296"/>
      <c r="FM18" s="296"/>
      <c r="FN18" s="296"/>
      <c r="FO18" s="296"/>
      <c r="FP18" s="296"/>
      <c r="FQ18" s="296"/>
      <c r="FR18" s="296"/>
      <c r="FS18" s="296"/>
      <c r="FT18" s="296"/>
      <c r="FU18" s="296"/>
      <c r="FV18" s="296"/>
      <c r="FW18" s="296"/>
      <c r="FX18" s="296"/>
      <c r="FY18" s="296"/>
      <c r="FZ18" s="296"/>
      <c r="GA18" s="296"/>
      <c r="GB18" s="296"/>
      <c r="GC18" s="296"/>
      <c r="GD18" s="296"/>
      <c r="GE18" s="296"/>
      <c r="GF18" s="296"/>
      <c r="GG18" s="296"/>
      <c r="GH18" s="296"/>
      <c r="GI18" s="296"/>
      <c r="GJ18" s="296"/>
      <c r="GK18" s="296"/>
      <c r="GL18" s="296"/>
      <c r="GM18" s="296"/>
      <c r="GN18" s="296"/>
      <c r="GO18" s="296"/>
      <c r="GP18" s="296"/>
      <c r="GQ18" s="296"/>
      <c r="GR18" s="296"/>
      <c r="GS18" s="296"/>
      <c r="GT18" s="296"/>
      <c r="GU18" s="296"/>
      <c r="GV18" s="296"/>
      <c r="GW18" s="296"/>
      <c r="GX18" s="296"/>
      <c r="GY18" s="296"/>
      <c r="GZ18" s="296"/>
      <c r="HA18" s="296"/>
      <c r="HB18" s="296"/>
      <c r="HC18" s="296"/>
      <c r="HD18" s="296"/>
      <c r="HE18" s="296"/>
      <c r="HF18" s="296"/>
      <c r="HG18" s="296"/>
      <c r="HH18" s="296"/>
      <c r="HI18" s="296"/>
    </row>
    <row r="19" spans="1:217" ht="15" customHeight="1">
      <c r="A19" s="291"/>
      <c r="B19" s="150"/>
      <c r="C19" s="318" t="str">
        <f>IF([3]MasterSheet!$A$1=1,[3]MasterSheet!C265,[3]MasterSheet!B265)</f>
        <v>Akcize</v>
      </c>
      <c r="D19" s="319">
        <f>+'[3]Cental Budget_int'!D21</f>
        <v>72376242.180000007</v>
      </c>
      <c r="E19" s="320">
        <f t="shared" si="8"/>
        <v>3.3680600390897673</v>
      </c>
      <c r="F19" s="319">
        <f>+'[3]Cental Budget_int'!F21</f>
        <v>94538367.25</v>
      </c>
      <c r="G19" s="320">
        <f t="shared" si="0"/>
        <v>3.526893014362992</v>
      </c>
      <c r="H19" s="319">
        <f>+'[3]Cental Budget_int'!H21</f>
        <v>120303864.65000001</v>
      </c>
      <c r="I19" s="320">
        <f t="shared" si="1"/>
        <v>3.8988807573891631</v>
      </c>
      <c r="J19" s="319">
        <f>+'[3]Cental Budget_int'!J21</f>
        <v>128684864</v>
      </c>
      <c r="K19" s="320">
        <f t="shared" si="2"/>
        <v>4.3168354243542435</v>
      </c>
      <c r="L19" s="319">
        <f>+'[3]Cental Budget_int'!L21</f>
        <v>134261371.03</v>
      </c>
      <c r="M19" s="320">
        <f t="shared" si="3"/>
        <v>4.2963638729600007</v>
      </c>
      <c r="N19" s="319">
        <f>+'[3]Cental Budget_int'!N21</f>
        <v>143379590.77000001</v>
      </c>
      <c r="O19" s="320">
        <f t="shared" si="4"/>
        <v>4.3914116621745789</v>
      </c>
      <c r="P19" s="319">
        <f>+'[3]Cental Budget_int'!P21</f>
        <v>151766097.75999999</v>
      </c>
      <c r="Q19" s="320">
        <f t="shared" si="5"/>
        <v>4.7710184772084245</v>
      </c>
      <c r="R19" s="319">
        <f>+'[3]Cental Budget_int'!R21</f>
        <v>161445470.17000002</v>
      </c>
      <c r="S19" s="320">
        <f t="shared" si="9"/>
        <v>4.802066334622249</v>
      </c>
      <c r="T19" s="319">
        <f>+'[3]Cental Budget_int'!T21</f>
        <v>156466946.75</v>
      </c>
      <c r="U19" s="320">
        <f t="shared" si="10"/>
        <v>4.5249124251713466</v>
      </c>
      <c r="V19" s="319">
        <f>+'[3]Cental Budget_int'!V21</f>
        <v>170010238.31999999</v>
      </c>
      <c r="W19" s="321">
        <f t="shared" si="11"/>
        <v>4.6514429088919282</v>
      </c>
      <c r="X19" s="319">
        <f>'Cental Budget'!X21</f>
        <v>182670922.38</v>
      </c>
      <c r="Y19" s="320">
        <f t="shared" si="6"/>
        <v>4.6196682610894744</v>
      </c>
      <c r="Z19" s="319">
        <f>'Cental Budget'!Z21</f>
        <v>225084910.21999997</v>
      </c>
      <c r="AA19" s="320">
        <f t="shared" si="7"/>
        <v>5.3129920977221756</v>
      </c>
      <c r="AB19" s="513"/>
      <c r="AC19" s="513"/>
      <c r="AD19" s="511"/>
      <c r="AE19" s="511"/>
      <c r="AF19" s="511"/>
      <c r="AG19" s="511"/>
      <c r="AH19" s="511"/>
      <c r="AI19" s="511"/>
      <c r="AJ19" s="511"/>
      <c r="AK19" s="511"/>
      <c r="AL19" s="511"/>
      <c r="AM19" s="511"/>
      <c r="AN19" s="511"/>
      <c r="AO19" s="511"/>
      <c r="AP19" s="584"/>
      <c r="AQ19" s="585"/>
      <c r="AR19" s="585"/>
      <c r="AS19" s="585"/>
      <c r="AT19" s="585"/>
      <c r="AU19" s="585"/>
      <c r="AV19" s="585"/>
      <c r="AW19" s="585"/>
      <c r="AX19" s="585"/>
      <c r="AY19" s="585"/>
      <c r="AZ19" s="585"/>
      <c r="BA19" s="585"/>
      <c r="BB19" s="322"/>
      <c r="BC19" s="584"/>
      <c r="BD19" s="585"/>
      <c r="BE19" s="585"/>
      <c r="BF19" s="585"/>
      <c r="BG19" s="585"/>
      <c r="BH19" s="585"/>
      <c r="BI19" s="585"/>
      <c r="BJ19" s="585"/>
      <c r="BK19" s="585"/>
      <c r="BL19" s="585"/>
      <c r="BM19" s="585"/>
      <c r="BN19" s="585"/>
      <c r="BO19" s="584"/>
      <c r="BP19" s="585"/>
      <c r="BQ19" s="585"/>
      <c r="BR19" s="585"/>
      <c r="BS19" s="585"/>
      <c r="BT19" s="585"/>
      <c r="BU19" s="585"/>
      <c r="BV19" s="585"/>
      <c r="BW19" s="585"/>
      <c r="BX19" s="585"/>
      <c r="BY19" s="585"/>
      <c r="BZ19" s="585"/>
      <c r="CA19" s="322"/>
      <c r="CB19" s="322"/>
      <c r="CC19" s="322"/>
      <c r="CD19" s="322"/>
      <c r="CE19" s="322"/>
      <c r="CF19" s="322"/>
      <c r="CG19" s="322"/>
      <c r="CH19" s="322"/>
      <c r="CI19" s="322"/>
      <c r="CJ19" s="322"/>
      <c r="CK19" s="322"/>
      <c r="CL19" s="322"/>
      <c r="CM19" s="584"/>
      <c r="CN19" s="585"/>
      <c r="CO19" s="585"/>
      <c r="CP19" s="585"/>
      <c r="CQ19" s="585"/>
      <c r="CR19" s="585"/>
      <c r="CS19" s="585"/>
      <c r="CT19" s="585"/>
      <c r="CU19" s="585"/>
      <c r="CV19" s="585"/>
      <c r="CW19" s="585"/>
      <c r="CX19" s="585"/>
      <c r="CY19" s="296"/>
      <c r="CZ19" s="296"/>
      <c r="DA19" s="296"/>
      <c r="DB19" s="296"/>
      <c r="DC19" s="296"/>
      <c r="DD19" s="296"/>
      <c r="DE19" s="296"/>
      <c r="DF19" s="296"/>
      <c r="DG19" s="296"/>
      <c r="DH19" s="296"/>
      <c r="DI19" s="296"/>
      <c r="DJ19" s="296"/>
      <c r="DK19" s="296"/>
      <c r="DL19" s="296"/>
      <c r="DM19" s="296"/>
      <c r="DN19" s="296"/>
      <c r="DO19" s="296"/>
      <c r="DP19" s="296"/>
      <c r="DQ19" s="296"/>
      <c r="DR19" s="296"/>
      <c r="DS19" s="296"/>
      <c r="DT19" s="296"/>
      <c r="DU19" s="296"/>
      <c r="DV19" s="296"/>
      <c r="DW19" s="296"/>
      <c r="DX19" s="296"/>
      <c r="DY19" s="296"/>
      <c r="DZ19" s="296"/>
      <c r="EA19" s="296"/>
      <c r="EB19" s="296"/>
      <c r="EC19" s="296"/>
      <c r="ED19" s="296"/>
      <c r="EE19" s="296"/>
      <c r="EF19" s="296"/>
      <c r="EG19" s="296"/>
      <c r="EH19" s="296"/>
      <c r="EI19" s="296"/>
      <c r="EJ19" s="296"/>
      <c r="EK19" s="296"/>
      <c r="EL19" s="296"/>
      <c r="EM19" s="296"/>
      <c r="EN19" s="296"/>
      <c r="EO19" s="296"/>
      <c r="EP19" s="296"/>
      <c r="EQ19" s="296"/>
      <c r="ER19" s="296"/>
      <c r="ES19" s="296"/>
      <c r="ET19" s="296"/>
      <c r="EU19" s="296"/>
      <c r="EV19" s="296"/>
      <c r="EW19" s="296"/>
      <c r="EX19" s="296"/>
      <c r="EY19" s="296"/>
      <c r="EZ19" s="324"/>
      <c r="FA19" s="296"/>
      <c r="FB19" s="296"/>
      <c r="FC19" s="296"/>
      <c r="FD19" s="296"/>
      <c r="FE19" s="297"/>
      <c r="FF19" s="296"/>
      <c r="FG19" s="296"/>
      <c r="FH19" s="296"/>
      <c r="FI19" s="296"/>
      <c r="FJ19" s="296"/>
      <c r="FK19" s="296"/>
      <c r="FL19" s="296"/>
      <c r="FM19" s="296"/>
      <c r="FN19" s="296"/>
      <c r="FO19" s="296"/>
      <c r="FP19" s="296"/>
      <c r="FQ19" s="296"/>
      <c r="FR19" s="296"/>
      <c r="FS19" s="296"/>
      <c r="FT19" s="296"/>
      <c r="FU19" s="296"/>
      <c r="FV19" s="296"/>
      <c r="FW19" s="296"/>
      <c r="FX19" s="296"/>
      <c r="FY19" s="296"/>
      <c r="FZ19" s="296"/>
      <c r="GA19" s="296"/>
      <c r="GB19" s="296"/>
      <c r="GC19" s="296"/>
      <c r="GD19" s="296"/>
      <c r="GE19" s="296"/>
      <c r="GF19" s="296"/>
      <c r="GG19" s="296"/>
      <c r="GH19" s="296"/>
      <c r="GI19" s="296"/>
      <c r="GJ19" s="296"/>
      <c r="GK19" s="296"/>
      <c r="GL19" s="296"/>
      <c r="GM19" s="296"/>
      <c r="GN19" s="296"/>
      <c r="GO19" s="296"/>
      <c r="GP19" s="296"/>
      <c r="GQ19" s="296"/>
      <c r="GR19" s="296"/>
      <c r="GS19" s="296"/>
      <c r="GT19" s="296"/>
      <c r="GU19" s="296"/>
      <c r="GV19" s="296"/>
      <c r="GW19" s="296"/>
      <c r="GX19" s="296"/>
      <c r="GY19" s="296"/>
      <c r="GZ19" s="296"/>
      <c r="HA19" s="296"/>
      <c r="HB19" s="296"/>
      <c r="HC19" s="296"/>
      <c r="HD19" s="296"/>
      <c r="HE19" s="296"/>
      <c r="HF19" s="296"/>
      <c r="HG19" s="296"/>
      <c r="HH19" s="296"/>
      <c r="HI19" s="296"/>
    </row>
    <row r="20" spans="1:217" ht="19.5" customHeight="1">
      <c r="A20" s="291"/>
      <c r="B20" s="150"/>
      <c r="C20" s="318" t="str">
        <f>IF([3]MasterSheet!$A$1=1,[3]MasterSheet!C266,[3]MasterSheet!B266)</f>
        <v>Porez na međunarodnu trgovinu i transakcije</v>
      </c>
      <c r="D20" s="319">
        <f>+'[3]Cental Budget_int'!D22</f>
        <v>56766223.619999953</v>
      </c>
      <c r="E20" s="320">
        <f t="shared" si="8"/>
        <v>2.6416410079575572</v>
      </c>
      <c r="F20" s="319">
        <f>+'[3]Cental Budget_int'!F22</f>
        <v>68495722.040000007</v>
      </c>
      <c r="G20" s="320">
        <f t="shared" si="0"/>
        <v>2.5553337825032645</v>
      </c>
      <c r="H20" s="319">
        <f>+'[3]Cental Budget_int'!H22</f>
        <v>72926890</v>
      </c>
      <c r="I20" s="320">
        <f t="shared" si="1"/>
        <v>2.3634589707026183</v>
      </c>
      <c r="J20" s="319">
        <f>+'[3]Cental Budget_int'!J22</f>
        <v>49121124</v>
      </c>
      <c r="K20" s="320">
        <f t="shared" si="2"/>
        <v>1.6478069104327406</v>
      </c>
      <c r="L20" s="319">
        <f>+'[3]Cental Budget_int'!L22</f>
        <v>50811537.57</v>
      </c>
      <c r="M20" s="320">
        <f t="shared" si="3"/>
        <v>1.6259692022400001</v>
      </c>
      <c r="N20" s="319">
        <f>+'[3]Cental Budget_int'!N22</f>
        <v>45327985.280000009</v>
      </c>
      <c r="O20" s="320">
        <f t="shared" si="4"/>
        <v>1.3882997022970907</v>
      </c>
      <c r="P20" s="319">
        <f>+'[3]Cental Budget_int'!P22</f>
        <v>28965025.329999998</v>
      </c>
      <c r="Q20" s="320">
        <f t="shared" si="5"/>
        <v>0.91056351241747879</v>
      </c>
      <c r="R20" s="319">
        <f>+'[3]Cental Budget_int'!R22</f>
        <v>22269382.640000001</v>
      </c>
      <c r="S20" s="320">
        <f t="shared" si="9"/>
        <v>0.66238496847114814</v>
      </c>
      <c r="T20" s="319">
        <f>+'[3]Cental Budget_int'!T22</f>
        <v>22270229.460000001</v>
      </c>
      <c r="U20" s="320">
        <f t="shared" si="10"/>
        <v>0.64403914109719773</v>
      </c>
      <c r="V20" s="319">
        <f>+'[3]Cental Budget_int'!V22</f>
        <v>22887481.920000002</v>
      </c>
      <c r="W20" s="321">
        <f t="shared" si="11"/>
        <v>0.62619649575923397</v>
      </c>
      <c r="X20" s="319">
        <f>'Cental Budget'!X22</f>
        <v>24283642.720000003</v>
      </c>
      <c r="Y20" s="320">
        <f t="shared" si="6"/>
        <v>0.61412277375954694</v>
      </c>
      <c r="Z20" s="319">
        <f>'Cental Budget'!Z22</f>
        <v>25424800.799999997</v>
      </c>
      <c r="AA20" s="320">
        <f t="shared" si="7"/>
        <v>0.60013692434792865</v>
      </c>
      <c r="AB20" s="513"/>
      <c r="AC20" s="513"/>
      <c r="AD20" s="511"/>
      <c r="AE20" s="511"/>
      <c r="AF20" s="511"/>
      <c r="AG20" s="511"/>
      <c r="AH20" s="511"/>
      <c r="AI20" s="511"/>
      <c r="AJ20" s="511"/>
      <c r="AK20" s="511"/>
      <c r="AL20" s="511"/>
      <c r="AM20" s="511"/>
      <c r="AN20" s="511"/>
      <c r="AO20" s="511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  <c r="BS20" s="296"/>
      <c r="BT20" s="296"/>
      <c r="BU20" s="296"/>
      <c r="BV20" s="296"/>
      <c r="BW20" s="296"/>
      <c r="BX20" s="296"/>
      <c r="BY20" s="296"/>
      <c r="BZ20" s="296"/>
      <c r="CA20" s="296"/>
      <c r="CB20" s="296"/>
      <c r="CC20" s="296"/>
      <c r="CD20" s="296"/>
      <c r="CE20" s="296"/>
      <c r="CF20" s="296"/>
      <c r="CG20" s="296"/>
      <c r="CH20" s="296"/>
      <c r="CI20" s="296"/>
      <c r="CJ20" s="296"/>
      <c r="CK20" s="296"/>
      <c r="CL20" s="296"/>
      <c r="CM20" s="296"/>
      <c r="CN20" s="296"/>
      <c r="CO20" s="296"/>
      <c r="CP20" s="296"/>
      <c r="CQ20" s="296"/>
      <c r="CR20" s="296"/>
      <c r="CS20" s="296"/>
      <c r="CT20" s="296"/>
      <c r="CU20" s="296"/>
      <c r="CV20" s="296"/>
      <c r="CW20" s="296"/>
      <c r="CX20" s="296"/>
      <c r="CY20" s="296"/>
      <c r="CZ20" s="296"/>
      <c r="DA20" s="296"/>
      <c r="DB20" s="296"/>
      <c r="DC20" s="296"/>
      <c r="DD20" s="296"/>
      <c r="DE20" s="296"/>
      <c r="DF20" s="296"/>
      <c r="DG20" s="296"/>
      <c r="DH20" s="296"/>
      <c r="DI20" s="296"/>
      <c r="DJ20" s="296"/>
      <c r="DK20" s="296"/>
      <c r="DL20" s="296"/>
      <c r="DM20" s="296"/>
      <c r="DN20" s="296"/>
      <c r="DO20" s="296"/>
      <c r="DP20" s="296"/>
      <c r="DQ20" s="296"/>
      <c r="DR20" s="296"/>
      <c r="DS20" s="296"/>
      <c r="DT20" s="296"/>
      <c r="DU20" s="296"/>
      <c r="DV20" s="296"/>
      <c r="DW20" s="296"/>
      <c r="DX20" s="296"/>
      <c r="DY20" s="296"/>
      <c r="DZ20" s="296"/>
      <c r="EA20" s="296"/>
      <c r="EB20" s="296"/>
      <c r="EC20" s="296"/>
      <c r="ED20" s="296"/>
      <c r="EE20" s="296"/>
      <c r="EF20" s="296"/>
      <c r="EG20" s="296"/>
      <c r="EH20" s="296"/>
      <c r="EI20" s="296"/>
      <c r="EJ20" s="296"/>
      <c r="EK20" s="296"/>
      <c r="EL20" s="296"/>
      <c r="EM20" s="296"/>
      <c r="EN20" s="296"/>
      <c r="EO20" s="296"/>
      <c r="EP20" s="296"/>
      <c r="EQ20" s="296"/>
      <c r="ER20" s="296"/>
      <c r="ES20" s="296"/>
      <c r="ET20" s="296"/>
      <c r="EU20" s="296"/>
      <c r="EV20" s="296"/>
      <c r="EW20" s="296"/>
      <c r="EX20" s="296"/>
      <c r="EY20" s="296"/>
      <c r="EZ20" s="296"/>
      <c r="FA20" s="296"/>
      <c r="FB20" s="296"/>
      <c r="FC20" s="296"/>
      <c r="FD20" s="296"/>
      <c r="FE20" s="297"/>
      <c r="FF20" s="296"/>
      <c r="FG20" s="296"/>
      <c r="FH20" s="296"/>
      <c r="FI20" s="296"/>
      <c r="FJ20" s="296"/>
      <c r="FK20" s="296"/>
      <c r="FL20" s="296"/>
      <c r="FM20" s="296"/>
      <c r="FN20" s="296"/>
      <c r="FO20" s="296"/>
      <c r="FP20" s="296"/>
      <c r="FQ20" s="296"/>
      <c r="FR20" s="296"/>
      <c r="FS20" s="296"/>
      <c r="FT20" s="296"/>
      <c r="FU20" s="296"/>
      <c r="FV20" s="296"/>
      <c r="FW20" s="296"/>
      <c r="FX20" s="296"/>
      <c r="FY20" s="296"/>
      <c r="FZ20" s="296"/>
      <c r="GA20" s="296"/>
      <c r="GB20" s="296"/>
      <c r="GC20" s="296"/>
      <c r="GD20" s="296"/>
      <c r="GE20" s="296"/>
      <c r="GF20" s="296"/>
      <c r="GG20" s="296"/>
      <c r="GH20" s="296"/>
      <c r="GI20" s="296"/>
      <c r="GJ20" s="296"/>
      <c r="GK20" s="296"/>
      <c r="GL20" s="296"/>
      <c r="GM20" s="296"/>
      <c r="GN20" s="296"/>
      <c r="GO20" s="296"/>
      <c r="GP20" s="296"/>
      <c r="GQ20" s="296"/>
      <c r="GR20" s="296"/>
      <c r="GS20" s="296"/>
      <c r="GT20" s="296"/>
      <c r="GU20" s="296"/>
      <c r="GV20" s="296"/>
      <c r="GW20" s="296"/>
      <c r="GX20" s="296"/>
      <c r="GY20" s="296"/>
      <c r="GZ20" s="296"/>
      <c r="HA20" s="296"/>
      <c r="HB20" s="296"/>
      <c r="HC20" s="296"/>
      <c r="HD20" s="296"/>
      <c r="HE20" s="296"/>
      <c r="HF20" s="296"/>
      <c r="HG20" s="296"/>
      <c r="HH20" s="296"/>
      <c r="HI20" s="296"/>
    </row>
    <row r="21" spans="1:217" ht="15" customHeight="1">
      <c r="A21" s="291"/>
      <c r="B21" s="150"/>
      <c r="C21" s="318" t="str">
        <f>IF([3]MasterSheet!$A$1=1,[3]MasterSheet!C267,[3]MasterSheet!B267)</f>
        <v>Lokalni porezi</v>
      </c>
      <c r="D21" s="325">
        <f>+'[3]Local Government_int'!D18</f>
        <v>17125994.16</v>
      </c>
      <c r="E21" s="320">
        <f t="shared" si="8"/>
        <v>0.79696561775792263</v>
      </c>
      <c r="F21" s="325">
        <f>+'[3]Local Government_int'!F18</f>
        <v>32617784</v>
      </c>
      <c r="G21" s="320">
        <f t="shared" si="0"/>
        <v>1.2168544674501025</v>
      </c>
      <c r="H21" s="325">
        <f>+'[3]Local Government_int'!H18</f>
        <v>39769507</v>
      </c>
      <c r="I21" s="320">
        <f t="shared" si="1"/>
        <v>1.2888743518278454</v>
      </c>
      <c r="J21" s="325">
        <f>+'[3]Local Government_int'!J18</f>
        <v>42246040.649999999</v>
      </c>
      <c r="K21" s="320">
        <f t="shared" si="2"/>
        <v>1.4171768081180811</v>
      </c>
      <c r="L21" s="325">
        <f>+'[3]Local Government_int'!L18</f>
        <v>44590000</v>
      </c>
      <c r="M21" s="320">
        <f t="shared" si="3"/>
        <v>1.4268799999999999</v>
      </c>
      <c r="N21" s="325">
        <f>+'[3]Local Government_int'!N18</f>
        <v>44446728.650000006</v>
      </c>
      <c r="O21" s="320">
        <f t="shared" si="4"/>
        <v>1.3613086875957123</v>
      </c>
      <c r="P21" s="325">
        <f>+'[3]Local Government_int'!P18</f>
        <v>58153320.149999999</v>
      </c>
      <c r="Q21" s="320">
        <f t="shared" si="5"/>
        <v>1.8281458707953475</v>
      </c>
      <c r="R21" s="325">
        <f>+'[3]Local Government_int'!R18</f>
        <v>66596000.75</v>
      </c>
      <c r="S21" s="320">
        <f t="shared" si="9"/>
        <v>1.980844757584771</v>
      </c>
      <c r="T21" s="325">
        <f>+'[3]Local Government_int'!T18</f>
        <v>71096555.519999996</v>
      </c>
      <c r="U21" s="320">
        <f t="shared" si="10"/>
        <v>2.0560616420370748</v>
      </c>
      <c r="V21" s="325">
        <f>+'[3]Local Government_int'!V18</f>
        <v>75997609.719999999</v>
      </c>
      <c r="W21" s="321">
        <f t="shared" si="11"/>
        <v>2.0792779677154583</v>
      </c>
      <c r="X21" s="325">
        <f>'Local Government_int'!X18</f>
        <v>77411609.49000001</v>
      </c>
      <c r="Y21" s="320">
        <f t="shared" si="6"/>
        <v>1.9577059706135251</v>
      </c>
      <c r="Z21" s="325">
        <f>'Local Government_int'!Z18</f>
        <v>85907944.99000001</v>
      </c>
      <c r="AA21" s="320">
        <f t="shared" si="7"/>
        <v>2.0278046734332591</v>
      </c>
      <c r="AB21" s="513"/>
      <c r="AC21" s="513"/>
      <c r="AD21" s="511"/>
      <c r="AE21" s="511"/>
      <c r="AF21" s="511"/>
      <c r="AG21" s="511"/>
      <c r="AH21" s="511"/>
      <c r="AI21" s="511"/>
      <c r="AJ21" s="511"/>
      <c r="AK21" s="511"/>
      <c r="AL21" s="511"/>
      <c r="AM21" s="511"/>
      <c r="AN21" s="511"/>
      <c r="AO21" s="511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6"/>
      <c r="CA21" s="296"/>
      <c r="CB21" s="296"/>
      <c r="CC21" s="296"/>
      <c r="CD21" s="296"/>
      <c r="CE21" s="296"/>
      <c r="CF21" s="296"/>
      <c r="CG21" s="296"/>
      <c r="CH21" s="296"/>
      <c r="CI21" s="296"/>
      <c r="CJ21" s="296"/>
      <c r="CK21" s="296"/>
      <c r="CL21" s="296"/>
      <c r="CM21" s="296"/>
      <c r="CN21" s="296"/>
      <c r="CO21" s="296"/>
      <c r="CP21" s="296"/>
      <c r="CQ21" s="296"/>
      <c r="CR21" s="296"/>
      <c r="CS21" s="296"/>
      <c r="CT21" s="296"/>
      <c r="CU21" s="296"/>
      <c r="CV21" s="296"/>
      <c r="CW21" s="296"/>
      <c r="CX21" s="296"/>
      <c r="CY21" s="296"/>
      <c r="CZ21" s="296"/>
      <c r="DA21" s="296"/>
      <c r="DB21" s="296"/>
      <c r="DC21" s="296"/>
      <c r="DD21" s="296"/>
      <c r="DE21" s="296"/>
      <c r="DF21" s="296"/>
      <c r="DG21" s="296"/>
      <c r="DH21" s="296"/>
      <c r="DI21" s="296"/>
      <c r="DJ21" s="296"/>
      <c r="DK21" s="296"/>
      <c r="DL21" s="296"/>
      <c r="DM21" s="296"/>
      <c r="DN21" s="296"/>
      <c r="DO21" s="296"/>
      <c r="DP21" s="296"/>
      <c r="DQ21" s="296"/>
      <c r="DR21" s="296"/>
      <c r="DS21" s="296"/>
      <c r="DT21" s="296"/>
      <c r="DU21" s="296"/>
      <c r="DV21" s="296"/>
      <c r="DW21" s="296"/>
      <c r="DX21" s="296"/>
      <c r="DY21" s="296"/>
      <c r="DZ21" s="296"/>
      <c r="EA21" s="296"/>
      <c r="EB21" s="296"/>
      <c r="EC21" s="296"/>
      <c r="ED21" s="296"/>
      <c r="EE21" s="296"/>
      <c r="EF21" s="296"/>
      <c r="EG21" s="296"/>
      <c r="EH21" s="296"/>
      <c r="EI21" s="296"/>
      <c r="EJ21" s="296"/>
      <c r="EK21" s="296"/>
      <c r="EL21" s="296"/>
      <c r="EM21" s="296"/>
      <c r="EN21" s="296"/>
      <c r="EO21" s="296"/>
      <c r="EP21" s="296"/>
      <c r="EQ21" s="296"/>
      <c r="ER21" s="296"/>
      <c r="ES21" s="296"/>
      <c r="ET21" s="296"/>
      <c r="EU21" s="296"/>
      <c r="EV21" s="296"/>
      <c r="EW21" s="296"/>
      <c r="EX21" s="296"/>
      <c r="EY21" s="296"/>
      <c r="EZ21" s="296"/>
      <c r="FA21" s="296"/>
      <c r="FB21" s="296"/>
      <c r="FC21" s="296"/>
      <c r="FD21" s="296"/>
      <c r="FE21" s="297"/>
      <c r="FF21" s="296"/>
      <c r="FG21" s="296"/>
      <c r="FH21" s="296"/>
      <c r="FI21" s="296"/>
      <c r="FJ21" s="296"/>
      <c r="FK21" s="296"/>
      <c r="FL21" s="296"/>
      <c r="FM21" s="296"/>
      <c r="FN21" s="296"/>
      <c r="FO21" s="296"/>
      <c r="FP21" s="296"/>
      <c r="FQ21" s="296"/>
      <c r="FR21" s="296"/>
      <c r="FS21" s="296"/>
      <c r="FT21" s="296"/>
      <c r="FU21" s="296"/>
      <c r="FV21" s="296"/>
      <c r="FW21" s="296"/>
      <c r="FX21" s="296"/>
      <c r="FY21" s="296"/>
      <c r="FZ21" s="296"/>
      <c r="GA21" s="296"/>
      <c r="GB21" s="296"/>
      <c r="GC21" s="296"/>
      <c r="GD21" s="296"/>
      <c r="GE21" s="296"/>
      <c r="GF21" s="296"/>
      <c r="GG21" s="296"/>
      <c r="GH21" s="296"/>
      <c r="GI21" s="296"/>
      <c r="GJ21" s="296"/>
      <c r="GK21" s="296"/>
      <c r="GL21" s="296"/>
      <c r="GM21" s="296"/>
      <c r="GN21" s="296"/>
      <c r="GO21" s="296"/>
      <c r="GP21" s="296"/>
      <c r="GQ21" s="296"/>
      <c r="GR21" s="296"/>
      <c r="GS21" s="296"/>
      <c r="GT21" s="296"/>
      <c r="GU21" s="296"/>
      <c r="GV21" s="296"/>
      <c r="GW21" s="296"/>
      <c r="GX21" s="296"/>
      <c r="GY21" s="296"/>
      <c r="GZ21" s="296"/>
      <c r="HA21" s="296"/>
      <c r="HB21" s="296"/>
      <c r="HC21" s="296"/>
      <c r="HD21" s="296"/>
      <c r="HE21" s="296"/>
      <c r="HF21" s="296"/>
      <c r="HG21" s="296"/>
      <c r="HH21" s="296"/>
      <c r="HI21" s="296"/>
    </row>
    <row r="22" spans="1:217" ht="15" customHeight="1">
      <c r="A22" s="150"/>
      <c r="B22" s="150"/>
      <c r="C22" s="318" t="str">
        <f>IF([3]MasterSheet!$A$1=1,[3]MasterSheet!C268,[3]MasterSheet!B268)</f>
        <v>Ostali državni porezi</v>
      </c>
      <c r="D22" s="319">
        <f>+'[3]Cental Budget_int'!D23</f>
        <v>4535766.87</v>
      </c>
      <c r="E22" s="320">
        <f t="shared" si="8"/>
        <v>0.21107389222392853</v>
      </c>
      <c r="F22" s="319">
        <f>+'[3]Cental Budget_int'!F23</f>
        <v>6739308.9000000004</v>
      </c>
      <c r="G22" s="320">
        <f t="shared" si="0"/>
        <v>0.25141984331281481</v>
      </c>
      <c r="H22" s="319">
        <f>+'[3]Cental Budget_int'!H23</f>
        <v>8529592.9000000004</v>
      </c>
      <c r="I22" s="320">
        <f t="shared" si="1"/>
        <v>0.27643223036038372</v>
      </c>
      <c r="J22" s="319">
        <f>+'[3]Cental Budget_int'!J23</f>
        <v>8920856</v>
      </c>
      <c r="K22" s="320">
        <f t="shared" si="2"/>
        <v>0.2992571620261657</v>
      </c>
      <c r="L22" s="319">
        <f>+'[3]Cental Budget_int'!L23</f>
        <v>11587063.199999999</v>
      </c>
      <c r="M22" s="320">
        <f t="shared" si="3"/>
        <v>0.37078602239999997</v>
      </c>
      <c r="N22" s="319">
        <f>+'[3]Cental Budget_int'!N23</f>
        <v>4148584.0999999996</v>
      </c>
      <c r="O22" s="320">
        <f t="shared" si="4"/>
        <v>0.12706230015313935</v>
      </c>
      <c r="P22" s="319">
        <f>+'[3]Cental Budget_int'!P23</f>
        <v>4279140.05</v>
      </c>
      <c r="Q22" s="320">
        <f t="shared" si="5"/>
        <v>0.13452185004715497</v>
      </c>
      <c r="R22" s="319">
        <f>+'[3]Cental Budget_int'!R23</f>
        <v>5088811.75</v>
      </c>
      <c r="S22" s="320">
        <f t="shared" si="9"/>
        <v>0.15136263384889945</v>
      </c>
      <c r="T22" s="319">
        <f>+'[3]Cental Budget_int'!T23</f>
        <v>5971620.4600000009</v>
      </c>
      <c r="U22" s="320">
        <f t="shared" si="10"/>
        <v>0.17269500159056075</v>
      </c>
      <c r="V22" s="319">
        <f>+'[3]Cental Budget_int'!V23</f>
        <v>7119542.1799999997</v>
      </c>
      <c r="W22" s="321">
        <f t="shared" si="11"/>
        <v>0.19478911573187413</v>
      </c>
      <c r="X22" s="319">
        <f>'Cental Budget'!X23</f>
        <v>9199394.8100000005</v>
      </c>
      <c r="Y22" s="320">
        <f t="shared" si="6"/>
        <v>0.23264869784027112</v>
      </c>
      <c r="Z22" s="319">
        <f>'Cental Budget'!Z23</f>
        <v>9199739.3499999996</v>
      </c>
      <c r="AA22" s="320">
        <f t="shared" si="7"/>
        <v>0.21715423934851882</v>
      </c>
      <c r="AB22" s="513"/>
      <c r="AC22" s="513"/>
      <c r="AD22" s="511"/>
      <c r="AE22" s="511"/>
      <c r="AF22" s="511"/>
      <c r="AG22" s="511"/>
      <c r="AH22" s="511"/>
      <c r="AI22" s="511"/>
      <c r="AJ22" s="511"/>
      <c r="AK22" s="511"/>
      <c r="AL22" s="511"/>
      <c r="AM22" s="511"/>
      <c r="AN22" s="511"/>
      <c r="AO22" s="511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6"/>
      <c r="BO22" s="296"/>
      <c r="BP22" s="296"/>
      <c r="BQ22" s="296"/>
      <c r="BR22" s="296"/>
      <c r="BS22" s="296"/>
      <c r="BT22" s="296"/>
      <c r="BU22" s="296"/>
      <c r="BV22" s="296"/>
      <c r="BW22" s="296"/>
      <c r="BX22" s="296"/>
      <c r="BY22" s="296"/>
      <c r="BZ22" s="296"/>
      <c r="CA22" s="296"/>
      <c r="CB22" s="296"/>
      <c r="CC22" s="296"/>
      <c r="CD22" s="296"/>
      <c r="CE22" s="296"/>
      <c r="CF22" s="296"/>
      <c r="CG22" s="296"/>
      <c r="CH22" s="296"/>
      <c r="CI22" s="296"/>
      <c r="CJ22" s="296"/>
      <c r="CK22" s="296"/>
      <c r="CL22" s="296"/>
      <c r="CM22" s="296"/>
      <c r="CN22" s="296"/>
      <c r="CO22" s="296"/>
      <c r="CP22" s="296"/>
      <c r="CQ22" s="296"/>
      <c r="CR22" s="296"/>
      <c r="CS22" s="296"/>
      <c r="CT22" s="296"/>
      <c r="CU22" s="296"/>
      <c r="CV22" s="296"/>
      <c r="CW22" s="296"/>
      <c r="CX22" s="296"/>
      <c r="CY22" s="296"/>
      <c r="CZ22" s="296"/>
      <c r="DA22" s="296"/>
      <c r="DB22" s="296"/>
      <c r="DC22" s="296"/>
      <c r="DD22" s="296"/>
      <c r="DE22" s="296"/>
      <c r="DF22" s="296"/>
      <c r="DG22" s="296"/>
      <c r="DH22" s="296"/>
      <c r="DI22" s="296"/>
      <c r="DJ22" s="296"/>
      <c r="DK22" s="296"/>
      <c r="DL22" s="296"/>
      <c r="DM22" s="296"/>
      <c r="DN22" s="296"/>
      <c r="DO22" s="296"/>
      <c r="DP22" s="296"/>
      <c r="DQ22" s="296"/>
      <c r="DR22" s="296"/>
      <c r="DS22" s="296"/>
      <c r="DT22" s="296"/>
      <c r="DU22" s="296"/>
      <c r="DV22" s="296"/>
      <c r="DW22" s="296"/>
      <c r="DX22" s="296"/>
      <c r="DY22" s="296"/>
      <c r="DZ22" s="296"/>
      <c r="EA22" s="296"/>
      <c r="EB22" s="296"/>
      <c r="EC22" s="296"/>
      <c r="ED22" s="296"/>
      <c r="EE22" s="296"/>
      <c r="EF22" s="296"/>
      <c r="EG22" s="296"/>
      <c r="EH22" s="296"/>
      <c r="EI22" s="296"/>
      <c r="EJ22" s="296"/>
      <c r="EK22" s="296"/>
      <c r="EL22" s="296"/>
      <c r="EM22" s="296"/>
      <c r="EN22" s="296"/>
      <c r="EO22" s="296"/>
      <c r="EP22" s="296"/>
      <c r="EQ22" s="296"/>
      <c r="ER22" s="296"/>
      <c r="ES22" s="296"/>
      <c r="ET22" s="296"/>
      <c r="EU22" s="296"/>
      <c r="EV22" s="296"/>
      <c r="EW22" s="296"/>
      <c r="EX22" s="296"/>
      <c r="EY22" s="296"/>
      <c r="EZ22" s="296"/>
      <c r="FA22" s="296"/>
      <c r="FB22" s="296"/>
      <c r="FC22" s="296"/>
      <c r="FD22" s="296"/>
      <c r="FE22" s="297"/>
      <c r="FF22" s="296"/>
      <c r="FG22" s="296"/>
      <c r="FH22" s="296"/>
      <c r="FI22" s="296"/>
      <c r="FJ22" s="296"/>
      <c r="FK22" s="296"/>
      <c r="FL22" s="296"/>
      <c r="FM22" s="296"/>
      <c r="FN22" s="296"/>
      <c r="FO22" s="296"/>
      <c r="FP22" s="296"/>
      <c r="FQ22" s="296"/>
      <c r="FR22" s="296"/>
      <c r="FS22" s="296"/>
      <c r="FT22" s="296"/>
      <c r="FU22" s="296"/>
      <c r="FV22" s="296"/>
      <c r="FW22" s="296"/>
      <c r="FX22" s="296"/>
      <c r="FY22" s="296"/>
      <c r="FZ22" s="296"/>
      <c r="GA22" s="296"/>
      <c r="GB22" s="296"/>
      <c r="GC22" s="296"/>
      <c r="GD22" s="296"/>
      <c r="GE22" s="296"/>
      <c r="GF22" s="296"/>
      <c r="GG22" s="296"/>
      <c r="GH22" s="296"/>
      <c r="GI22" s="296"/>
      <c r="GJ22" s="296"/>
      <c r="GK22" s="296"/>
      <c r="GL22" s="296"/>
      <c r="GM22" s="296"/>
      <c r="GN22" s="296"/>
      <c r="GO22" s="296"/>
      <c r="GP22" s="296"/>
      <c r="GQ22" s="296"/>
      <c r="GR22" s="296"/>
      <c r="GS22" s="296"/>
      <c r="GT22" s="296"/>
      <c r="GU22" s="296"/>
      <c r="GV22" s="296"/>
      <c r="GW22" s="296"/>
      <c r="GX22" s="296"/>
      <c r="GY22" s="296"/>
      <c r="GZ22" s="296"/>
      <c r="HA22" s="296"/>
      <c r="HB22" s="296"/>
      <c r="HC22" s="296"/>
      <c r="HD22" s="296"/>
      <c r="HE22" s="296"/>
      <c r="HF22" s="296"/>
      <c r="HG22" s="296"/>
      <c r="HH22" s="296"/>
      <c r="HI22" s="296"/>
    </row>
    <row r="23" spans="1:217" ht="15" customHeight="1">
      <c r="A23" s="150"/>
      <c r="B23" s="150"/>
      <c r="C23" s="326" t="str">
        <f>IF([3]MasterSheet!$A$1=1,[3]MasterSheet!C269,[3]MasterSheet!B269)</f>
        <v>Doprinosi</v>
      </c>
      <c r="D23" s="327">
        <f>SUM(D24:D27)</f>
        <v>255157132.13</v>
      </c>
      <c r="E23" s="328">
        <f t="shared" si="8"/>
        <v>11.873848579738471</v>
      </c>
      <c r="F23" s="327">
        <f>SUM(F24:F27)</f>
        <v>306787808.32999998</v>
      </c>
      <c r="G23" s="328">
        <f t="shared" si="0"/>
        <v>11.445170987875395</v>
      </c>
      <c r="H23" s="327">
        <f>SUM(H24:H27)</f>
        <v>339912631.83999997</v>
      </c>
      <c r="I23" s="328">
        <f t="shared" si="1"/>
        <v>11.016095146486906</v>
      </c>
      <c r="J23" s="327">
        <f>SUM(J24:J27)</f>
        <v>307544353.24000001</v>
      </c>
      <c r="K23" s="328">
        <f t="shared" si="2"/>
        <v>10.316818290506543</v>
      </c>
      <c r="L23" s="327">
        <f>SUM(L24:L27)</f>
        <v>379756996.48000008</v>
      </c>
      <c r="M23" s="328">
        <f t="shared" si="3"/>
        <v>12.152223887360003</v>
      </c>
      <c r="N23" s="327">
        <f>SUM(N24:N27)</f>
        <v>353577453.33000004</v>
      </c>
      <c r="O23" s="328">
        <f t="shared" si="4"/>
        <v>10.82932475742726</v>
      </c>
      <c r="P23" s="327">
        <f>SUM(P24:P27)</f>
        <v>362250409.59999996</v>
      </c>
      <c r="Q23" s="328">
        <f t="shared" si="5"/>
        <v>11.387941200880224</v>
      </c>
      <c r="R23" s="327">
        <f>SUM(R24:R27)</f>
        <v>398494284.19</v>
      </c>
      <c r="S23" s="328">
        <f t="shared" si="9"/>
        <v>11.852893640392622</v>
      </c>
      <c r="T23" s="327">
        <f>SUM(T24:T27)</f>
        <v>444303244.55000001</v>
      </c>
      <c r="U23" s="328">
        <f t="shared" si="10"/>
        <v>12.848932720726452</v>
      </c>
      <c r="V23" s="327">
        <f>SUM(V24:V27)</f>
        <v>437288820.67000002</v>
      </c>
      <c r="W23" s="329">
        <f t="shared" si="11"/>
        <v>11.964126420519836</v>
      </c>
      <c r="X23" s="327">
        <f>SUM(X24:X27)</f>
        <v>462885204.29000008</v>
      </c>
      <c r="Y23" s="328">
        <f t="shared" si="6"/>
        <v>11.706165704567297</v>
      </c>
      <c r="Z23" s="327">
        <f>SUM(Z24:Z27)</f>
        <v>494952632.42000002</v>
      </c>
      <c r="AA23" s="328">
        <f t="shared" si="7"/>
        <v>11.683055173374248</v>
      </c>
      <c r="AB23" s="513"/>
      <c r="AC23" s="513"/>
      <c r="AD23" s="511"/>
      <c r="AE23" s="511"/>
      <c r="AF23" s="511"/>
      <c r="AG23" s="511"/>
      <c r="AH23" s="511"/>
      <c r="AI23" s="511"/>
      <c r="AJ23" s="511"/>
      <c r="AK23" s="511"/>
      <c r="AL23" s="511"/>
      <c r="AM23" s="511"/>
      <c r="AN23" s="511"/>
      <c r="AO23" s="511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6"/>
      <c r="BO23" s="296"/>
      <c r="BP23" s="296"/>
      <c r="BQ23" s="296"/>
      <c r="BR23" s="296"/>
      <c r="BS23" s="296"/>
      <c r="BT23" s="296"/>
      <c r="BU23" s="296"/>
      <c r="BV23" s="296"/>
      <c r="BW23" s="296"/>
      <c r="BX23" s="296"/>
      <c r="BY23" s="296"/>
      <c r="BZ23" s="296"/>
      <c r="CA23" s="296"/>
      <c r="CB23" s="296"/>
      <c r="CC23" s="296"/>
      <c r="CD23" s="296"/>
      <c r="CE23" s="296"/>
      <c r="CF23" s="296"/>
      <c r="CG23" s="296"/>
      <c r="CH23" s="296"/>
      <c r="CI23" s="296"/>
      <c r="CJ23" s="296"/>
      <c r="CK23" s="296"/>
      <c r="CL23" s="296"/>
      <c r="CM23" s="296"/>
      <c r="CN23" s="296"/>
      <c r="CO23" s="296"/>
      <c r="CP23" s="296"/>
      <c r="CQ23" s="296"/>
      <c r="CR23" s="296"/>
      <c r="CS23" s="296"/>
      <c r="CT23" s="296"/>
      <c r="CU23" s="296"/>
      <c r="CV23" s="296"/>
      <c r="CW23" s="296"/>
      <c r="CX23" s="296"/>
      <c r="CY23" s="296"/>
      <c r="CZ23" s="296"/>
      <c r="DA23" s="330"/>
      <c r="DB23" s="330"/>
      <c r="DC23" s="296"/>
      <c r="DD23" s="296"/>
      <c r="DE23" s="296"/>
      <c r="DF23" s="296"/>
      <c r="DG23" s="296"/>
      <c r="DH23" s="296"/>
      <c r="DI23" s="296"/>
      <c r="DJ23" s="296"/>
      <c r="DK23" s="296"/>
      <c r="DL23" s="296"/>
      <c r="DM23" s="296"/>
      <c r="DN23" s="296"/>
      <c r="DO23" s="296"/>
      <c r="DP23" s="296"/>
      <c r="DQ23" s="296"/>
      <c r="DR23" s="296"/>
      <c r="DS23" s="296"/>
      <c r="DT23" s="296"/>
      <c r="DU23" s="296"/>
      <c r="DV23" s="296"/>
      <c r="DW23" s="296"/>
      <c r="DX23" s="296"/>
      <c r="DY23" s="296"/>
      <c r="DZ23" s="296"/>
      <c r="EA23" s="296"/>
      <c r="EB23" s="296"/>
      <c r="EC23" s="296"/>
      <c r="ED23" s="296"/>
      <c r="EE23" s="296"/>
      <c r="EF23" s="296"/>
      <c r="EG23" s="296"/>
      <c r="EH23" s="296"/>
      <c r="EI23" s="296"/>
      <c r="EJ23" s="296"/>
      <c r="EK23" s="296"/>
      <c r="EL23" s="296"/>
      <c r="EM23" s="296"/>
      <c r="EN23" s="296"/>
      <c r="EO23" s="296"/>
      <c r="EP23" s="296"/>
      <c r="EQ23" s="296"/>
      <c r="ER23" s="296"/>
      <c r="ES23" s="296"/>
      <c r="ET23" s="296"/>
      <c r="EU23" s="296"/>
      <c r="EV23" s="296"/>
      <c r="EW23" s="296"/>
      <c r="EX23" s="296"/>
      <c r="EY23" s="296"/>
      <c r="EZ23" s="296"/>
      <c r="FA23" s="296"/>
      <c r="FB23" s="296"/>
      <c r="FC23" s="296"/>
      <c r="FD23" s="296"/>
      <c r="FE23" s="297"/>
      <c r="FF23" s="296"/>
      <c r="FG23" s="296"/>
      <c r="FH23" s="296"/>
      <c r="FI23" s="296"/>
      <c r="FJ23" s="296"/>
      <c r="FK23" s="296"/>
      <c r="FL23" s="296"/>
      <c r="FM23" s="296"/>
      <c r="FN23" s="296"/>
      <c r="FO23" s="296"/>
      <c r="FP23" s="296"/>
      <c r="FQ23" s="296"/>
      <c r="FR23" s="296"/>
      <c r="FS23" s="296"/>
      <c r="FT23" s="296"/>
      <c r="FU23" s="296"/>
      <c r="FV23" s="296"/>
      <c r="FW23" s="296"/>
      <c r="FX23" s="296"/>
      <c r="FY23" s="296"/>
      <c r="FZ23" s="296"/>
      <c r="GA23" s="296"/>
      <c r="GB23" s="296"/>
      <c r="GC23" s="296"/>
      <c r="GD23" s="296"/>
      <c r="GE23" s="296"/>
      <c r="GF23" s="296"/>
      <c r="GG23" s="296"/>
      <c r="GH23" s="296"/>
      <c r="GI23" s="296"/>
      <c r="GJ23" s="296"/>
      <c r="GK23" s="296"/>
      <c r="GL23" s="296"/>
      <c r="GM23" s="296"/>
      <c r="GN23" s="296"/>
      <c r="GO23" s="296"/>
      <c r="GP23" s="296"/>
      <c r="GQ23" s="296"/>
      <c r="GR23" s="296"/>
      <c r="GS23" s="296"/>
      <c r="GT23" s="296"/>
      <c r="GU23" s="296"/>
      <c r="GV23" s="296"/>
      <c r="GW23" s="296"/>
      <c r="GX23" s="296"/>
      <c r="GY23" s="296"/>
      <c r="GZ23" s="296"/>
      <c r="HA23" s="296"/>
      <c r="HB23" s="296"/>
      <c r="HC23" s="296"/>
      <c r="HD23" s="296"/>
      <c r="HE23" s="296"/>
      <c r="HF23" s="296"/>
      <c r="HG23" s="296"/>
      <c r="HH23" s="296"/>
      <c r="HI23" s="296"/>
    </row>
    <row r="24" spans="1:217" ht="15" customHeight="1">
      <c r="A24" s="150"/>
      <c r="B24" s="150"/>
      <c r="C24" s="318" t="str">
        <f>IF([3]MasterSheet!$A$1=1,[3]MasterSheet!C270,[3]MasterSheet!B270)</f>
        <v>Doprinosi za penzijsko i invalidsko osiguranje</v>
      </c>
      <c r="D24" s="319">
        <f>+'[3]Cental Budget_int'!D25</f>
        <v>138179769.16</v>
      </c>
      <c r="E24" s="320">
        <f t="shared" si="8"/>
        <v>6.4302559058122766</v>
      </c>
      <c r="F24" s="319">
        <f>+'[3]Cental Budget_int'!F25</f>
        <v>173517241.65000001</v>
      </c>
      <c r="G24" s="320">
        <f t="shared" si="0"/>
        <v>6.473316233911584</v>
      </c>
      <c r="H24" s="319">
        <f>+'[3]Cental Budget_int'!H25</f>
        <v>213850904.31999999</v>
      </c>
      <c r="I24" s="320">
        <f t="shared" si="1"/>
        <v>6.9306100700025919</v>
      </c>
      <c r="J24" s="319">
        <f>+'[3]Cental Budget_int'!J25</f>
        <v>199510659.24000001</v>
      </c>
      <c r="K24" s="320">
        <f t="shared" si="2"/>
        <v>6.6927426782958737</v>
      </c>
      <c r="L24" s="319">
        <f>+'[3]Cental Budget_int'!L25</f>
        <v>233496116.37</v>
      </c>
      <c r="M24" s="320">
        <f t="shared" si="3"/>
        <v>7.4718757238400002</v>
      </c>
      <c r="N24" s="319">
        <f>+'[3]Cental Budget_int'!N25</f>
        <v>213452220.68000001</v>
      </c>
      <c r="O24" s="320">
        <f t="shared" si="4"/>
        <v>6.5375871571209805</v>
      </c>
      <c r="P24" s="319">
        <f>+'[3]Cental Budget_int'!P25</f>
        <v>216501675.27000001</v>
      </c>
      <c r="Q24" s="320">
        <f t="shared" si="5"/>
        <v>6.8060885026721154</v>
      </c>
      <c r="R24" s="319">
        <f>+'[3]Cental Budget_int'!R25</f>
        <v>241949355.72999999</v>
      </c>
      <c r="S24" s="320">
        <f t="shared" si="9"/>
        <v>7.196589997917906</v>
      </c>
      <c r="T24" s="319">
        <f>+'[3]Cental Budget_int'!T25</f>
        <v>270120228.04000002</v>
      </c>
      <c r="U24" s="320">
        <f t="shared" si="10"/>
        <v>7.8116842025506807</v>
      </c>
      <c r="V24" s="319">
        <f>+'[3]Cental Budget_int'!V25</f>
        <v>264099239.14000005</v>
      </c>
      <c r="W24" s="321">
        <f t="shared" si="11"/>
        <v>7.2256973772913833</v>
      </c>
      <c r="X24" s="319">
        <f>'Cental Budget'!X25</f>
        <v>273553324.41000003</v>
      </c>
      <c r="Y24" s="320">
        <f t="shared" si="6"/>
        <v>6.9180447223205714</v>
      </c>
      <c r="Z24" s="319">
        <f>'Cental Budget'!Z25</f>
        <v>303042063.35000002</v>
      </c>
      <c r="AA24" s="320">
        <f t="shared" si="7"/>
        <v>7.1531231759707312</v>
      </c>
      <c r="AB24" s="513"/>
      <c r="AC24" s="513"/>
      <c r="AD24" s="511"/>
      <c r="AE24" s="511"/>
      <c r="AF24" s="511"/>
      <c r="AG24" s="511"/>
      <c r="AH24" s="511"/>
      <c r="AI24" s="511"/>
      <c r="AJ24" s="511"/>
      <c r="AK24" s="511"/>
      <c r="AL24" s="511"/>
      <c r="AM24" s="511"/>
      <c r="AN24" s="511"/>
      <c r="AO24" s="511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6"/>
      <c r="BO24" s="296"/>
      <c r="BP24" s="296"/>
      <c r="BQ24" s="296"/>
      <c r="BR24" s="296"/>
      <c r="BS24" s="296"/>
      <c r="BT24" s="296"/>
      <c r="BU24" s="296"/>
      <c r="BV24" s="296"/>
      <c r="BW24" s="296"/>
      <c r="BX24" s="296"/>
      <c r="BY24" s="296"/>
      <c r="BZ24" s="296"/>
      <c r="CA24" s="296"/>
      <c r="CB24" s="296"/>
      <c r="CC24" s="296"/>
      <c r="CD24" s="296"/>
      <c r="CE24" s="296"/>
      <c r="CF24" s="296"/>
      <c r="CG24" s="296"/>
      <c r="CH24" s="296"/>
      <c r="CI24" s="296"/>
      <c r="CJ24" s="296"/>
      <c r="CK24" s="296"/>
      <c r="CL24" s="296"/>
      <c r="CM24" s="296"/>
      <c r="CN24" s="296"/>
      <c r="CO24" s="296"/>
      <c r="CP24" s="296"/>
      <c r="CQ24" s="296"/>
      <c r="CR24" s="296"/>
      <c r="CS24" s="296"/>
      <c r="CT24" s="296"/>
      <c r="CU24" s="296"/>
      <c r="CV24" s="296"/>
      <c r="CW24" s="296"/>
      <c r="CX24" s="296"/>
      <c r="CY24" s="296"/>
      <c r="CZ24" s="296"/>
      <c r="DA24" s="330"/>
      <c r="DB24" s="330"/>
      <c r="DC24" s="296"/>
      <c r="DD24" s="296"/>
      <c r="DE24" s="296"/>
      <c r="DF24" s="296"/>
      <c r="DG24" s="296"/>
      <c r="DH24" s="296"/>
      <c r="DI24" s="296"/>
      <c r="DJ24" s="296"/>
      <c r="DK24" s="296"/>
      <c r="DL24" s="296"/>
      <c r="DM24" s="296"/>
      <c r="DN24" s="296"/>
      <c r="DO24" s="296"/>
      <c r="DP24" s="296"/>
      <c r="DQ24" s="296"/>
      <c r="DR24" s="296"/>
      <c r="DS24" s="296"/>
      <c r="DT24" s="296"/>
      <c r="DU24" s="296"/>
      <c r="DV24" s="296"/>
      <c r="DW24" s="296"/>
      <c r="DX24" s="296"/>
      <c r="DY24" s="296"/>
      <c r="DZ24" s="296"/>
      <c r="EA24" s="296"/>
      <c r="EB24" s="296"/>
      <c r="EC24" s="296"/>
      <c r="ED24" s="296"/>
      <c r="EE24" s="296"/>
      <c r="EF24" s="296"/>
      <c r="EG24" s="296"/>
      <c r="EH24" s="296"/>
      <c r="EI24" s="296"/>
      <c r="EJ24" s="296"/>
      <c r="EK24" s="296"/>
      <c r="EL24" s="296"/>
      <c r="EM24" s="296"/>
      <c r="EN24" s="296"/>
      <c r="EO24" s="296"/>
      <c r="EP24" s="296"/>
      <c r="EQ24" s="296"/>
      <c r="ER24" s="296"/>
      <c r="ES24" s="296"/>
      <c r="ET24" s="296"/>
      <c r="EU24" s="296"/>
      <c r="EV24" s="296"/>
      <c r="EW24" s="296"/>
      <c r="EX24" s="296"/>
      <c r="EY24" s="296"/>
      <c r="EZ24" s="296"/>
      <c r="FA24" s="296"/>
      <c r="FB24" s="296"/>
      <c r="FC24" s="296"/>
      <c r="FD24" s="296"/>
      <c r="FE24" s="297"/>
      <c r="FF24" s="296"/>
      <c r="FG24" s="296"/>
      <c r="FH24" s="296"/>
      <c r="FI24" s="296"/>
      <c r="FJ24" s="296"/>
      <c r="FK24" s="296"/>
      <c r="FL24" s="296"/>
      <c r="FM24" s="296"/>
      <c r="FN24" s="296"/>
      <c r="FO24" s="296"/>
      <c r="FP24" s="296"/>
      <c r="FQ24" s="296"/>
      <c r="FR24" s="296"/>
      <c r="FS24" s="296"/>
      <c r="FT24" s="296"/>
      <c r="FU24" s="296"/>
      <c r="FV24" s="296"/>
      <c r="FW24" s="296"/>
      <c r="FX24" s="296"/>
      <c r="FY24" s="296"/>
      <c r="FZ24" s="296"/>
      <c r="GA24" s="296"/>
      <c r="GB24" s="296"/>
      <c r="GC24" s="296"/>
      <c r="GD24" s="296"/>
      <c r="GE24" s="296"/>
      <c r="GF24" s="296"/>
      <c r="GG24" s="296"/>
      <c r="GH24" s="296"/>
      <c r="GI24" s="296"/>
      <c r="GJ24" s="296"/>
      <c r="GK24" s="296"/>
      <c r="GL24" s="296"/>
      <c r="GM24" s="296"/>
      <c r="GN24" s="296"/>
      <c r="GO24" s="296"/>
      <c r="GP24" s="296"/>
      <c r="GQ24" s="296"/>
      <c r="GR24" s="296"/>
      <c r="GS24" s="296"/>
      <c r="GT24" s="296"/>
      <c r="GU24" s="296"/>
      <c r="GV24" s="296"/>
      <c r="GW24" s="296"/>
      <c r="GX24" s="296"/>
      <c r="GY24" s="296"/>
      <c r="GZ24" s="296"/>
      <c r="HA24" s="296"/>
      <c r="HB24" s="296"/>
      <c r="HC24" s="296"/>
      <c r="HD24" s="296"/>
      <c r="HE24" s="296"/>
      <c r="HF24" s="296"/>
      <c r="HG24" s="296"/>
      <c r="HH24" s="296"/>
      <c r="HI24" s="296"/>
    </row>
    <row r="25" spans="1:217" ht="15" customHeight="1">
      <c r="A25" s="150"/>
      <c r="B25" s="150"/>
      <c r="C25" s="318" t="str">
        <f>IF([3]MasterSheet!$A$1=1,[3]MasterSheet!C271,[3]MasterSheet!B271)</f>
        <v>Doprinosi za zdravstveno osiguranje</v>
      </c>
      <c r="D25" s="319">
        <f>+'[3]Cental Budget_int'!D26</f>
        <v>110592983</v>
      </c>
      <c r="E25" s="320">
        <f t="shared" si="8"/>
        <v>5.1464927637395883</v>
      </c>
      <c r="F25" s="319">
        <f>+'[3]Cental Budget_int'!F26</f>
        <v>125446267</v>
      </c>
      <c r="G25" s="320">
        <f t="shared" si="0"/>
        <v>4.6799577317664616</v>
      </c>
      <c r="H25" s="319">
        <f>+'[3]Cental Budget_int'!H26</f>
        <v>115860488.59999999</v>
      </c>
      <c r="I25" s="320">
        <f t="shared" si="1"/>
        <v>3.7548771260046667</v>
      </c>
      <c r="J25" s="319">
        <f>+'[3]Cental Budget_int'!J26</f>
        <v>97587763</v>
      </c>
      <c r="K25" s="320">
        <f t="shared" si="2"/>
        <v>3.2736586044951359</v>
      </c>
      <c r="L25" s="319">
        <f>+'[3]Cental Budget_int'!L26</f>
        <v>129895634.22</v>
      </c>
      <c r="M25" s="320">
        <f t="shared" si="3"/>
        <v>4.15666029504</v>
      </c>
      <c r="N25" s="319">
        <f>+'[3]Cental Budget_int'!N26</f>
        <v>120890439.24000001</v>
      </c>
      <c r="O25" s="320">
        <f t="shared" si="4"/>
        <v>3.7026168220520677</v>
      </c>
      <c r="P25" s="319">
        <f>+'[3]Cental Budget_int'!P26</f>
        <v>125738855</v>
      </c>
      <c r="Q25" s="320">
        <f t="shared" si="5"/>
        <v>3.9528090223200252</v>
      </c>
      <c r="R25" s="319">
        <f>+'[3]Cental Budget_int'!R26</f>
        <v>134703897.09</v>
      </c>
      <c r="S25" s="320">
        <f t="shared" si="9"/>
        <v>4.0066596397977401</v>
      </c>
      <c r="T25" s="319">
        <f>+'[3]Cental Budget_int'!T26</f>
        <v>151034703.57999998</v>
      </c>
      <c r="U25" s="320">
        <f t="shared" si="10"/>
        <v>4.3678158298389187</v>
      </c>
      <c r="V25" s="319">
        <f>+'[3]Cental Budget_int'!V26</f>
        <v>150309788.34999993</v>
      </c>
      <c r="W25" s="321">
        <f t="shared" si="11"/>
        <v>4.1124429097127209</v>
      </c>
      <c r="X25" s="319">
        <f>'Cental Budget'!X26</f>
        <v>164379366.90000004</v>
      </c>
      <c r="Y25" s="320">
        <f t="shared" si="6"/>
        <v>4.1570827702190085</v>
      </c>
      <c r="Z25" s="319">
        <f>'Cental Budget'!Z26</f>
        <v>167400672.64999998</v>
      </c>
      <c r="AA25" s="320">
        <f t="shared" si="7"/>
        <v>3.9513908332349814</v>
      </c>
      <c r="AB25" s="513"/>
      <c r="AC25" s="513"/>
      <c r="AD25" s="511"/>
      <c r="AE25" s="511"/>
      <c r="AF25" s="511"/>
      <c r="AG25" s="511"/>
      <c r="AH25" s="511"/>
      <c r="AI25" s="511"/>
      <c r="AJ25" s="511"/>
      <c r="AK25" s="511"/>
      <c r="AL25" s="511"/>
      <c r="AM25" s="511"/>
      <c r="AN25" s="511"/>
      <c r="AO25" s="511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6"/>
      <c r="BO25" s="296"/>
      <c r="BP25" s="296"/>
      <c r="BQ25" s="296"/>
      <c r="BR25" s="296"/>
      <c r="BS25" s="296"/>
      <c r="BT25" s="296"/>
      <c r="BU25" s="296"/>
      <c r="BV25" s="296"/>
      <c r="BW25" s="296"/>
      <c r="BX25" s="296"/>
      <c r="BY25" s="296"/>
      <c r="BZ25" s="296"/>
      <c r="CA25" s="296"/>
      <c r="CB25" s="296"/>
      <c r="CC25" s="296"/>
      <c r="CD25" s="296"/>
      <c r="CE25" s="296"/>
      <c r="CF25" s="296"/>
      <c r="CG25" s="296"/>
      <c r="CH25" s="296"/>
      <c r="CI25" s="296"/>
      <c r="CJ25" s="296"/>
      <c r="CK25" s="296"/>
      <c r="CL25" s="296"/>
      <c r="CM25" s="296"/>
      <c r="CN25" s="296"/>
      <c r="CO25" s="296"/>
      <c r="CP25" s="296"/>
      <c r="CQ25" s="296"/>
      <c r="CR25" s="296"/>
      <c r="CS25" s="296"/>
      <c r="CT25" s="296"/>
      <c r="CU25" s="296"/>
      <c r="CV25" s="296"/>
      <c r="CW25" s="296"/>
      <c r="CX25" s="296"/>
      <c r="CY25" s="296"/>
      <c r="CZ25" s="296"/>
      <c r="DA25" s="330"/>
      <c r="DB25" s="330"/>
      <c r="DC25" s="296"/>
      <c r="DD25" s="296"/>
      <c r="DE25" s="296"/>
      <c r="DF25" s="296"/>
      <c r="DG25" s="296"/>
      <c r="DH25" s="296"/>
      <c r="DI25" s="296"/>
      <c r="DJ25" s="331"/>
      <c r="DK25" s="331"/>
      <c r="DL25" s="331"/>
      <c r="DM25" s="296"/>
      <c r="DN25" s="296"/>
      <c r="DO25" s="296"/>
      <c r="DP25" s="296"/>
      <c r="DQ25" s="296"/>
      <c r="DR25" s="296"/>
      <c r="DS25" s="296"/>
      <c r="DT25" s="296"/>
      <c r="DU25" s="296"/>
      <c r="DV25" s="296"/>
      <c r="DW25" s="296"/>
      <c r="DX25" s="296"/>
      <c r="DY25" s="296"/>
      <c r="DZ25" s="296"/>
      <c r="EA25" s="296"/>
      <c r="EB25" s="296"/>
      <c r="EC25" s="296"/>
      <c r="ED25" s="296"/>
      <c r="EE25" s="296"/>
      <c r="EF25" s="296"/>
      <c r="EG25" s="296"/>
      <c r="EH25" s="296"/>
      <c r="EI25" s="296"/>
      <c r="EJ25" s="296"/>
      <c r="EK25" s="296"/>
      <c r="EL25" s="296"/>
      <c r="EM25" s="296"/>
      <c r="EN25" s="296"/>
      <c r="EO25" s="296"/>
      <c r="EP25" s="296"/>
      <c r="EQ25" s="296"/>
      <c r="ER25" s="296"/>
      <c r="ES25" s="296"/>
      <c r="ET25" s="296"/>
      <c r="EU25" s="296"/>
      <c r="EV25" s="296"/>
      <c r="EW25" s="296"/>
      <c r="EX25" s="296"/>
      <c r="EY25" s="296"/>
      <c r="EZ25" s="296"/>
      <c r="FA25" s="296"/>
      <c r="FB25" s="296"/>
      <c r="FC25" s="296"/>
      <c r="FD25" s="296"/>
      <c r="FE25" s="297"/>
      <c r="FF25" s="296"/>
      <c r="FG25" s="296"/>
      <c r="FH25" s="296"/>
      <c r="FI25" s="296"/>
      <c r="FJ25" s="296"/>
      <c r="FK25" s="296"/>
      <c r="FL25" s="296"/>
      <c r="FM25" s="296"/>
      <c r="FN25" s="296"/>
      <c r="FO25" s="296"/>
      <c r="FP25" s="296"/>
      <c r="FQ25" s="296"/>
      <c r="FR25" s="296"/>
      <c r="FS25" s="296"/>
      <c r="FT25" s="296"/>
      <c r="FU25" s="296"/>
      <c r="FV25" s="296"/>
      <c r="FW25" s="296"/>
      <c r="FX25" s="296"/>
      <c r="FY25" s="296"/>
      <c r="FZ25" s="296"/>
      <c r="GA25" s="296"/>
      <c r="GB25" s="296"/>
      <c r="GC25" s="296"/>
      <c r="GD25" s="296"/>
      <c r="GE25" s="296"/>
      <c r="GF25" s="296"/>
      <c r="GG25" s="296"/>
      <c r="GH25" s="296"/>
      <c r="GI25" s="296"/>
      <c r="GJ25" s="296"/>
      <c r="GK25" s="296"/>
      <c r="GL25" s="296"/>
      <c r="GM25" s="296"/>
      <c r="GN25" s="296"/>
      <c r="GO25" s="296"/>
      <c r="GP25" s="296"/>
      <c r="GQ25" s="296"/>
      <c r="GR25" s="296"/>
      <c r="GS25" s="296"/>
      <c r="GT25" s="296"/>
      <c r="GU25" s="296"/>
      <c r="GV25" s="296"/>
      <c r="GW25" s="296"/>
      <c r="GX25" s="296"/>
      <c r="GY25" s="296"/>
      <c r="GZ25" s="296"/>
      <c r="HA25" s="296"/>
      <c r="HB25" s="296"/>
      <c r="HC25" s="296"/>
      <c r="HD25" s="296"/>
      <c r="HE25" s="296"/>
      <c r="HF25" s="296"/>
      <c r="HG25" s="296"/>
      <c r="HH25" s="296"/>
      <c r="HI25" s="296"/>
    </row>
    <row r="26" spans="1:217" ht="15" customHeight="1">
      <c r="A26" s="150"/>
      <c r="B26" s="150"/>
      <c r="C26" s="318" t="str">
        <f>IF([3]MasterSheet!$A$1=1,[3]MasterSheet!C272,[3]MasterSheet!B272)</f>
        <v>Doprinosi za osiguranje od nezaposlenosti</v>
      </c>
      <c r="D26" s="319">
        <f>+'[3]Cental Budget_int'!D27</f>
        <v>6384379.9699999997</v>
      </c>
      <c r="E26" s="320">
        <f t="shared" si="8"/>
        <v>0.29709991018660709</v>
      </c>
      <c r="F26" s="319">
        <f>+'[3]Cental Budget_int'!F27</f>
        <v>7824299.6800000006</v>
      </c>
      <c r="G26" s="320">
        <f t="shared" si="0"/>
        <v>0.29189702219735131</v>
      </c>
      <c r="H26" s="319">
        <f>+'[3]Cental Budget_int'!H27</f>
        <v>10201238.92</v>
      </c>
      <c r="I26" s="320">
        <f t="shared" si="1"/>
        <v>0.33060795047964742</v>
      </c>
      <c r="J26" s="319">
        <f>+'[3]Cental Budget_int'!J27</f>
        <v>10445931</v>
      </c>
      <c r="K26" s="320">
        <f t="shared" si="2"/>
        <v>0.35041700771553169</v>
      </c>
      <c r="L26" s="319">
        <f>+'[3]Cental Budget_int'!L27</f>
        <v>10149691.789999999</v>
      </c>
      <c r="M26" s="320">
        <f t="shared" si="3"/>
        <v>0.32479013727999995</v>
      </c>
      <c r="N26" s="319">
        <f>+'[3]Cental Budget_int'!N27</f>
        <v>10764704.380000001</v>
      </c>
      <c r="O26" s="320">
        <f t="shared" si="4"/>
        <v>0.32969998101071979</v>
      </c>
      <c r="P26" s="319">
        <f>+'[3]Cental Budget_int'!P27</f>
        <v>9987592.2599999998</v>
      </c>
      <c r="Q26" s="320">
        <f t="shared" si="5"/>
        <v>0.31397649355548568</v>
      </c>
      <c r="R26" s="319">
        <f>+'[3]Cental Budget_int'!R27</f>
        <v>10770190.189999999</v>
      </c>
      <c r="S26" s="320">
        <f t="shared" si="9"/>
        <v>0.32035068976799519</v>
      </c>
      <c r="T26" s="319">
        <f>+'[3]Cental Budget_int'!T27</f>
        <v>12160117.389999999</v>
      </c>
      <c r="U26" s="320">
        <f t="shared" si="10"/>
        <v>0.35166191590271545</v>
      </c>
      <c r="V26" s="319">
        <f>+'[3]Cental Budget_int'!V27</f>
        <v>12114496.520000001</v>
      </c>
      <c r="W26" s="321">
        <f t="shared" si="11"/>
        <v>0.33144997318741454</v>
      </c>
      <c r="X26" s="319">
        <f>'Cental Budget'!X27</f>
        <v>12989910.719999999</v>
      </c>
      <c r="Y26" s="320">
        <f t="shared" si="6"/>
        <v>0.32850919832077285</v>
      </c>
      <c r="Z26" s="319">
        <f>'Cental Budget'!Z27</f>
        <v>12595344.189999998</v>
      </c>
      <c r="AA26" s="320">
        <f t="shared" si="7"/>
        <v>0.29730542169243473</v>
      </c>
      <c r="AB26" s="513"/>
      <c r="AC26" s="513"/>
      <c r="AD26" s="511"/>
      <c r="AE26" s="511"/>
      <c r="AF26" s="511"/>
      <c r="AG26" s="511"/>
      <c r="AH26" s="511"/>
      <c r="AI26" s="511"/>
      <c r="AJ26" s="511"/>
      <c r="AK26" s="511"/>
      <c r="AL26" s="511"/>
      <c r="AM26" s="511"/>
      <c r="AN26" s="511"/>
      <c r="AO26" s="511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6"/>
      <c r="BP26" s="296"/>
      <c r="BQ26" s="296"/>
      <c r="BR26" s="296"/>
      <c r="BS26" s="296"/>
      <c r="BT26" s="296"/>
      <c r="BU26" s="296"/>
      <c r="BV26" s="296"/>
      <c r="BW26" s="296"/>
      <c r="BX26" s="296"/>
      <c r="BY26" s="296"/>
      <c r="BZ26" s="296"/>
      <c r="CA26" s="296"/>
      <c r="CB26" s="296"/>
      <c r="CC26" s="296"/>
      <c r="CD26" s="296"/>
      <c r="CE26" s="296"/>
      <c r="CF26" s="296"/>
      <c r="CG26" s="296"/>
      <c r="CH26" s="296"/>
      <c r="CI26" s="296"/>
      <c r="CJ26" s="296"/>
      <c r="CK26" s="296"/>
      <c r="CL26" s="296"/>
      <c r="CM26" s="296"/>
      <c r="CN26" s="296"/>
      <c r="CO26" s="296"/>
      <c r="CP26" s="296"/>
      <c r="CQ26" s="296"/>
      <c r="CR26" s="296"/>
      <c r="CS26" s="296"/>
      <c r="CT26" s="296"/>
      <c r="CU26" s="296"/>
      <c r="CV26" s="296"/>
      <c r="CW26" s="296"/>
      <c r="CX26" s="296"/>
      <c r="CY26" s="296"/>
      <c r="CZ26" s="296"/>
      <c r="DA26" s="330"/>
      <c r="DB26" s="330"/>
      <c r="DC26" s="296"/>
      <c r="DD26" s="296"/>
      <c r="DE26" s="296"/>
      <c r="DF26" s="296"/>
      <c r="DG26" s="296"/>
      <c r="DH26" s="296"/>
      <c r="DI26" s="296"/>
      <c r="DJ26" s="296"/>
      <c r="DK26" s="296"/>
      <c r="DL26" s="296"/>
      <c r="DM26" s="296"/>
      <c r="DN26" s="296"/>
      <c r="DO26" s="296"/>
      <c r="DP26" s="296"/>
      <c r="DQ26" s="296"/>
      <c r="DR26" s="296"/>
      <c r="DS26" s="296"/>
      <c r="DT26" s="296"/>
      <c r="DU26" s="296"/>
      <c r="DV26" s="296"/>
      <c r="DW26" s="296"/>
      <c r="DX26" s="296"/>
      <c r="DY26" s="296"/>
      <c r="DZ26" s="296"/>
      <c r="EA26" s="296"/>
      <c r="EB26" s="296"/>
      <c r="EC26" s="296"/>
      <c r="ED26" s="296"/>
      <c r="EE26" s="296"/>
      <c r="EF26" s="296"/>
      <c r="EG26" s="296"/>
      <c r="EH26" s="296"/>
      <c r="EI26" s="296"/>
      <c r="EJ26" s="296"/>
      <c r="EK26" s="296"/>
      <c r="EL26" s="296"/>
      <c r="EM26" s="296"/>
      <c r="EN26" s="296"/>
      <c r="EO26" s="296"/>
      <c r="EP26" s="296"/>
      <c r="EQ26" s="296"/>
      <c r="ER26" s="296"/>
      <c r="ES26" s="296"/>
      <c r="ET26" s="296"/>
      <c r="EU26" s="296"/>
      <c r="EV26" s="296"/>
      <c r="EW26" s="296"/>
      <c r="EX26" s="296"/>
      <c r="EY26" s="296"/>
      <c r="EZ26" s="296"/>
      <c r="FA26" s="296"/>
      <c r="FB26" s="296"/>
      <c r="FC26" s="296"/>
      <c r="FD26" s="296"/>
      <c r="FE26" s="297"/>
      <c r="FF26" s="296"/>
      <c r="FG26" s="296"/>
      <c r="FH26" s="296"/>
      <c r="FI26" s="296"/>
      <c r="FJ26" s="296"/>
      <c r="FK26" s="296"/>
      <c r="FL26" s="296"/>
      <c r="FM26" s="296"/>
      <c r="FN26" s="296"/>
      <c r="FO26" s="296"/>
      <c r="FP26" s="296"/>
      <c r="FQ26" s="296"/>
      <c r="FR26" s="296"/>
      <c r="FS26" s="296"/>
      <c r="FT26" s="296"/>
      <c r="FU26" s="296"/>
      <c r="FV26" s="296"/>
      <c r="FW26" s="296"/>
      <c r="FX26" s="296"/>
      <c r="FY26" s="296"/>
      <c r="FZ26" s="296"/>
      <c r="GA26" s="296"/>
      <c r="GB26" s="296"/>
      <c r="GC26" s="296"/>
      <c r="GD26" s="296"/>
      <c r="GE26" s="296"/>
      <c r="GF26" s="296"/>
      <c r="GG26" s="296"/>
      <c r="GH26" s="296"/>
      <c r="GI26" s="296"/>
      <c r="GJ26" s="296"/>
      <c r="GK26" s="296"/>
      <c r="GL26" s="296"/>
      <c r="GM26" s="296"/>
      <c r="GN26" s="296"/>
      <c r="GO26" s="296"/>
      <c r="GP26" s="296"/>
      <c r="GQ26" s="296"/>
      <c r="GR26" s="296"/>
      <c r="GS26" s="296"/>
      <c r="GT26" s="296"/>
      <c r="GU26" s="296"/>
      <c r="GV26" s="296"/>
      <c r="GW26" s="296"/>
      <c r="GX26" s="296"/>
      <c r="GY26" s="296"/>
      <c r="GZ26" s="296"/>
      <c r="HA26" s="296"/>
      <c r="HB26" s="296"/>
      <c r="HC26" s="296"/>
      <c r="HD26" s="296"/>
      <c r="HE26" s="296"/>
      <c r="HF26" s="296"/>
      <c r="HG26" s="296"/>
      <c r="HH26" s="296"/>
      <c r="HI26" s="296"/>
    </row>
    <row r="27" spans="1:217" ht="15" customHeight="1">
      <c r="A27" s="150"/>
      <c r="B27" s="150"/>
      <c r="C27" s="318" t="str">
        <f>IF([3]MasterSheet!$A$1=1,[3]MasterSheet!C273,[3]MasterSheet!B273)</f>
        <v>Ostali doprinosi</v>
      </c>
      <c r="D27" s="319">
        <f>+'[3]Cental Budget_int'!D28</f>
        <v>0</v>
      </c>
      <c r="E27" s="320">
        <f t="shared" si="8"/>
        <v>0</v>
      </c>
      <c r="F27" s="319">
        <f>+'[3]Cental Budget_int'!F28</f>
        <v>0</v>
      </c>
      <c r="G27" s="320">
        <f t="shared" si="0"/>
        <v>0</v>
      </c>
      <c r="H27" s="319">
        <f>+'[3]Cental Budget_int'!H28</f>
        <v>0</v>
      </c>
      <c r="I27" s="320">
        <f t="shared" si="1"/>
        <v>0</v>
      </c>
      <c r="J27" s="319">
        <f>+'[3]Cental Budget_int'!J28</f>
        <v>0</v>
      </c>
      <c r="K27" s="320">
        <f t="shared" si="2"/>
        <v>0</v>
      </c>
      <c r="L27" s="319">
        <f>+'[3]Cental Budget_int'!L28</f>
        <v>6215554.0999999996</v>
      </c>
      <c r="M27" s="320">
        <f t="shared" si="3"/>
        <v>0.19889773119999998</v>
      </c>
      <c r="N27" s="319">
        <f>+'[3]Cental Budget_int'!N28</f>
        <v>8470089.0300000012</v>
      </c>
      <c r="O27" s="320">
        <f t="shared" si="4"/>
        <v>0.25942079724349165</v>
      </c>
      <c r="P27" s="319">
        <f>+'[3]Cental Budget_int'!P28</f>
        <v>10022287.07</v>
      </c>
      <c r="Q27" s="320">
        <f t="shared" si="5"/>
        <v>0.31506718233259984</v>
      </c>
      <c r="R27" s="319">
        <f>+'[3]Cental Budget_int'!R28</f>
        <v>11070841.180000002</v>
      </c>
      <c r="S27" s="320">
        <f t="shared" si="9"/>
        <v>0.32929331290898278</v>
      </c>
      <c r="T27" s="319">
        <f>+'[3]Cental Budget_int'!T28</f>
        <v>10988195.539999999</v>
      </c>
      <c r="U27" s="320">
        <f t="shared" si="10"/>
        <v>0.31777077243413632</v>
      </c>
      <c r="V27" s="319">
        <f>+'[3]Cental Budget_int'!V28</f>
        <v>10765296.66</v>
      </c>
      <c r="W27" s="321">
        <f t="shared" si="11"/>
        <v>0.29453616032831742</v>
      </c>
      <c r="X27" s="319">
        <f>'Cental Budget'!X28</f>
        <v>11962602.260000002</v>
      </c>
      <c r="Y27" s="320">
        <f t="shared" si="6"/>
        <v>0.30252901370694457</v>
      </c>
      <c r="Z27" s="319">
        <f>'Cental Budget'!Z28</f>
        <v>11914552.229999999</v>
      </c>
      <c r="AA27" s="320">
        <f t="shared" si="7"/>
        <v>0.2812357424761005</v>
      </c>
      <c r="AB27" s="513"/>
      <c r="AC27" s="513"/>
      <c r="AD27" s="511"/>
      <c r="AE27" s="511"/>
      <c r="AF27" s="511"/>
      <c r="AG27" s="511"/>
      <c r="AH27" s="511"/>
      <c r="AI27" s="511"/>
      <c r="AJ27" s="511"/>
      <c r="AK27" s="511"/>
      <c r="AL27" s="511"/>
      <c r="AM27" s="511"/>
      <c r="AN27" s="511"/>
      <c r="AO27" s="511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6"/>
      <c r="BU27" s="296"/>
      <c r="BV27" s="296"/>
      <c r="BW27" s="296"/>
      <c r="BX27" s="296"/>
      <c r="BY27" s="296"/>
      <c r="BZ27" s="296"/>
      <c r="CA27" s="296"/>
      <c r="CB27" s="296"/>
      <c r="CC27" s="296"/>
      <c r="CD27" s="296"/>
      <c r="CE27" s="296"/>
      <c r="CF27" s="296"/>
      <c r="CG27" s="296"/>
      <c r="CH27" s="296"/>
      <c r="CI27" s="296"/>
      <c r="CJ27" s="296"/>
      <c r="CK27" s="296"/>
      <c r="CL27" s="296"/>
      <c r="CM27" s="296"/>
      <c r="CN27" s="296"/>
      <c r="CO27" s="296"/>
      <c r="CP27" s="296"/>
      <c r="CQ27" s="296"/>
      <c r="CR27" s="296"/>
      <c r="CS27" s="296"/>
      <c r="CT27" s="296"/>
      <c r="CU27" s="296"/>
      <c r="CV27" s="296"/>
      <c r="CW27" s="296"/>
      <c r="CX27" s="296"/>
      <c r="CY27" s="296"/>
      <c r="CZ27" s="296"/>
      <c r="DA27" s="330"/>
      <c r="DB27" s="330"/>
      <c r="DC27" s="296"/>
      <c r="DD27" s="296"/>
      <c r="DE27" s="296"/>
      <c r="DF27" s="296"/>
      <c r="DG27" s="296"/>
      <c r="DH27" s="296"/>
      <c r="DI27" s="296"/>
      <c r="DJ27" s="296"/>
      <c r="DK27" s="296"/>
      <c r="DL27" s="296"/>
      <c r="DM27" s="296"/>
      <c r="DN27" s="296"/>
      <c r="DO27" s="296"/>
      <c r="DP27" s="296"/>
      <c r="DQ27" s="296"/>
      <c r="DR27" s="296"/>
      <c r="DS27" s="296"/>
      <c r="DT27" s="296"/>
      <c r="DU27" s="296"/>
      <c r="DV27" s="296"/>
      <c r="DW27" s="296"/>
      <c r="DX27" s="296"/>
      <c r="DY27" s="296"/>
      <c r="DZ27" s="296"/>
      <c r="EA27" s="296"/>
      <c r="EB27" s="296"/>
      <c r="EC27" s="296"/>
      <c r="ED27" s="296"/>
      <c r="EE27" s="296"/>
      <c r="EF27" s="296"/>
      <c r="EG27" s="296"/>
      <c r="EH27" s="296"/>
      <c r="EI27" s="296"/>
      <c r="EJ27" s="296"/>
      <c r="EK27" s="296"/>
      <c r="EL27" s="296"/>
      <c r="EM27" s="296"/>
      <c r="EN27" s="296"/>
      <c r="EO27" s="296"/>
      <c r="EP27" s="296"/>
      <c r="EQ27" s="296"/>
      <c r="ER27" s="296"/>
      <c r="ES27" s="296"/>
      <c r="ET27" s="296"/>
      <c r="EU27" s="296"/>
      <c r="EV27" s="296"/>
      <c r="EW27" s="296"/>
      <c r="EX27" s="296"/>
      <c r="EY27" s="296"/>
      <c r="EZ27" s="296"/>
      <c r="FA27" s="296"/>
      <c r="FB27" s="296"/>
      <c r="FC27" s="296"/>
      <c r="FD27" s="296"/>
      <c r="FE27" s="297"/>
      <c r="FF27" s="296"/>
      <c r="FG27" s="296"/>
      <c r="FH27" s="296"/>
      <c r="FI27" s="296"/>
      <c r="FJ27" s="296"/>
      <c r="FK27" s="296"/>
      <c r="FL27" s="296"/>
      <c r="FM27" s="296"/>
      <c r="FN27" s="296"/>
      <c r="FO27" s="296"/>
      <c r="FP27" s="296"/>
      <c r="FQ27" s="296"/>
      <c r="FR27" s="296"/>
      <c r="FS27" s="296"/>
      <c r="FT27" s="296"/>
      <c r="FU27" s="296"/>
      <c r="FV27" s="296"/>
      <c r="FW27" s="296"/>
      <c r="FX27" s="296"/>
      <c r="FY27" s="296"/>
      <c r="FZ27" s="296"/>
      <c r="GA27" s="296"/>
      <c r="GB27" s="296"/>
      <c r="GC27" s="296"/>
      <c r="GD27" s="296"/>
      <c r="GE27" s="296"/>
      <c r="GF27" s="296"/>
      <c r="GG27" s="296"/>
      <c r="GH27" s="296"/>
      <c r="GI27" s="296"/>
      <c r="GJ27" s="296"/>
      <c r="GK27" s="296"/>
      <c r="GL27" s="296"/>
      <c r="GM27" s="296"/>
      <c r="GN27" s="296"/>
      <c r="GO27" s="296"/>
      <c r="GP27" s="296"/>
      <c r="GQ27" s="296"/>
      <c r="GR27" s="296"/>
      <c r="GS27" s="296"/>
      <c r="GT27" s="296"/>
      <c r="GU27" s="296"/>
      <c r="GV27" s="296"/>
      <c r="GW27" s="296"/>
      <c r="GX27" s="296"/>
      <c r="GY27" s="296"/>
      <c r="GZ27" s="296"/>
      <c r="HA27" s="296"/>
      <c r="HB27" s="296"/>
      <c r="HC27" s="296"/>
      <c r="HD27" s="296"/>
      <c r="HE27" s="296"/>
      <c r="HF27" s="296"/>
      <c r="HG27" s="296"/>
      <c r="HH27" s="296"/>
      <c r="HI27" s="296"/>
    </row>
    <row r="28" spans="1:217" ht="15" customHeight="1">
      <c r="A28" s="285"/>
      <c r="B28" s="150"/>
      <c r="C28" s="326" t="str">
        <f>IF([3]MasterSheet!$A$1=1,[3]MasterSheet!C274,[3]MasterSheet!B274)</f>
        <v>Takse</v>
      </c>
      <c r="D28" s="327">
        <f>+'[3]Cental Budget_int'!D29+'[3]Local Government_int'!D19</f>
        <v>29294505.049999993</v>
      </c>
      <c r="E28" s="328">
        <f t="shared" si="8"/>
        <v>1.3632325864395733</v>
      </c>
      <c r="F28" s="327">
        <f>+'[3]Cental Budget_int'!F29+'[3]Local Government_int'!F19</f>
        <v>33561299.109999999</v>
      </c>
      <c r="G28" s="328">
        <f t="shared" si="0"/>
        <v>1.2520536881178883</v>
      </c>
      <c r="H28" s="327">
        <f>+'[3]Cental Budget_int'!H29+'[3]Local Government_int'!H19</f>
        <v>35508264.5</v>
      </c>
      <c r="I28" s="328">
        <f t="shared" si="1"/>
        <v>1.1507734152190821</v>
      </c>
      <c r="J28" s="327">
        <f>+'[3]Cental Budget_int'!J29+'[3]Local Government_int'!J19</f>
        <v>29028413.729999997</v>
      </c>
      <c r="K28" s="328">
        <f t="shared" si="2"/>
        <v>0.97378107111707468</v>
      </c>
      <c r="L28" s="327">
        <f>+'[3]Cental Budget_int'!L29+'[3]Local Government_int'!L19</f>
        <v>26286570.799999997</v>
      </c>
      <c r="M28" s="328">
        <f t="shared" si="3"/>
        <v>0.84117026559999997</v>
      </c>
      <c r="N28" s="327">
        <f>+'[3]Cental Budget_int'!N29+'[3]Local Government_int'!N19</f>
        <v>21981102.689999998</v>
      </c>
      <c r="O28" s="328">
        <f t="shared" si="4"/>
        <v>0.67323438560490045</v>
      </c>
      <c r="P28" s="327">
        <f>+'[3]Cental Budget_int'!P29+'[3]Local Government_int'!P19</f>
        <v>23495943.529999997</v>
      </c>
      <c r="Q28" s="328">
        <f t="shared" si="5"/>
        <v>0.73863387393901281</v>
      </c>
      <c r="R28" s="327">
        <f>+'[3]Cental Budget_int'!R29+'[3]Local Government_int'!R19</f>
        <v>33296762.52</v>
      </c>
      <c r="S28" s="328">
        <f t="shared" si="9"/>
        <v>0.99038555978584164</v>
      </c>
      <c r="T28" s="327">
        <f>+'[3]Cental Budget_int'!T29+'[3]Local Government_int'!T19</f>
        <v>20784867.41</v>
      </c>
      <c r="U28" s="328">
        <f t="shared" si="10"/>
        <v>0.6010835307556609</v>
      </c>
      <c r="V28" s="327">
        <f>+'[3]Cental Budget_int'!V29+'[3]Local Government_int'!V19</f>
        <v>18436067</v>
      </c>
      <c r="W28" s="329">
        <f t="shared" si="11"/>
        <v>0.50440675786593703</v>
      </c>
      <c r="X28" s="327">
        <f>'Cental Budget'!X29+'Local Government_int'!X19</f>
        <v>18926209.509999998</v>
      </c>
      <c r="Y28" s="328">
        <f t="shared" si="6"/>
        <v>0.47863561554802481</v>
      </c>
      <c r="Z28" s="327">
        <f>'Cental Budget'!Z29+'Local Government_int'!Z19</f>
        <v>20170607.259999998</v>
      </c>
      <c r="AA28" s="328">
        <f t="shared" si="7"/>
        <v>0.47611488870529917</v>
      </c>
      <c r="AB28" s="513"/>
      <c r="AC28" s="513"/>
      <c r="AD28" s="511"/>
      <c r="AE28" s="511"/>
      <c r="AF28" s="511"/>
      <c r="AG28" s="511"/>
      <c r="AH28" s="511"/>
      <c r="AI28" s="511"/>
      <c r="AJ28" s="511"/>
      <c r="AK28" s="511"/>
      <c r="AL28" s="511"/>
      <c r="AM28" s="511"/>
      <c r="AN28" s="511"/>
      <c r="AO28" s="511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6"/>
      <c r="BP28" s="296"/>
      <c r="BQ28" s="296"/>
      <c r="BR28" s="296"/>
      <c r="BS28" s="296"/>
      <c r="BT28" s="296"/>
      <c r="BU28" s="296"/>
      <c r="BV28" s="296"/>
      <c r="BW28" s="296"/>
      <c r="BX28" s="296"/>
      <c r="BY28" s="296"/>
      <c r="BZ28" s="296"/>
      <c r="CA28" s="296"/>
      <c r="CB28" s="296"/>
      <c r="CC28" s="296"/>
      <c r="CD28" s="296"/>
      <c r="CE28" s="296"/>
      <c r="CF28" s="296"/>
      <c r="CG28" s="296"/>
      <c r="CH28" s="296"/>
      <c r="CI28" s="296"/>
      <c r="CJ28" s="296"/>
      <c r="CK28" s="296"/>
      <c r="CL28" s="296"/>
      <c r="CM28" s="296"/>
      <c r="CN28" s="296"/>
      <c r="CO28" s="296"/>
      <c r="CP28" s="296"/>
      <c r="CQ28" s="296"/>
      <c r="CR28" s="296"/>
      <c r="CS28" s="296"/>
      <c r="CT28" s="296"/>
      <c r="CU28" s="296"/>
      <c r="CV28" s="296"/>
      <c r="CW28" s="296"/>
      <c r="CX28" s="296"/>
      <c r="CY28" s="296"/>
      <c r="CZ28" s="296"/>
      <c r="DA28" s="332"/>
      <c r="DB28" s="332"/>
      <c r="DC28" s="296"/>
      <c r="DD28" s="296"/>
      <c r="DE28" s="296"/>
      <c r="DF28" s="296"/>
      <c r="DG28" s="296"/>
      <c r="DH28" s="296"/>
      <c r="DI28" s="296"/>
      <c r="DJ28" s="296"/>
      <c r="DK28" s="296"/>
      <c r="DL28" s="296"/>
      <c r="DM28" s="296"/>
      <c r="DN28" s="296"/>
      <c r="DO28" s="296"/>
      <c r="DP28" s="296"/>
      <c r="DQ28" s="296"/>
      <c r="DR28" s="296"/>
      <c r="DS28" s="296"/>
      <c r="DT28" s="296"/>
      <c r="DU28" s="296"/>
      <c r="DV28" s="296"/>
      <c r="DW28" s="296"/>
      <c r="DX28" s="296"/>
      <c r="DY28" s="296"/>
      <c r="DZ28" s="296"/>
      <c r="EA28" s="296"/>
      <c r="EB28" s="296"/>
      <c r="EC28" s="296"/>
      <c r="ED28" s="296"/>
      <c r="EE28" s="296"/>
      <c r="EF28" s="296"/>
      <c r="EG28" s="296"/>
      <c r="EH28" s="296"/>
      <c r="EI28" s="296"/>
      <c r="EJ28" s="296"/>
      <c r="EK28" s="296"/>
      <c r="EL28" s="296"/>
      <c r="EM28" s="296"/>
      <c r="EN28" s="296"/>
      <c r="EO28" s="296"/>
      <c r="EP28" s="296"/>
      <c r="EQ28" s="296"/>
      <c r="ER28" s="296"/>
      <c r="ES28" s="296"/>
      <c r="ET28" s="296"/>
      <c r="EU28" s="296"/>
      <c r="EV28" s="296"/>
      <c r="EW28" s="296"/>
      <c r="EX28" s="296"/>
      <c r="EY28" s="296"/>
      <c r="EZ28" s="296"/>
      <c r="FA28" s="296"/>
      <c r="FB28" s="296"/>
      <c r="FC28" s="296"/>
      <c r="FD28" s="296"/>
      <c r="FE28" s="297"/>
      <c r="FF28" s="296"/>
      <c r="FG28" s="296"/>
      <c r="FH28" s="296"/>
      <c r="FI28" s="296"/>
      <c r="FJ28" s="296"/>
      <c r="FK28" s="296"/>
      <c r="FL28" s="296"/>
      <c r="FM28" s="296"/>
      <c r="FN28" s="296"/>
      <c r="FO28" s="296"/>
      <c r="FP28" s="296"/>
      <c r="FQ28" s="296"/>
      <c r="FR28" s="296"/>
      <c r="FS28" s="296"/>
      <c r="FT28" s="296"/>
      <c r="FU28" s="296"/>
      <c r="FV28" s="296"/>
      <c r="FW28" s="296"/>
      <c r="FX28" s="296"/>
      <c r="FY28" s="296"/>
      <c r="FZ28" s="296"/>
      <c r="GA28" s="296"/>
      <c r="GB28" s="296"/>
      <c r="GC28" s="296"/>
      <c r="GD28" s="296"/>
      <c r="GE28" s="296"/>
      <c r="GF28" s="296"/>
      <c r="GG28" s="296"/>
      <c r="GH28" s="296"/>
      <c r="GI28" s="296"/>
      <c r="GJ28" s="296"/>
      <c r="GK28" s="296"/>
      <c r="GL28" s="296"/>
      <c r="GM28" s="296"/>
      <c r="GN28" s="296"/>
      <c r="GO28" s="296"/>
      <c r="GP28" s="296"/>
      <c r="GQ28" s="296"/>
      <c r="GR28" s="296"/>
      <c r="GS28" s="296"/>
      <c r="GT28" s="296"/>
      <c r="GU28" s="296"/>
      <c r="GV28" s="296"/>
      <c r="GW28" s="296"/>
      <c r="GX28" s="296"/>
      <c r="GY28" s="296"/>
      <c r="GZ28" s="296"/>
      <c r="HA28" s="296"/>
      <c r="HB28" s="296"/>
      <c r="HC28" s="296"/>
      <c r="HD28" s="296"/>
      <c r="HE28" s="296"/>
      <c r="HF28" s="296"/>
      <c r="HG28" s="296"/>
      <c r="HH28" s="296"/>
      <c r="HI28" s="296"/>
    </row>
    <row r="29" spans="1:217" ht="15" customHeight="1">
      <c r="A29" s="150"/>
      <c r="B29" s="150"/>
      <c r="C29" s="326" t="str">
        <f>IF([3]MasterSheet!$A$1=1,[3]MasterSheet!C275,[3]MasterSheet!B275)</f>
        <v>Naknade</v>
      </c>
      <c r="D29" s="327">
        <f>+'[3]Cental Budget_int'!D34+'[3]Local Government_int'!D25</f>
        <v>57987858.799999997</v>
      </c>
      <c r="E29" s="328">
        <f t="shared" si="8"/>
        <v>2.6984903345897897</v>
      </c>
      <c r="F29" s="327">
        <f>+'[3]Cental Budget_int'!F34+'[3]Local Government_int'!F25</f>
        <v>120976404.91</v>
      </c>
      <c r="G29" s="328">
        <f t="shared" si="0"/>
        <v>4.5132029438537584</v>
      </c>
      <c r="H29" s="327">
        <f>+'[3]Cental Budget_int'!H34+'[3]Local Government_int'!H25</f>
        <v>170009303.09999999</v>
      </c>
      <c r="I29" s="328">
        <f t="shared" si="1"/>
        <v>5.5097648139745914</v>
      </c>
      <c r="J29" s="327">
        <f>+'[3]Cental Budget_int'!J34+'[3]Local Government_int'!J25</f>
        <v>105581036.48</v>
      </c>
      <c r="K29" s="328">
        <f t="shared" si="2"/>
        <v>3.541799278094599</v>
      </c>
      <c r="L29" s="327">
        <f>+'[3]Cental Budget_int'!L34+'[3]Local Government_int'!L25</f>
        <v>101994046.86000001</v>
      </c>
      <c r="M29" s="328">
        <f t="shared" si="3"/>
        <v>3.2638094995200007</v>
      </c>
      <c r="N29" s="327">
        <f>+'[3]Cental Budget_int'!N34+'[3]Local Government_int'!N25</f>
        <v>72573801.449999988</v>
      </c>
      <c r="O29" s="328">
        <f t="shared" si="4"/>
        <v>2.2227810551301683</v>
      </c>
      <c r="P29" s="327">
        <f>+'[3]Cental Budget_int'!P34+'[3]Local Government_int'!P25</f>
        <v>73744867.989999995</v>
      </c>
      <c r="Q29" s="328">
        <f t="shared" si="5"/>
        <v>2.3182919833385727</v>
      </c>
      <c r="R29" s="327">
        <f>+'[3]Cental Budget_int'!R34+'[3]Local Government_int'!R25</f>
        <v>68235145.780000001</v>
      </c>
      <c r="S29" s="328">
        <f t="shared" si="9"/>
        <v>2.0295998149910766</v>
      </c>
      <c r="T29" s="327">
        <f>+'[3]Cental Budget_int'!T34+'[3]Local Government_int'!T25</f>
        <v>71853732.310000002</v>
      </c>
      <c r="U29" s="328">
        <f t="shared" si="10"/>
        <v>2.0779586543856099</v>
      </c>
      <c r="V29" s="327">
        <f>+'[3]Cental Budget_int'!V34+'[3]Local Government_int'!V25</f>
        <v>83690687.739999995</v>
      </c>
      <c r="W29" s="329">
        <f t="shared" si="11"/>
        <v>2.289758898495212</v>
      </c>
      <c r="X29" s="327">
        <f>'Cental Budget'!X34+'Local Government_int'!X25</f>
        <v>120229583.41</v>
      </c>
      <c r="Y29" s="328">
        <f t="shared" si="6"/>
        <v>3.0405539277224216</v>
      </c>
      <c r="Z29" s="327">
        <f>'Cental Budget'!Z34+'Local Government_int'!Z25</f>
        <v>79771959.290000007</v>
      </c>
      <c r="AA29" s="328">
        <f t="shared" si="7"/>
        <v>1.8829684713796768</v>
      </c>
      <c r="AB29" s="513"/>
      <c r="AC29" s="513"/>
      <c r="AD29" s="511"/>
      <c r="AE29" s="511"/>
      <c r="AF29" s="511"/>
      <c r="AG29" s="511"/>
      <c r="AH29" s="511"/>
      <c r="AI29" s="511"/>
      <c r="AJ29" s="511"/>
      <c r="AK29" s="511"/>
      <c r="AL29" s="511"/>
      <c r="AM29" s="511"/>
      <c r="AN29" s="511"/>
      <c r="AO29" s="511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6"/>
      <c r="BP29" s="296"/>
      <c r="BQ29" s="296"/>
      <c r="BR29" s="296"/>
      <c r="BS29" s="296"/>
      <c r="BT29" s="296"/>
      <c r="BU29" s="296"/>
      <c r="BV29" s="296"/>
      <c r="BW29" s="296"/>
      <c r="BX29" s="296"/>
      <c r="BY29" s="296"/>
      <c r="BZ29" s="296"/>
      <c r="CA29" s="296"/>
      <c r="CB29" s="296"/>
      <c r="CC29" s="296"/>
      <c r="CD29" s="296"/>
      <c r="CE29" s="296"/>
      <c r="CF29" s="296"/>
      <c r="CG29" s="296"/>
      <c r="CH29" s="296"/>
      <c r="CI29" s="296"/>
      <c r="CJ29" s="296"/>
      <c r="CK29" s="296"/>
      <c r="CL29" s="296"/>
      <c r="CM29" s="296"/>
      <c r="CN29" s="296"/>
      <c r="CO29" s="296"/>
      <c r="CP29" s="296"/>
      <c r="CQ29" s="296"/>
      <c r="CR29" s="296"/>
      <c r="CS29" s="296"/>
      <c r="CT29" s="296"/>
      <c r="CU29" s="296"/>
      <c r="CV29" s="296"/>
      <c r="CW29" s="296"/>
      <c r="CX29" s="296"/>
      <c r="CY29" s="296"/>
      <c r="CZ29" s="296"/>
      <c r="DA29" s="296"/>
      <c r="DB29" s="296"/>
      <c r="DC29" s="296"/>
      <c r="DD29" s="296"/>
      <c r="DE29" s="296"/>
      <c r="DF29" s="296"/>
      <c r="DG29" s="296"/>
      <c r="DH29" s="296"/>
      <c r="DI29" s="296"/>
      <c r="DJ29" s="296"/>
      <c r="DK29" s="296"/>
      <c r="DL29" s="296"/>
      <c r="DM29" s="296"/>
      <c r="DN29" s="296"/>
      <c r="DO29" s="296"/>
      <c r="DP29" s="296"/>
      <c r="DQ29" s="296"/>
      <c r="DR29" s="296"/>
      <c r="DS29" s="296"/>
      <c r="DT29" s="296"/>
      <c r="DU29" s="296"/>
      <c r="DV29" s="296"/>
      <c r="DW29" s="296"/>
      <c r="DX29" s="296"/>
      <c r="DY29" s="296"/>
      <c r="DZ29" s="296"/>
      <c r="EA29" s="296"/>
      <c r="EB29" s="296"/>
      <c r="EC29" s="296"/>
      <c r="ED29" s="296"/>
      <c r="EE29" s="296"/>
      <c r="EF29" s="296"/>
      <c r="EG29" s="296"/>
      <c r="EH29" s="296"/>
      <c r="EI29" s="296"/>
      <c r="EJ29" s="296"/>
      <c r="EK29" s="296"/>
      <c r="EL29" s="296"/>
      <c r="EM29" s="296"/>
      <c r="EN29" s="296"/>
      <c r="EO29" s="296"/>
      <c r="EP29" s="296"/>
      <c r="EQ29" s="296"/>
      <c r="ER29" s="296"/>
      <c r="ES29" s="296"/>
      <c r="ET29" s="296"/>
      <c r="EU29" s="296"/>
      <c r="EV29" s="296"/>
      <c r="EW29" s="296"/>
      <c r="EX29" s="296"/>
      <c r="EY29" s="296"/>
      <c r="EZ29" s="296"/>
      <c r="FA29" s="296"/>
      <c r="FB29" s="296"/>
      <c r="FC29" s="296"/>
      <c r="FD29" s="296"/>
      <c r="FE29" s="297"/>
      <c r="FF29" s="296"/>
      <c r="FG29" s="296"/>
      <c r="FH29" s="296"/>
      <c r="FI29" s="296"/>
      <c r="FJ29" s="296"/>
      <c r="FK29" s="296"/>
      <c r="FL29" s="296"/>
      <c r="FM29" s="296"/>
      <c r="FN29" s="296"/>
      <c r="FO29" s="296"/>
      <c r="FP29" s="296"/>
      <c r="FQ29" s="296"/>
      <c r="FR29" s="296"/>
      <c r="FS29" s="296"/>
      <c r="FT29" s="296"/>
      <c r="FU29" s="296"/>
      <c r="FV29" s="296"/>
      <c r="FW29" s="296"/>
      <c r="FX29" s="296"/>
      <c r="FY29" s="296"/>
      <c r="FZ29" s="296"/>
      <c r="GA29" s="296"/>
      <c r="GB29" s="296"/>
      <c r="GC29" s="296"/>
      <c r="GD29" s="296"/>
      <c r="GE29" s="296"/>
      <c r="GF29" s="296"/>
      <c r="GG29" s="296"/>
      <c r="GH29" s="296"/>
      <c r="GI29" s="296"/>
      <c r="GJ29" s="296"/>
      <c r="GK29" s="296"/>
      <c r="GL29" s="296"/>
      <c r="GM29" s="296"/>
      <c r="GN29" s="296"/>
      <c r="GO29" s="296"/>
      <c r="GP29" s="296"/>
      <c r="GQ29" s="296"/>
      <c r="GR29" s="296"/>
      <c r="GS29" s="296"/>
      <c r="GT29" s="296"/>
      <c r="GU29" s="296"/>
      <c r="GV29" s="296"/>
      <c r="GW29" s="296"/>
      <c r="GX29" s="296"/>
      <c r="GY29" s="296"/>
      <c r="GZ29" s="296"/>
      <c r="HA29" s="296"/>
      <c r="HB29" s="296"/>
      <c r="HC29" s="296"/>
      <c r="HD29" s="296"/>
      <c r="HE29" s="296"/>
      <c r="HF29" s="296"/>
      <c r="HG29" s="296"/>
      <c r="HH29" s="296"/>
      <c r="HI29" s="296"/>
    </row>
    <row r="30" spans="1:217" ht="15" customHeight="1">
      <c r="A30" s="150"/>
      <c r="B30" s="150"/>
      <c r="C30" s="326" t="str">
        <f>IF([3]MasterSheet!$A$1=1,[3]MasterSheet!C276,[3]MasterSheet!B276)</f>
        <v>Ostali prihodi</v>
      </c>
      <c r="D30" s="327">
        <f>+'[3]Cental Budget_int'!D41+'[3]Local Government_int'!D35</f>
        <v>68172708.409999996</v>
      </c>
      <c r="E30" s="328">
        <f t="shared" si="8"/>
        <v>3.1724467592721859</v>
      </c>
      <c r="F30" s="327">
        <f>+'[3]Cental Budget_int'!F41+'[3]Local Government_int'!F35</f>
        <v>71175863.479999989</v>
      </c>
      <c r="G30" s="328">
        <f t="shared" si="0"/>
        <v>2.6553204058944222</v>
      </c>
      <c r="H30" s="327">
        <f>+'[3]Cental Budget_int'!H41+'[3]Local Government_int'!H35</f>
        <v>70294546.879999995</v>
      </c>
      <c r="I30" s="328">
        <f t="shared" si="1"/>
        <v>2.2781483951257453</v>
      </c>
      <c r="J30" s="327">
        <f>+'[3]Cental Budget_int'!J41+'[3]Local Government_int'!J35</f>
        <v>60342355.939999998</v>
      </c>
      <c r="K30" s="328">
        <f t="shared" si="2"/>
        <v>2.0242320006709158</v>
      </c>
      <c r="L30" s="327">
        <f>+'[3]Cental Budget_int'!L41+'[3]Local Government_int'!L35</f>
        <v>44089318.995999999</v>
      </c>
      <c r="M30" s="328">
        <f t="shared" si="3"/>
        <v>1.410858207872</v>
      </c>
      <c r="N30" s="327">
        <f>+'[3]Cental Budget_int'!N41+'[3]Local Government_int'!N35</f>
        <v>37411485.980000004</v>
      </c>
      <c r="O30" s="328">
        <f t="shared" si="4"/>
        <v>1.1458341800918836</v>
      </c>
      <c r="P30" s="327">
        <f>+'[3]Cental Budget_int'!P41+'[3]Local Government_int'!P35</f>
        <v>48924367.209999993</v>
      </c>
      <c r="Q30" s="328">
        <f t="shared" si="5"/>
        <v>1.5380184599182645</v>
      </c>
      <c r="R30" s="327">
        <f>+'[3]Cental Budget_int'!R41+'[3]Local Government_int'!R35</f>
        <v>50006225.780000001</v>
      </c>
      <c r="S30" s="328">
        <f t="shared" si="9"/>
        <v>1.4873951748958953</v>
      </c>
      <c r="T30" s="327">
        <f>+'[3]Cental Budget_int'!T41+'[3]Local Government_int'!T35</f>
        <v>44805553.850000001</v>
      </c>
      <c r="U30" s="328">
        <f t="shared" si="10"/>
        <v>1.2957446383643252</v>
      </c>
      <c r="V30" s="327">
        <f>+'[3]Cental Budget_int'!V41+'[3]Local Government_int'!V35</f>
        <v>39059790.25</v>
      </c>
      <c r="W30" s="329">
        <f t="shared" si="11"/>
        <v>1.0686673119015049</v>
      </c>
      <c r="X30" s="327">
        <f>'Cental Budget'!X41+'Local Government_int'!X35</f>
        <v>47469935.149999999</v>
      </c>
      <c r="Y30" s="328">
        <f t="shared" si="6"/>
        <v>1.2004940354559708</v>
      </c>
      <c r="Z30" s="327">
        <f>'Cental Budget'!Z41+'Local Government_int'!Z35</f>
        <v>49102073.960000001</v>
      </c>
      <c r="AA30" s="328">
        <f t="shared" si="7"/>
        <v>1.1590245240174673</v>
      </c>
      <c r="AB30" s="513"/>
      <c r="AC30" s="513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1"/>
      <c r="AO30" s="511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6"/>
      <c r="BP30" s="296"/>
      <c r="BQ30" s="296"/>
      <c r="BR30" s="296"/>
      <c r="BS30" s="296"/>
      <c r="BT30" s="296"/>
      <c r="BU30" s="296"/>
      <c r="BV30" s="296"/>
      <c r="BW30" s="296"/>
      <c r="BX30" s="296"/>
      <c r="BY30" s="296"/>
      <c r="BZ30" s="296"/>
      <c r="CA30" s="296"/>
      <c r="CB30" s="296"/>
      <c r="CC30" s="296"/>
      <c r="CD30" s="296"/>
      <c r="CE30" s="296"/>
      <c r="CF30" s="296"/>
      <c r="CG30" s="296"/>
      <c r="CH30" s="296"/>
      <c r="CI30" s="296"/>
      <c r="CJ30" s="296"/>
      <c r="CK30" s="296"/>
      <c r="CL30" s="296"/>
      <c r="CM30" s="296"/>
      <c r="CN30" s="296"/>
      <c r="CO30" s="296"/>
      <c r="CP30" s="296"/>
      <c r="CQ30" s="296"/>
      <c r="CR30" s="296"/>
      <c r="CS30" s="296"/>
      <c r="CT30" s="296"/>
      <c r="CU30" s="296"/>
      <c r="CV30" s="296"/>
      <c r="CW30" s="296"/>
      <c r="CX30" s="296"/>
      <c r="CY30" s="296"/>
      <c r="CZ30" s="296"/>
      <c r="DA30" s="296"/>
      <c r="DB30" s="296"/>
      <c r="DC30" s="296"/>
      <c r="DD30" s="296"/>
      <c r="DE30" s="296"/>
      <c r="DF30" s="296"/>
      <c r="DG30" s="296"/>
      <c r="DH30" s="296"/>
      <c r="DI30" s="296"/>
      <c r="DJ30" s="296"/>
      <c r="DK30" s="296"/>
      <c r="DL30" s="296"/>
      <c r="DM30" s="296"/>
      <c r="DN30" s="296"/>
      <c r="DO30" s="296"/>
      <c r="DP30" s="296"/>
      <c r="DQ30" s="296"/>
      <c r="DR30" s="296"/>
      <c r="DS30" s="296"/>
      <c r="DT30" s="296"/>
      <c r="DU30" s="296"/>
      <c r="DV30" s="296"/>
      <c r="DW30" s="296"/>
      <c r="DX30" s="296"/>
      <c r="DY30" s="296"/>
      <c r="DZ30" s="296"/>
      <c r="EA30" s="296"/>
      <c r="EB30" s="296"/>
      <c r="EC30" s="296"/>
      <c r="ED30" s="296"/>
      <c r="EE30" s="296"/>
      <c r="EF30" s="296"/>
      <c r="EG30" s="296"/>
      <c r="EH30" s="296"/>
      <c r="EI30" s="296"/>
      <c r="EJ30" s="296"/>
      <c r="EK30" s="296"/>
      <c r="EL30" s="296"/>
      <c r="EM30" s="296"/>
      <c r="EN30" s="296"/>
      <c r="EO30" s="296"/>
      <c r="EP30" s="296"/>
      <c r="EQ30" s="296"/>
      <c r="ER30" s="296"/>
      <c r="ES30" s="296"/>
      <c r="ET30" s="296"/>
      <c r="EU30" s="296"/>
      <c r="EV30" s="296"/>
      <c r="EW30" s="296"/>
      <c r="EX30" s="296"/>
      <c r="EY30" s="296"/>
      <c r="EZ30" s="296"/>
      <c r="FA30" s="296"/>
      <c r="FB30" s="296"/>
      <c r="FC30" s="296"/>
      <c r="FD30" s="296"/>
      <c r="FE30" s="297"/>
      <c r="FF30" s="296"/>
      <c r="FG30" s="296"/>
      <c r="FH30" s="296"/>
      <c r="FI30" s="296"/>
      <c r="FJ30" s="296"/>
      <c r="FK30" s="296"/>
      <c r="FL30" s="296"/>
      <c r="FM30" s="296"/>
      <c r="FN30" s="296"/>
      <c r="FO30" s="296"/>
      <c r="FP30" s="296"/>
      <c r="FQ30" s="296"/>
      <c r="FR30" s="296"/>
      <c r="FS30" s="296"/>
      <c r="FT30" s="296"/>
      <c r="FU30" s="296"/>
      <c r="FV30" s="296"/>
      <c r="FW30" s="296"/>
      <c r="FX30" s="296"/>
      <c r="FY30" s="296"/>
      <c r="FZ30" s="296"/>
      <c r="GA30" s="296"/>
      <c r="GB30" s="296"/>
      <c r="GC30" s="296"/>
      <c r="GD30" s="296"/>
      <c r="GE30" s="296"/>
      <c r="GF30" s="296"/>
      <c r="GG30" s="296"/>
      <c r="GH30" s="296"/>
      <c r="GI30" s="296"/>
      <c r="GJ30" s="296"/>
      <c r="GK30" s="296"/>
      <c r="GL30" s="296"/>
      <c r="GM30" s="296"/>
      <c r="GN30" s="296"/>
      <c r="GO30" s="296"/>
      <c r="GP30" s="296"/>
      <c r="GQ30" s="296"/>
      <c r="GR30" s="296"/>
      <c r="GS30" s="296"/>
      <c r="GT30" s="296"/>
      <c r="GU30" s="296"/>
      <c r="GV30" s="296"/>
      <c r="GW30" s="296"/>
      <c r="GX30" s="296"/>
      <c r="GY30" s="296"/>
      <c r="GZ30" s="296"/>
      <c r="HA30" s="296"/>
      <c r="HB30" s="296"/>
      <c r="HC30" s="296"/>
      <c r="HD30" s="296"/>
      <c r="HE30" s="296"/>
      <c r="HF30" s="296"/>
      <c r="HG30" s="296"/>
      <c r="HH30" s="296"/>
      <c r="HI30" s="296"/>
    </row>
    <row r="31" spans="1:217" ht="26.25" customHeight="1">
      <c r="A31" s="150"/>
      <c r="B31" s="150"/>
      <c r="C31" s="326" t="str">
        <f>IF([3]MasterSheet!$A$1=1,[3]MasterSheet!C277,[3]MasterSheet!B277)</f>
        <v>Primici od otplate kredita</v>
      </c>
      <c r="D31" s="327">
        <f>'[3]Cental Budget_int'!D46+'[3]Local Government_int'!D40</f>
        <v>15118345.18</v>
      </c>
      <c r="E31" s="328">
        <f t="shared" si="8"/>
        <v>0.70353879566289723</v>
      </c>
      <c r="F31" s="327">
        <f>'[3]Cental Budget_int'!F46+'[3]Local Government_int'!F40</f>
        <v>10241165.600000001</v>
      </c>
      <c r="G31" s="328">
        <f t="shared" si="0"/>
        <v>0.38206176459615748</v>
      </c>
      <c r="H31" s="327">
        <f>'[3]Cental Budget_int'!H46+'[3]Local Government_int'!H40</f>
        <v>8998827.7799999993</v>
      </c>
      <c r="I31" s="328">
        <f t="shared" si="1"/>
        <v>0.29163947951775987</v>
      </c>
      <c r="J31" s="327">
        <f>'[3]Cental Budget_int'!J46+'[3]Local Government_int'!J40</f>
        <v>54812548</v>
      </c>
      <c r="K31" s="328">
        <f t="shared" si="2"/>
        <v>1.8387302247567929</v>
      </c>
      <c r="L31" s="327">
        <f>'[3]Cental Budget_int'!L46+'[3]Local Government_int'!L40</f>
        <v>4969313.91</v>
      </c>
      <c r="M31" s="328">
        <f t="shared" si="3"/>
        <v>0.15901804512000001</v>
      </c>
      <c r="N31" s="327">
        <f>'[3]Cental Budget_int'!N46+'[3]Local Government_int'!N40</f>
        <v>5006443.9800000004</v>
      </c>
      <c r="O31" s="328">
        <f t="shared" si="4"/>
        <v>0.15333672220520675</v>
      </c>
      <c r="P31" s="327">
        <f>'[3]Cental Budget_int'!P46+'[3]Local Government_int'!P40</f>
        <v>5498802.5</v>
      </c>
      <c r="Q31" s="328">
        <f t="shared" si="5"/>
        <v>0.17286395787488212</v>
      </c>
      <c r="R31" s="327">
        <f>'[3]Cental Budget_int'!R46+'[3]Local Government_int'!R40</f>
        <v>8633294.2100000009</v>
      </c>
      <c r="S31" s="328">
        <f t="shared" si="9"/>
        <v>0.25679042861392032</v>
      </c>
      <c r="T31" s="327">
        <f>'[3]Cental Budget_int'!T46+'[3]Local Government_int'!T40</f>
        <v>8636040.2599999998</v>
      </c>
      <c r="U31" s="328">
        <f t="shared" si="10"/>
        <v>0.24974812053558518</v>
      </c>
      <c r="V31" s="327">
        <f>'[3]Cental Budget_int'!V46+'[3]Local Government_int'!V40</f>
        <v>8231495.4800000004</v>
      </c>
      <c r="W31" s="329">
        <f t="shared" si="11"/>
        <v>0.22521191463748291</v>
      </c>
      <c r="X31" s="327">
        <f>'Cental Budget'!X46+'Local Government_int'!X40</f>
        <v>4662620.91</v>
      </c>
      <c r="Y31" s="328">
        <f t="shared" si="6"/>
        <v>0.11791565702291235</v>
      </c>
      <c r="Z31" s="327">
        <f>'Cental Budget'!Z46+'Local Government_int'!Z40</f>
        <v>6580211.8799999999</v>
      </c>
      <c r="AA31" s="328">
        <f t="shared" si="7"/>
        <v>0.15532189023958456</v>
      </c>
      <c r="AB31" s="513"/>
      <c r="AC31" s="513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  <c r="AO31" s="511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6"/>
      <c r="BP31" s="296"/>
      <c r="BQ31" s="296"/>
      <c r="BR31" s="296"/>
      <c r="BS31" s="296"/>
      <c r="BT31" s="296"/>
      <c r="BU31" s="296"/>
      <c r="BV31" s="296"/>
      <c r="BW31" s="296"/>
      <c r="BX31" s="296"/>
      <c r="BY31" s="296"/>
      <c r="BZ31" s="296"/>
      <c r="CA31" s="296"/>
      <c r="CB31" s="296"/>
      <c r="CC31" s="296"/>
      <c r="CD31" s="296"/>
      <c r="CE31" s="296"/>
      <c r="CF31" s="296"/>
      <c r="CG31" s="296"/>
      <c r="CH31" s="296"/>
      <c r="CI31" s="296"/>
      <c r="CJ31" s="296"/>
      <c r="CK31" s="296"/>
      <c r="CL31" s="296"/>
      <c r="CM31" s="296"/>
      <c r="CN31" s="296"/>
      <c r="CO31" s="296"/>
      <c r="CP31" s="296"/>
      <c r="CQ31" s="296"/>
      <c r="CR31" s="296"/>
      <c r="CS31" s="296"/>
      <c r="CT31" s="296"/>
      <c r="CU31" s="296"/>
      <c r="CV31" s="296"/>
      <c r="CW31" s="296"/>
      <c r="CX31" s="296"/>
      <c r="CY31" s="296"/>
      <c r="CZ31" s="296"/>
      <c r="DA31" s="296"/>
      <c r="DB31" s="296"/>
      <c r="DC31" s="296"/>
      <c r="DD31" s="296"/>
      <c r="DE31" s="296"/>
      <c r="DF31" s="296"/>
      <c r="DG31" s="296"/>
      <c r="DH31" s="296"/>
      <c r="DI31" s="296"/>
      <c r="DJ31" s="296"/>
      <c r="DK31" s="296"/>
      <c r="DL31" s="296"/>
      <c r="DM31" s="296"/>
      <c r="DN31" s="296"/>
      <c r="DO31" s="296"/>
      <c r="DP31" s="296"/>
      <c r="DQ31" s="296"/>
      <c r="DR31" s="296"/>
      <c r="DS31" s="296"/>
      <c r="DT31" s="296"/>
      <c r="DU31" s="296"/>
      <c r="DV31" s="296"/>
      <c r="DW31" s="296"/>
      <c r="DX31" s="296"/>
      <c r="DY31" s="296"/>
      <c r="DZ31" s="296"/>
      <c r="EA31" s="296"/>
      <c r="EB31" s="296"/>
      <c r="EC31" s="296"/>
      <c r="ED31" s="296"/>
      <c r="EE31" s="296"/>
      <c r="EF31" s="296"/>
      <c r="EG31" s="296"/>
      <c r="EH31" s="296"/>
      <c r="EI31" s="296"/>
      <c r="EJ31" s="296"/>
      <c r="EK31" s="296"/>
      <c r="EL31" s="296"/>
      <c r="EM31" s="296"/>
      <c r="EN31" s="296"/>
      <c r="EO31" s="296"/>
      <c r="EP31" s="296"/>
      <c r="EQ31" s="296"/>
      <c r="ER31" s="296"/>
      <c r="ES31" s="296"/>
      <c r="ET31" s="296"/>
      <c r="EU31" s="296"/>
      <c r="EV31" s="296"/>
      <c r="EW31" s="296"/>
      <c r="EX31" s="296"/>
      <c r="EY31" s="296"/>
      <c r="EZ31" s="296"/>
      <c r="FA31" s="296"/>
      <c r="FB31" s="296"/>
      <c r="FC31" s="296"/>
      <c r="FD31" s="296"/>
      <c r="FE31" s="297"/>
      <c r="FF31" s="296"/>
      <c r="FG31" s="296"/>
      <c r="FH31" s="296"/>
      <c r="FI31" s="296"/>
      <c r="FJ31" s="296"/>
      <c r="FK31" s="296"/>
      <c r="FL31" s="296"/>
      <c r="FM31" s="296"/>
      <c r="FN31" s="296"/>
      <c r="FO31" s="296"/>
      <c r="FP31" s="296"/>
      <c r="FQ31" s="296"/>
      <c r="FR31" s="296"/>
      <c r="FS31" s="296"/>
      <c r="FT31" s="296"/>
      <c r="FU31" s="296"/>
      <c r="FV31" s="296"/>
      <c r="FW31" s="296"/>
      <c r="FX31" s="296"/>
      <c r="FY31" s="296"/>
      <c r="FZ31" s="296"/>
      <c r="GA31" s="296"/>
      <c r="GB31" s="296"/>
      <c r="GC31" s="296"/>
      <c r="GD31" s="296"/>
      <c r="GE31" s="296"/>
      <c r="GF31" s="296"/>
      <c r="GG31" s="296"/>
      <c r="GH31" s="296"/>
      <c r="GI31" s="296"/>
      <c r="GJ31" s="296"/>
      <c r="GK31" s="296"/>
      <c r="GL31" s="296"/>
      <c r="GM31" s="296"/>
      <c r="GN31" s="296"/>
      <c r="GO31" s="296"/>
      <c r="GP31" s="296"/>
      <c r="GQ31" s="296"/>
      <c r="GR31" s="296"/>
      <c r="GS31" s="296"/>
      <c r="GT31" s="296"/>
      <c r="GU31" s="296"/>
      <c r="GV31" s="296"/>
      <c r="GW31" s="296"/>
      <c r="GX31" s="296"/>
      <c r="GY31" s="296"/>
      <c r="GZ31" s="296"/>
      <c r="HA31" s="296"/>
      <c r="HB31" s="296"/>
      <c r="HC31" s="296"/>
      <c r="HD31" s="296"/>
      <c r="HE31" s="296"/>
      <c r="HF31" s="296"/>
      <c r="HG31" s="296"/>
      <c r="HH31" s="296"/>
      <c r="HI31" s="296"/>
    </row>
    <row r="32" spans="1:217" ht="15" customHeight="1" thickBot="1">
      <c r="A32" s="150"/>
      <c r="B32" s="150"/>
      <c r="C32" s="333" t="str">
        <f>IF([3]MasterSheet!$A$1=1,[3]MasterSheet!C325,[3]MasterSheet!B325)</f>
        <v>Donacije</v>
      </c>
      <c r="D32" s="334">
        <f>'[3]Cental Budget_int'!D47+'[3]Local Government_int'!D42</f>
        <v>1243648.3900000001</v>
      </c>
      <c r="E32" s="335">
        <f>+D32/$D$9*100</f>
        <v>5.7873720973521343E-2</v>
      </c>
      <c r="F32" s="334">
        <f>'[3]Cental Budget_int'!F47+'[3]Local Government_int'!F42</f>
        <v>1646678.7000000002</v>
      </c>
      <c r="G32" s="335">
        <f>+F32/$F$9*100</f>
        <v>6.1431773922775615E-2</v>
      </c>
      <c r="H32" s="334">
        <f>'[3]Cental Budget_int'!H47+'[3]Local Government_int'!H42</f>
        <v>4216176.0600000005</v>
      </c>
      <c r="I32" s="335">
        <f>+H32/$H$9*100</f>
        <v>0.13664039603318642</v>
      </c>
      <c r="J32" s="334">
        <f>'[3]Cental Budget_int'!J47+'[3]Local Government_int'!J42</f>
        <v>11561690.300000001</v>
      </c>
      <c r="K32" s="335">
        <f>+J32/$J$9*100</f>
        <v>0.38784603488762165</v>
      </c>
      <c r="L32" s="334">
        <f>'[3]Cental Budget_int'!L47+'[3]Local Government_int'!L42</f>
        <v>5857601.6699999999</v>
      </c>
      <c r="M32" s="335">
        <f>+L32/$L$9*100</f>
        <v>0.18744325344000001</v>
      </c>
      <c r="N32" s="334">
        <f>'[3]Cental Budget_int'!N47+'[3]Local Government_int'!N42</f>
        <v>8258541.5299999993</v>
      </c>
      <c r="O32" s="335">
        <f>+N32/$N$9*100</f>
        <v>0.25294154762633997</v>
      </c>
      <c r="P32" s="334">
        <f>'[3]Cental Budget_int'!P47+'[3]Local Government_int'!P42</f>
        <v>7916438.9100000001</v>
      </c>
      <c r="Q32" s="336">
        <f>+P32/P$9*100</f>
        <v>0.24886635994970135</v>
      </c>
      <c r="R32" s="334">
        <f>'[3]Cental Budget_int'!R47+'[3]Local Government_int'!R42</f>
        <v>9717198.7000000011</v>
      </c>
      <c r="S32" s="336">
        <f>+R32/R$9*100</f>
        <v>0.28903030041641886</v>
      </c>
      <c r="T32" s="334">
        <f>'[3]Cental Budget_int'!T47+'[3]Local Government_int'!T42</f>
        <v>9305286.2699999996</v>
      </c>
      <c r="U32" s="335">
        <f>+T32/T$9*100</f>
        <v>0.26910223748517886</v>
      </c>
      <c r="V32" s="334">
        <f>'[3]Cental Budget_int'!V47+'[3]Local Government_int'!V42</f>
        <v>13531669.91</v>
      </c>
      <c r="W32" s="337">
        <f>+V32/V$9*100</f>
        <v>0.37022352694938443</v>
      </c>
      <c r="X32" s="334">
        <f>'Cental Budget'!X47+'Local Government_int'!X42</f>
        <v>17322881.359999999</v>
      </c>
      <c r="Y32" s="336">
        <f t="shared" si="6"/>
        <v>0.43808814324009915</v>
      </c>
      <c r="Z32" s="334">
        <f>'Cental Budget'!Z47+'Local Government_int'!Z42</f>
        <v>30462879.43</v>
      </c>
      <c r="AA32" s="336">
        <f t="shared" si="7"/>
        <v>0.71905769928006613</v>
      </c>
      <c r="AB32" s="513"/>
      <c r="AC32" s="513"/>
      <c r="AD32" s="511"/>
      <c r="AE32" s="511"/>
      <c r="AF32" s="511"/>
      <c r="AG32" s="511"/>
      <c r="AH32" s="511"/>
      <c r="AI32" s="511"/>
      <c r="AJ32" s="511"/>
      <c r="AK32" s="511"/>
      <c r="AL32" s="511"/>
      <c r="AM32" s="511"/>
      <c r="AN32" s="511"/>
      <c r="AO32" s="511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6"/>
      <c r="BP32" s="296"/>
      <c r="BQ32" s="296"/>
      <c r="BR32" s="296"/>
      <c r="BS32" s="296"/>
      <c r="BT32" s="296"/>
      <c r="BU32" s="296"/>
      <c r="BV32" s="296"/>
      <c r="BW32" s="296"/>
      <c r="BX32" s="296"/>
      <c r="BY32" s="296"/>
      <c r="BZ32" s="296"/>
      <c r="CA32" s="296"/>
      <c r="CB32" s="296"/>
      <c r="CC32" s="296"/>
      <c r="CD32" s="296"/>
      <c r="CE32" s="296"/>
      <c r="CF32" s="296"/>
      <c r="CG32" s="296"/>
      <c r="CH32" s="296"/>
      <c r="CI32" s="296"/>
      <c r="CJ32" s="296"/>
      <c r="CK32" s="296"/>
      <c r="CL32" s="296"/>
      <c r="CM32" s="296"/>
      <c r="CN32" s="296"/>
      <c r="CO32" s="296"/>
      <c r="CP32" s="296"/>
      <c r="CQ32" s="296"/>
      <c r="CR32" s="296"/>
      <c r="CS32" s="296"/>
      <c r="CT32" s="296"/>
      <c r="CU32" s="296"/>
      <c r="CV32" s="296"/>
      <c r="CW32" s="296"/>
      <c r="CX32" s="296"/>
      <c r="CY32" s="296"/>
      <c r="CZ32" s="296"/>
      <c r="DA32" s="296"/>
      <c r="DB32" s="296"/>
      <c r="DC32" s="296"/>
      <c r="DD32" s="296"/>
      <c r="DE32" s="296"/>
      <c r="DF32" s="296"/>
      <c r="DG32" s="296"/>
      <c r="DH32" s="296"/>
      <c r="DI32" s="296"/>
      <c r="DJ32" s="296"/>
      <c r="DK32" s="296"/>
      <c r="DL32" s="296"/>
      <c r="DM32" s="296"/>
      <c r="DN32" s="296"/>
      <c r="DO32" s="296"/>
      <c r="DP32" s="296"/>
      <c r="DQ32" s="296"/>
      <c r="DR32" s="296"/>
      <c r="DS32" s="296"/>
      <c r="DT32" s="296"/>
      <c r="DU32" s="296"/>
      <c r="DV32" s="296"/>
      <c r="DW32" s="296"/>
      <c r="DX32" s="296"/>
      <c r="DY32" s="296"/>
      <c r="DZ32" s="296"/>
      <c r="EA32" s="296"/>
      <c r="EB32" s="296"/>
      <c r="EC32" s="296"/>
      <c r="ED32" s="296"/>
      <c r="EE32" s="296"/>
      <c r="EF32" s="296"/>
      <c r="EG32" s="296"/>
      <c r="EH32" s="296"/>
      <c r="EI32" s="296"/>
      <c r="EJ32" s="296"/>
      <c r="EK32" s="296"/>
      <c r="EL32" s="296"/>
      <c r="EM32" s="296"/>
      <c r="EN32" s="296"/>
      <c r="EO32" s="296"/>
      <c r="EP32" s="296"/>
      <c r="EQ32" s="296"/>
      <c r="ER32" s="296"/>
      <c r="ES32" s="296"/>
      <c r="ET32" s="296"/>
      <c r="EU32" s="296"/>
      <c r="EV32" s="296"/>
      <c r="EW32" s="296"/>
      <c r="EX32" s="296"/>
      <c r="EY32" s="296"/>
      <c r="EZ32" s="296"/>
      <c r="FA32" s="296"/>
      <c r="FB32" s="296"/>
      <c r="FC32" s="296"/>
      <c r="FD32" s="296"/>
      <c r="FE32" s="297"/>
      <c r="FF32" s="296"/>
      <c r="FG32" s="296"/>
      <c r="FH32" s="296"/>
      <c r="FI32" s="296"/>
      <c r="FJ32" s="296"/>
      <c r="FK32" s="296"/>
      <c r="FL32" s="296"/>
      <c r="FM32" s="296"/>
      <c r="FN32" s="296"/>
      <c r="FO32" s="296"/>
      <c r="FP32" s="296"/>
      <c r="FQ32" s="296"/>
      <c r="FR32" s="296"/>
      <c r="FS32" s="296"/>
      <c r="FT32" s="296"/>
      <c r="FU32" s="296"/>
      <c r="FV32" s="296"/>
      <c r="FW32" s="296"/>
      <c r="FX32" s="296"/>
      <c r="FY32" s="296"/>
      <c r="FZ32" s="296"/>
      <c r="GA32" s="296"/>
      <c r="GB32" s="296"/>
      <c r="GC32" s="296"/>
      <c r="GD32" s="296"/>
      <c r="GE32" s="296"/>
      <c r="GF32" s="296"/>
      <c r="GG32" s="296"/>
      <c r="GH32" s="296"/>
      <c r="GI32" s="296"/>
      <c r="GJ32" s="296"/>
      <c r="GK32" s="296"/>
      <c r="GL32" s="296"/>
      <c r="GM32" s="296"/>
      <c r="GN32" s="296"/>
      <c r="GO32" s="296"/>
      <c r="GP32" s="296"/>
      <c r="GQ32" s="296"/>
      <c r="GR32" s="296"/>
      <c r="GS32" s="296"/>
      <c r="GT32" s="296"/>
      <c r="GU32" s="296"/>
      <c r="GV32" s="296"/>
      <c r="GW32" s="296"/>
      <c r="GX32" s="296"/>
      <c r="GY32" s="296"/>
      <c r="GZ32" s="296"/>
      <c r="HA32" s="296"/>
      <c r="HB32" s="296"/>
      <c r="HC32" s="296"/>
      <c r="HD32" s="296"/>
      <c r="HE32" s="296"/>
      <c r="HF32" s="296"/>
      <c r="HG32" s="296"/>
      <c r="HH32" s="296"/>
      <c r="HI32" s="296"/>
    </row>
    <row r="33" spans="1:217" ht="15" customHeight="1" thickTop="1" thickBot="1">
      <c r="A33" s="150"/>
      <c r="B33" s="150"/>
      <c r="C33" s="338" t="str">
        <f>IF([3]MasterSheet!$A$1=1,[3]MasterSheet!C278,[3]MasterSheet!B278)</f>
        <v>Javna potrošnja</v>
      </c>
      <c r="D33" s="309">
        <f>D35+D45+D51+D52+SUM(D55:D60)</f>
        <v>910212188.03979993</v>
      </c>
      <c r="E33" s="310">
        <f>+D33/$D$9*100</f>
        <v>42.35712169201917</v>
      </c>
      <c r="F33" s="309">
        <f>F35+F45+F51+F52+SUM(F55:F60)</f>
        <v>1161071849.8999999</v>
      </c>
      <c r="G33" s="310">
        <f t="shared" si="0"/>
        <v>43.31549523969408</v>
      </c>
      <c r="H33" s="309">
        <f>H35+H45+H51+H52+SUM(H55:H60)</f>
        <v>1559800212.8699999</v>
      </c>
      <c r="I33" s="310">
        <f t="shared" si="1"/>
        <v>50.550953230165931</v>
      </c>
      <c r="J33" s="309">
        <f>J35+J45+J51+J52+SUM(J55:J60)</f>
        <v>1522946952.8044999</v>
      </c>
      <c r="K33" s="310">
        <f t="shared" si="2"/>
        <v>51.088458665028512</v>
      </c>
      <c r="L33" s="309">
        <f>L35+L45+L51+L52+SUM(L55:L60)</f>
        <v>1432225990.0100002</v>
      </c>
      <c r="M33" s="310">
        <f t="shared" si="3"/>
        <v>45.831231680320009</v>
      </c>
      <c r="N33" s="309">
        <f>N35+N45+N51+N52+SUM(N55:N60)</f>
        <v>1461252401.76</v>
      </c>
      <c r="O33" s="310">
        <f t="shared" si="4"/>
        <v>44.755050589892804</v>
      </c>
      <c r="P33" s="309">
        <f>P35+P45+P51+P52+SUM(P55:P60)</f>
        <v>1476035373.9099998</v>
      </c>
      <c r="Q33" s="310">
        <f t="shared" si="5"/>
        <v>46.40161502389185</v>
      </c>
      <c r="R33" s="309">
        <f>R35+R45+R51+R52+SUM(R55:R58)+R60</f>
        <v>1586542802.2799997</v>
      </c>
      <c r="S33" s="310">
        <f t="shared" si="9"/>
        <v>47.190446230814977</v>
      </c>
      <c r="T33" s="309">
        <f>T35+T44+T45+T51+T52+SUM(T55:T58)+T60</f>
        <v>1650761883.9724998</v>
      </c>
      <c r="U33" s="310">
        <f t="shared" si="10"/>
        <v>47.738855489531211</v>
      </c>
      <c r="V33" s="309">
        <f>V35+V44+V45+V51+V52+SUM(V55:V58)+V60</f>
        <v>1828550969.7130001</v>
      </c>
      <c r="W33" s="311">
        <f t="shared" si="11"/>
        <v>50.028754301313271</v>
      </c>
      <c r="X33" s="309">
        <f>X35+X45+X51+X52+X55+X57+X60</f>
        <v>1826455420.02</v>
      </c>
      <c r="Y33" s="310">
        <f t="shared" ref="Y33:Y51" si="12">+X33/X$9*100</f>
        <v>46.190264023569874</v>
      </c>
      <c r="Z33" s="309">
        <f>Z35+Z45+Z51+Z52+SUM(Z55:Z58)+Z60</f>
        <v>2012462329.7499998</v>
      </c>
      <c r="AA33" s="310">
        <f t="shared" ref="AA33:AA51" si="13">+Z33/Z$9*100</f>
        <v>47.502946530154603</v>
      </c>
      <c r="AB33" s="513"/>
      <c r="AC33" s="513"/>
      <c r="AD33" s="511"/>
      <c r="AE33" s="511"/>
      <c r="AF33" s="511"/>
      <c r="AG33" s="511"/>
      <c r="AH33" s="511"/>
      <c r="AI33" s="511"/>
      <c r="AJ33" s="511"/>
      <c r="AK33" s="511"/>
      <c r="AL33" s="511"/>
      <c r="AM33" s="511"/>
      <c r="AN33" s="511"/>
      <c r="AO33" s="511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6"/>
      <c r="BP33" s="296"/>
      <c r="BQ33" s="296"/>
      <c r="BR33" s="296"/>
      <c r="BS33" s="296"/>
      <c r="BT33" s="296"/>
      <c r="BU33" s="296"/>
      <c r="BV33" s="296"/>
      <c r="BW33" s="296"/>
      <c r="BX33" s="296"/>
      <c r="BY33" s="296"/>
      <c r="BZ33" s="296"/>
      <c r="CA33" s="296"/>
      <c r="CB33" s="296"/>
      <c r="CC33" s="296"/>
      <c r="CD33" s="296"/>
      <c r="CE33" s="296"/>
      <c r="CF33" s="296"/>
      <c r="CG33" s="296"/>
      <c r="CH33" s="296"/>
      <c r="CI33" s="296"/>
      <c r="CJ33" s="296"/>
      <c r="CK33" s="296"/>
      <c r="CL33" s="296"/>
      <c r="CM33" s="296"/>
      <c r="CN33" s="296"/>
      <c r="CO33" s="296"/>
      <c r="CP33" s="296"/>
      <c r="CQ33" s="296"/>
      <c r="CR33" s="296"/>
      <c r="CS33" s="296"/>
      <c r="CT33" s="296"/>
      <c r="CU33" s="296"/>
      <c r="CV33" s="296"/>
      <c r="CW33" s="296"/>
      <c r="CX33" s="296"/>
      <c r="CY33" s="296"/>
      <c r="CZ33" s="296"/>
      <c r="DA33" s="296"/>
      <c r="DB33" s="296"/>
      <c r="DC33" s="296"/>
      <c r="DD33" s="296"/>
      <c r="DE33" s="296"/>
      <c r="DF33" s="296"/>
      <c r="DG33" s="296"/>
      <c r="DH33" s="296"/>
      <c r="DI33" s="296"/>
      <c r="DJ33" s="296"/>
      <c r="DK33" s="296"/>
      <c r="DL33" s="296"/>
      <c r="DM33" s="296"/>
      <c r="DN33" s="296"/>
      <c r="DO33" s="296"/>
      <c r="DP33" s="296"/>
      <c r="DQ33" s="296"/>
      <c r="DR33" s="296"/>
      <c r="DS33" s="296"/>
      <c r="DT33" s="296"/>
      <c r="DU33" s="296"/>
      <c r="DV33" s="296"/>
      <c r="DW33" s="296"/>
      <c r="DX33" s="296"/>
      <c r="DY33" s="296"/>
      <c r="DZ33" s="296"/>
      <c r="EA33" s="296"/>
      <c r="EB33" s="296"/>
      <c r="EC33" s="296"/>
      <c r="ED33" s="296"/>
      <c r="EE33" s="296"/>
      <c r="EF33" s="296"/>
      <c r="EG33" s="296"/>
      <c r="EH33" s="296"/>
      <c r="EI33" s="296"/>
      <c r="EJ33" s="296"/>
      <c r="EK33" s="296"/>
      <c r="EL33" s="296"/>
      <c r="EM33" s="296"/>
      <c r="EN33" s="296"/>
      <c r="EO33" s="296"/>
      <c r="EP33" s="296"/>
      <c r="EQ33" s="296"/>
      <c r="ER33" s="296"/>
      <c r="ES33" s="296"/>
      <c r="ET33" s="296"/>
      <c r="EU33" s="296"/>
      <c r="EV33" s="296"/>
      <c r="EW33" s="296"/>
      <c r="EX33" s="296"/>
      <c r="EY33" s="296"/>
      <c r="EZ33" s="296"/>
      <c r="FA33" s="296"/>
      <c r="FB33" s="296"/>
      <c r="FC33" s="296"/>
      <c r="FD33" s="296"/>
      <c r="FE33" s="297"/>
      <c r="FF33" s="296"/>
      <c r="FG33" s="296"/>
      <c r="FH33" s="296"/>
      <c r="FI33" s="296"/>
      <c r="FJ33" s="296"/>
      <c r="FK33" s="296"/>
      <c r="FL33" s="296"/>
      <c r="FM33" s="296"/>
      <c r="FN33" s="296"/>
      <c r="FO33" s="296"/>
      <c r="FP33" s="296"/>
      <c r="FQ33" s="296"/>
      <c r="FR33" s="296"/>
      <c r="FS33" s="296"/>
      <c r="FT33" s="296"/>
      <c r="FU33" s="296"/>
      <c r="FV33" s="296"/>
      <c r="FW33" s="296"/>
      <c r="FX33" s="296"/>
      <c r="FY33" s="296"/>
      <c r="FZ33" s="296"/>
      <c r="GA33" s="296"/>
      <c r="GB33" s="296"/>
      <c r="GC33" s="296"/>
      <c r="GD33" s="296"/>
      <c r="GE33" s="296"/>
      <c r="GF33" s="296"/>
      <c r="GG33" s="296"/>
      <c r="GH33" s="296"/>
      <c r="GI33" s="296"/>
      <c r="GJ33" s="296"/>
      <c r="GK33" s="296"/>
      <c r="GL33" s="296"/>
      <c r="GM33" s="296"/>
      <c r="GN33" s="296"/>
      <c r="GO33" s="296"/>
      <c r="GP33" s="296"/>
      <c r="GQ33" s="296"/>
      <c r="GR33" s="296"/>
      <c r="GS33" s="296"/>
      <c r="GT33" s="296"/>
      <c r="GU33" s="296"/>
      <c r="GV33" s="296"/>
      <c r="GW33" s="296"/>
      <c r="GX33" s="296"/>
      <c r="GY33" s="296"/>
      <c r="GZ33" s="296"/>
      <c r="HA33" s="296"/>
      <c r="HB33" s="296"/>
      <c r="HC33" s="296"/>
      <c r="HD33" s="296"/>
      <c r="HE33" s="296"/>
      <c r="HF33" s="296"/>
      <c r="HG33" s="296"/>
      <c r="HH33" s="296"/>
      <c r="HI33" s="296"/>
    </row>
    <row r="34" spans="1:217" ht="15" customHeight="1" thickTop="1" thickBot="1">
      <c r="A34" s="150"/>
      <c r="B34" s="150"/>
      <c r="C34" s="338" t="str">
        <f>IF([3]MasterSheet!$A$1=1,[3]MasterSheet!C279,[3]MasterSheet!B279)</f>
        <v>Tekuća javna potrošnja</v>
      </c>
      <c r="D34" s="309">
        <f>D33-D52</f>
        <v>853300704.37979996</v>
      </c>
      <c r="E34" s="310">
        <f t="shared" si="8"/>
        <v>39.708720944660058</v>
      </c>
      <c r="F34" s="309">
        <f>F33-F52</f>
        <v>973710462.47999978</v>
      </c>
      <c r="G34" s="310">
        <f t="shared" si="0"/>
        <v>36.325702759932838</v>
      </c>
      <c r="H34" s="309">
        <f>H33-H52</f>
        <v>1320028244.3699999</v>
      </c>
      <c r="I34" s="310">
        <f t="shared" si="1"/>
        <v>42.780277559307748</v>
      </c>
      <c r="J34" s="309">
        <f>J33-J52</f>
        <v>1298247096.1644998</v>
      </c>
      <c r="K34" s="310">
        <f t="shared" si="2"/>
        <v>43.550724460399188</v>
      </c>
      <c r="L34" s="309">
        <f>L33-L52</f>
        <v>1285825621.2000003</v>
      </c>
      <c r="M34" s="310">
        <f t="shared" si="3"/>
        <v>41.14641987840001</v>
      </c>
      <c r="N34" s="309">
        <f>N33-N52</f>
        <v>1342667539.3</v>
      </c>
      <c r="O34" s="310">
        <f t="shared" si="4"/>
        <v>41.123048676875953</v>
      </c>
      <c r="P34" s="309">
        <f>P33-P52</f>
        <v>1368980695.8399999</v>
      </c>
      <c r="Q34" s="310">
        <f t="shared" si="5"/>
        <v>43.03617402829299</v>
      </c>
      <c r="R34" s="309">
        <f>R33-R52</f>
        <v>1462156032.6699996</v>
      </c>
      <c r="S34" s="310">
        <f t="shared" si="9"/>
        <v>43.490661292980363</v>
      </c>
      <c r="T34" s="309">
        <f>T33-T52</f>
        <v>1533655391.1624999</v>
      </c>
      <c r="U34" s="310">
        <f t="shared" si="10"/>
        <v>44.352219299647182</v>
      </c>
      <c r="V34" s="309">
        <f>V33-V52</f>
        <v>1560415018.243</v>
      </c>
      <c r="W34" s="311">
        <f t="shared" si="11"/>
        <v>42.692613358221614</v>
      </c>
      <c r="X34" s="309">
        <f>X33-X52</f>
        <v>1720600149.1800001</v>
      </c>
      <c r="Y34" s="310">
        <f t="shared" si="12"/>
        <v>43.513230215467104</v>
      </c>
      <c r="Z34" s="309">
        <f>Z33-Z52</f>
        <v>1714461926.6699998</v>
      </c>
      <c r="AA34" s="310">
        <f t="shared" si="13"/>
        <v>40.468828671544905</v>
      </c>
      <c r="AB34" s="513"/>
      <c r="AC34" s="513"/>
      <c r="AD34" s="511"/>
      <c r="AE34" s="511"/>
      <c r="AF34" s="511"/>
      <c r="AG34" s="511"/>
      <c r="AH34" s="511"/>
      <c r="AI34" s="511"/>
      <c r="AJ34" s="511"/>
      <c r="AK34" s="511"/>
      <c r="AL34" s="511"/>
      <c r="AM34" s="511"/>
      <c r="AN34" s="511"/>
      <c r="AO34" s="511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6"/>
      <c r="BO34" s="296"/>
      <c r="BP34" s="296"/>
      <c r="BQ34" s="296"/>
      <c r="BR34" s="296"/>
      <c r="BS34" s="296"/>
      <c r="BT34" s="296"/>
      <c r="BU34" s="296"/>
      <c r="BV34" s="296"/>
      <c r="BW34" s="296"/>
      <c r="BX34" s="296"/>
      <c r="BY34" s="296"/>
      <c r="BZ34" s="296"/>
      <c r="CA34" s="296"/>
      <c r="CB34" s="296"/>
      <c r="CC34" s="296"/>
      <c r="CD34" s="296"/>
      <c r="CE34" s="296"/>
      <c r="CF34" s="296"/>
      <c r="CG34" s="296"/>
      <c r="CH34" s="296"/>
      <c r="CI34" s="296"/>
      <c r="CJ34" s="296"/>
      <c r="CK34" s="296"/>
      <c r="CL34" s="296"/>
      <c r="CM34" s="296"/>
      <c r="CN34" s="296"/>
      <c r="CO34" s="296"/>
      <c r="CP34" s="296"/>
      <c r="CQ34" s="296"/>
      <c r="CR34" s="296"/>
      <c r="CS34" s="296"/>
      <c r="CT34" s="296"/>
      <c r="CU34" s="296"/>
      <c r="CV34" s="296"/>
      <c r="CW34" s="296"/>
      <c r="CX34" s="296"/>
      <c r="CY34" s="296"/>
      <c r="CZ34" s="296"/>
      <c r="DA34" s="296"/>
      <c r="DB34" s="296"/>
      <c r="DC34" s="296"/>
      <c r="DD34" s="296"/>
      <c r="DE34" s="296"/>
      <c r="DF34" s="296"/>
      <c r="DG34" s="296"/>
      <c r="DH34" s="296"/>
      <c r="DI34" s="296"/>
      <c r="DJ34" s="296"/>
      <c r="DK34" s="296"/>
      <c r="DL34" s="296"/>
      <c r="DM34" s="296"/>
      <c r="DN34" s="296"/>
      <c r="DO34" s="296"/>
      <c r="DP34" s="296"/>
      <c r="DQ34" s="296"/>
      <c r="DR34" s="296"/>
      <c r="DS34" s="296"/>
      <c r="DT34" s="296"/>
      <c r="DU34" s="296"/>
      <c r="DV34" s="296"/>
      <c r="DW34" s="296"/>
      <c r="DX34" s="296"/>
      <c r="DY34" s="296"/>
      <c r="DZ34" s="296"/>
      <c r="EA34" s="296"/>
      <c r="EB34" s="296"/>
      <c r="EC34" s="296"/>
      <c r="ED34" s="296"/>
      <c r="EE34" s="296"/>
      <c r="EF34" s="296"/>
      <c r="EG34" s="296"/>
      <c r="EH34" s="296"/>
      <c r="EI34" s="296"/>
      <c r="EJ34" s="296"/>
      <c r="EK34" s="296"/>
      <c r="EL34" s="296"/>
      <c r="EM34" s="296"/>
      <c r="EN34" s="296"/>
      <c r="EO34" s="296"/>
      <c r="EP34" s="296"/>
      <c r="EQ34" s="296"/>
      <c r="ER34" s="296"/>
      <c r="ES34" s="296"/>
      <c r="ET34" s="296"/>
      <c r="EU34" s="296"/>
      <c r="EV34" s="296"/>
      <c r="EW34" s="296"/>
      <c r="EX34" s="296"/>
      <c r="EY34" s="296"/>
      <c r="EZ34" s="296"/>
      <c r="FA34" s="296"/>
      <c r="FB34" s="296"/>
      <c r="FC34" s="296"/>
      <c r="FD34" s="296"/>
      <c r="FE34" s="297"/>
      <c r="FF34" s="296"/>
      <c r="FG34" s="339"/>
      <c r="FH34" s="296"/>
      <c r="FI34" s="296"/>
      <c r="FJ34" s="296"/>
      <c r="FK34" s="296"/>
      <c r="FL34" s="296"/>
      <c r="FM34" s="296"/>
      <c r="FN34" s="296"/>
      <c r="FO34" s="296"/>
      <c r="FP34" s="296"/>
      <c r="FQ34" s="296"/>
      <c r="FR34" s="296"/>
      <c r="FS34" s="296"/>
      <c r="FT34" s="296"/>
      <c r="FU34" s="296"/>
      <c r="FV34" s="296"/>
      <c r="FW34" s="296"/>
      <c r="FX34" s="296"/>
      <c r="FY34" s="296"/>
      <c r="FZ34" s="296"/>
      <c r="GA34" s="296"/>
      <c r="GB34" s="296"/>
      <c r="GC34" s="296"/>
      <c r="GD34" s="296"/>
      <c r="GE34" s="296"/>
      <c r="GF34" s="296"/>
      <c r="GG34" s="296"/>
      <c r="GH34" s="296"/>
      <c r="GI34" s="296"/>
      <c r="GJ34" s="296"/>
      <c r="GK34" s="296"/>
      <c r="GL34" s="296"/>
      <c r="GM34" s="296"/>
      <c r="GN34" s="296"/>
      <c r="GO34" s="296"/>
      <c r="GP34" s="296"/>
      <c r="GQ34" s="296"/>
      <c r="GR34" s="296"/>
      <c r="GS34" s="296"/>
      <c r="GT34" s="296"/>
      <c r="GU34" s="296"/>
      <c r="GV34" s="296"/>
      <c r="GW34" s="296"/>
      <c r="GX34" s="296"/>
      <c r="GY34" s="296"/>
      <c r="GZ34" s="296"/>
      <c r="HA34" s="296"/>
      <c r="HB34" s="296"/>
      <c r="HC34" s="296"/>
      <c r="HD34" s="296"/>
      <c r="HE34" s="296"/>
      <c r="HF34" s="296"/>
      <c r="HG34" s="296"/>
      <c r="HH34" s="296"/>
      <c r="HI34" s="296"/>
    </row>
    <row r="35" spans="1:217" ht="15" customHeight="1" thickTop="1">
      <c r="A35" s="150"/>
      <c r="B35" s="150"/>
      <c r="C35" s="340" t="str">
        <f>IF([3]MasterSheet!$A$1=1,[3]MasterSheet!C280,[3]MasterSheet!B280)</f>
        <v>Tekući izdaci</v>
      </c>
      <c r="D35" s="314">
        <f>D36+SUM(D37:D44)</f>
        <v>485516128.15979993</v>
      </c>
      <c r="E35" s="315">
        <f t="shared" si="8"/>
        <v>22.593705065838332</v>
      </c>
      <c r="F35" s="314">
        <f>F36+SUM(F37:F44)</f>
        <v>565255092.00999999</v>
      </c>
      <c r="G35" s="315">
        <f t="shared" si="0"/>
        <v>21.087673643350122</v>
      </c>
      <c r="H35" s="314">
        <f>H36+SUM(H37:H44)</f>
        <v>648732162.45000005</v>
      </c>
      <c r="I35" s="315">
        <f t="shared" si="1"/>
        <v>21.024506172219343</v>
      </c>
      <c r="J35" s="314">
        <f>J36+SUM(J37:J44)</f>
        <v>587536977.26449978</v>
      </c>
      <c r="K35" s="315">
        <f t="shared" si="2"/>
        <v>19.709392058520621</v>
      </c>
      <c r="L35" s="314">
        <f>L36+SUM(L37:L44)</f>
        <v>609707642.15999997</v>
      </c>
      <c r="M35" s="315">
        <f t="shared" si="3"/>
        <v>19.510644549119998</v>
      </c>
      <c r="N35" s="314">
        <f>N36+SUM(N37:N44)</f>
        <v>697551105.69999993</v>
      </c>
      <c r="O35" s="315">
        <f t="shared" si="4"/>
        <v>21.364505534456356</v>
      </c>
      <c r="P35" s="314">
        <f>P36+SUM(P37:P44)</f>
        <v>729677209.29999995</v>
      </c>
      <c r="Q35" s="315">
        <f t="shared" si="5"/>
        <v>22.938610792203708</v>
      </c>
      <c r="R35" s="314">
        <f>R36+SUM(R37:R44)</f>
        <v>668867393.47000003</v>
      </c>
      <c r="S35" s="315">
        <f t="shared" si="9"/>
        <v>19.894925445270673</v>
      </c>
      <c r="T35" s="314">
        <f>T36+SUM(T37:T43)</f>
        <v>699319500.74000001</v>
      </c>
      <c r="U35" s="315">
        <f t="shared" si="10"/>
        <v>20.223820837502533</v>
      </c>
      <c r="V35" s="314">
        <f>V36+SUM(V37:V43)</f>
        <v>722275557.99300003</v>
      </c>
      <c r="W35" s="316">
        <f t="shared" si="11"/>
        <v>19.761301176279069</v>
      </c>
      <c r="X35" s="314">
        <f>X36+SUM(X37:X44)</f>
        <v>818336859.96000004</v>
      </c>
      <c r="Y35" s="315">
        <f t="shared" si="12"/>
        <v>20.695383641697436</v>
      </c>
      <c r="Z35" s="314">
        <f>Z36+SUM(Z37:Z44)</f>
        <v>862062389.01999998</v>
      </c>
      <c r="AA35" s="315">
        <f t="shared" si="13"/>
        <v>20.348457193910065</v>
      </c>
      <c r="AB35" s="513"/>
      <c r="AC35" s="513"/>
      <c r="AD35" s="513"/>
      <c r="AE35" s="513"/>
      <c r="AF35" s="514"/>
      <c r="AG35" s="511"/>
      <c r="AH35" s="511"/>
      <c r="AI35" s="511"/>
      <c r="AJ35" s="511"/>
      <c r="AK35" s="511"/>
      <c r="AL35" s="511"/>
      <c r="AM35" s="511"/>
      <c r="AN35" s="511"/>
      <c r="AO35" s="511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6"/>
      <c r="BP35" s="296"/>
      <c r="BQ35" s="296"/>
      <c r="BR35" s="296"/>
      <c r="BS35" s="296"/>
      <c r="BT35" s="296"/>
      <c r="BU35" s="296"/>
      <c r="BV35" s="296"/>
      <c r="BW35" s="296"/>
      <c r="BX35" s="296"/>
      <c r="BY35" s="296"/>
      <c r="BZ35" s="296"/>
      <c r="CA35" s="296"/>
      <c r="CB35" s="296"/>
      <c r="CC35" s="296"/>
      <c r="CD35" s="296"/>
      <c r="CE35" s="296"/>
      <c r="CF35" s="296"/>
      <c r="CG35" s="296"/>
      <c r="CH35" s="296"/>
      <c r="CI35" s="296"/>
      <c r="CJ35" s="296"/>
      <c r="CK35" s="296"/>
      <c r="CL35" s="296"/>
      <c r="CM35" s="296"/>
      <c r="CN35" s="296"/>
      <c r="CO35" s="296"/>
      <c r="CP35" s="296"/>
      <c r="CQ35" s="296"/>
      <c r="CR35" s="296"/>
      <c r="CS35" s="296"/>
      <c r="CT35" s="296"/>
      <c r="CU35" s="296"/>
      <c r="CV35" s="296"/>
      <c r="CW35" s="296"/>
      <c r="CX35" s="296"/>
      <c r="CY35" s="296"/>
      <c r="CZ35" s="296"/>
      <c r="DA35" s="296"/>
      <c r="DB35" s="296"/>
      <c r="DC35" s="296"/>
      <c r="DD35" s="296"/>
      <c r="DE35" s="296"/>
      <c r="DF35" s="296"/>
      <c r="DG35" s="296"/>
      <c r="DH35" s="296"/>
      <c r="DI35" s="296"/>
      <c r="DJ35" s="296"/>
      <c r="DK35" s="296"/>
      <c r="DL35" s="296"/>
      <c r="DM35" s="296"/>
      <c r="DN35" s="296"/>
      <c r="DO35" s="296"/>
      <c r="DP35" s="296"/>
      <c r="DQ35" s="296"/>
      <c r="DR35" s="296"/>
      <c r="DS35" s="296"/>
      <c r="DT35" s="296"/>
      <c r="DU35" s="296"/>
      <c r="DV35" s="296"/>
      <c r="DW35" s="296"/>
      <c r="DX35" s="296"/>
      <c r="DY35" s="296"/>
      <c r="DZ35" s="296"/>
      <c r="EA35" s="296"/>
      <c r="EB35" s="296"/>
      <c r="EC35" s="296"/>
      <c r="ED35" s="296"/>
      <c r="EE35" s="296"/>
      <c r="EF35" s="296"/>
      <c r="EG35" s="296"/>
      <c r="EH35" s="296"/>
      <c r="EI35" s="296"/>
      <c r="EJ35" s="296"/>
      <c r="EK35" s="296"/>
      <c r="EL35" s="296"/>
      <c r="EM35" s="296"/>
      <c r="EN35" s="296"/>
      <c r="EO35" s="296"/>
      <c r="EP35" s="296"/>
      <c r="EQ35" s="296"/>
      <c r="ER35" s="296"/>
      <c r="ES35" s="296"/>
      <c r="ET35" s="296"/>
      <c r="EU35" s="296"/>
      <c r="EV35" s="296"/>
      <c r="EW35" s="296"/>
      <c r="EX35" s="296"/>
      <c r="EY35" s="296"/>
      <c r="EZ35" s="296"/>
      <c r="FA35" s="296"/>
      <c r="FB35" s="296"/>
      <c r="FC35" s="296"/>
      <c r="FD35" s="296"/>
      <c r="FE35" s="297"/>
      <c r="FF35" s="296"/>
      <c r="FG35" s="296"/>
      <c r="FH35" s="296"/>
      <c r="FI35" s="296"/>
      <c r="FJ35" s="296"/>
      <c r="FK35" s="296"/>
      <c r="FL35" s="296"/>
      <c r="FM35" s="296"/>
      <c r="FN35" s="296"/>
      <c r="FO35" s="296"/>
      <c r="FP35" s="296"/>
      <c r="FQ35" s="296"/>
      <c r="FR35" s="296"/>
      <c r="FS35" s="296"/>
      <c r="FT35" s="296"/>
      <c r="FU35" s="296"/>
      <c r="FV35" s="296"/>
      <c r="FW35" s="296"/>
      <c r="FX35" s="296"/>
      <c r="FY35" s="296"/>
      <c r="FZ35" s="296"/>
      <c r="GA35" s="296"/>
      <c r="GB35" s="296"/>
      <c r="GC35" s="296"/>
      <c r="GD35" s="296"/>
      <c r="GE35" s="296"/>
      <c r="GF35" s="296"/>
      <c r="GG35" s="296"/>
      <c r="GH35" s="296"/>
      <c r="GI35" s="296"/>
      <c r="GJ35" s="296"/>
      <c r="GK35" s="296"/>
      <c r="GL35" s="296"/>
      <c r="GM35" s="296"/>
      <c r="GN35" s="296"/>
      <c r="GO35" s="296"/>
      <c r="GP35" s="296"/>
      <c r="GQ35" s="296"/>
      <c r="GR35" s="296"/>
      <c r="GS35" s="296"/>
      <c r="GT35" s="296"/>
      <c r="GU35" s="296"/>
      <c r="GV35" s="296"/>
      <c r="GW35" s="296"/>
      <c r="GX35" s="296"/>
      <c r="GY35" s="296"/>
      <c r="GZ35" s="296"/>
      <c r="HA35" s="296"/>
      <c r="HB35" s="296"/>
      <c r="HC35" s="296"/>
      <c r="HD35" s="296"/>
      <c r="HE35" s="296"/>
      <c r="HF35" s="296"/>
      <c r="HG35" s="296"/>
      <c r="HH35" s="296"/>
      <c r="HI35" s="296"/>
    </row>
    <row r="36" spans="1:217" s="346" customFormat="1" ht="15" customHeight="1">
      <c r="A36" s="150"/>
      <c r="B36" s="150"/>
      <c r="C36" s="342" t="str">
        <f>IF([3]MasterSheet!$A$1=1,[3]MasterSheet!C281,[3]MasterSheet!B281)</f>
        <v>Bruto zarade i doprinosi na teret poslodavca</v>
      </c>
      <c r="D36" s="343">
        <f>'Cental Budget'!D51+'Local Government_int'!D46</f>
        <v>234529247.03979999</v>
      </c>
      <c r="E36" s="344">
        <f t="shared" si="8"/>
        <v>10.913920938145097</v>
      </c>
      <c r="F36" s="343">
        <f>'Cental Budget'!F51+'Local Government_int'!F46</f>
        <v>287827732.79000002</v>
      </c>
      <c r="G36" s="344">
        <f t="shared" si="0"/>
        <v>10.737837447864205</v>
      </c>
      <c r="H36" s="343">
        <f>'Cental Budget'!H51+'Local Government_int'!H46</f>
        <v>316792063.54000002</v>
      </c>
      <c r="I36" s="344">
        <f t="shared" si="1"/>
        <v>10.266789718045114</v>
      </c>
      <c r="J36" s="343">
        <f>'Cental Budget'!J51+'Local Government_int'!J46</f>
        <v>299693656.73449981</v>
      </c>
      <c r="K36" s="344">
        <f t="shared" si="2"/>
        <v>10.053460474152963</v>
      </c>
      <c r="L36" s="343">
        <f>'Cental Budget'!L51+'Local Government_int'!L46</f>
        <v>316422646.70999998</v>
      </c>
      <c r="M36" s="344">
        <f t="shared" si="3"/>
        <v>10.125524694719999</v>
      </c>
      <c r="N36" s="343">
        <f>'Cental Budget'!N51+'Local Government_int'!N46</f>
        <v>403943773.61999995</v>
      </c>
      <c r="O36" s="344">
        <f t="shared" si="4"/>
        <v>12.371937936294026</v>
      </c>
      <c r="P36" s="343">
        <f>'Cental Budget'!P51+'Local Government_int'!P46</f>
        <v>407752568.56999999</v>
      </c>
      <c r="Q36" s="344">
        <f t="shared" si="5"/>
        <v>12.818376880540711</v>
      </c>
      <c r="R36" s="343">
        <f>'[3]Cental Budget_int'!R51+'[3]Local Government_int'!R46</f>
        <v>407044988.21000004</v>
      </c>
      <c r="S36" s="344">
        <f t="shared" si="9"/>
        <v>12.107227489886974</v>
      </c>
      <c r="T36" s="343">
        <f>'[3]Cental Budget_int'!T51+'[3]Local Government_int'!T46</f>
        <v>424178479.06</v>
      </c>
      <c r="U36" s="344">
        <f t="shared" si="10"/>
        <v>12.266938866363979</v>
      </c>
      <c r="V36" s="343">
        <f>'[3]Cental Budget_int'!V51+'[3]Local Government_int'!V46</f>
        <v>428791755.66999996</v>
      </c>
      <c r="W36" s="345">
        <f t="shared" si="11"/>
        <v>11.731648581942542</v>
      </c>
      <c r="X36" s="343">
        <f>'Cental Budget'!X51+'Local Government_int'!X46</f>
        <v>467589286.08999997</v>
      </c>
      <c r="Y36" s="344">
        <f t="shared" si="12"/>
        <v>11.825129889484598</v>
      </c>
      <c r="Z36" s="343">
        <f>'Cental Budget'!Z51+'Local Government_int'!Z46</f>
        <v>492108492.49000001</v>
      </c>
      <c r="AA36" s="344">
        <f t="shared" si="13"/>
        <v>11.615920984067037</v>
      </c>
      <c r="AB36" s="513"/>
      <c r="AC36" s="513"/>
      <c r="AD36" s="513"/>
      <c r="AE36" s="513"/>
      <c r="AF36" s="513"/>
      <c r="AG36" s="511"/>
      <c r="AH36" s="511"/>
      <c r="AI36" s="511"/>
      <c r="AJ36" s="511"/>
      <c r="AK36" s="511"/>
      <c r="AL36" s="511"/>
      <c r="AM36" s="511"/>
      <c r="AN36" s="511"/>
      <c r="AO36" s="511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6"/>
      <c r="BP36" s="296"/>
      <c r="BQ36" s="296"/>
      <c r="BR36" s="296"/>
      <c r="BS36" s="296"/>
      <c r="BT36" s="296"/>
      <c r="BU36" s="296"/>
      <c r="BV36" s="296"/>
      <c r="BW36" s="296"/>
      <c r="BX36" s="296"/>
      <c r="BY36" s="296"/>
      <c r="BZ36" s="296"/>
      <c r="CA36" s="296"/>
      <c r="CB36" s="296"/>
      <c r="CC36" s="296"/>
      <c r="CD36" s="296"/>
      <c r="CE36" s="296"/>
      <c r="CF36" s="296"/>
      <c r="CG36" s="296"/>
      <c r="CH36" s="296"/>
      <c r="CI36" s="296"/>
      <c r="CJ36" s="296"/>
      <c r="CK36" s="296"/>
      <c r="CL36" s="296"/>
      <c r="CM36" s="296"/>
      <c r="CN36" s="296"/>
      <c r="CO36" s="296"/>
      <c r="CP36" s="296"/>
      <c r="CQ36" s="296"/>
      <c r="CR36" s="296"/>
      <c r="CS36" s="296"/>
      <c r="CT36" s="296"/>
      <c r="CU36" s="296"/>
      <c r="CV36" s="296"/>
      <c r="CW36" s="296"/>
      <c r="CX36" s="296"/>
      <c r="CY36" s="296"/>
      <c r="CZ36" s="296"/>
      <c r="DA36" s="296"/>
      <c r="DB36" s="296"/>
      <c r="DC36" s="296"/>
      <c r="DD36" s="296"/>
      <c r="DE36" s="296"/>
      <c r="DF36" s="296"/>
      <c r="DG36" s="296"/>
      <c r="DH36" s="296"/>
      <c r="DI36" s="296"/>
      <c r="DJ36" s="296"/>
      <c r="DK36" s="296"/>
      <c r="DL36" s="296"/>
      <c r="DM36" s="296"/>
      <c r="DN36" s="296"/>
      <c r="DO36" s="296"/>
      <c r="DP36" s="296"/>
      <c r="DQ36" s="296"/>
      <c r="DR36" s="296"/>
      <c r="DS36" s="296"/>
      <c r="DT36" s="296"/>
      <c r="DU36" s="296"/>
      <c r="DV36" s="296"/>
      <c r="DW36" s="296"/>
      <c r="DX36" s="296"/>
      <c r="DY36" s="296"/>
      <c r="DZ36" s="296"/>
      <c r="EA36" s="296"/>
      <c r="EB36" s="296"/>
      <c r="EC36" s="296"/>
      <c r="ED36" s="296"/>
      <c r="EE36" s="296"/>
      <c r="EF36" s="296"/>
      <c r="EG36" s="296"/>
      <c r="EH36" s="296"/>
      <c r="EI36" s="296"/>
      <c r="EJ36" s="296"/>
      <c r="EK36" s="296"/>
      <c r="EL36" s="296"/>
      <c r="EM36" s="296"/>
      <c r="EN36" s="296"/>
      <c r="EO36" s="296"/>
      <c r="EP36" s="296"/>
      <c r="EQ36" s="296"/>
      <c r="ER36" s="296"/>
      <c r="ES36" s="296"/>
      <c r="ET36" s="296"/>
      <c r="EU36" s="296"/>
      <c r="EV36" s="296"/>
      <c r="EW36" s="296"/>
      <c r="EX36" s="296"/>
      <c r="EY36" s="296"/>
      <c r="EZ36" s="296"/>
      <c r="FA36" s="296"/>
      <c r="FB36" s="296"/>
      <c r="FC36" s="296"/>
      <c r="FD36" s="296"/>
      <c r="FE36" s="297"/>
      <c r="FF36" s="296"/>
      <c r="FG36" s="296"/>
      <c r="FH36" s="296"/>
      <c r="FI36" s="296"/>
      <c r="FJ36" s="296"/>
      <c r="FK36" s="296"/>
      <c r="FL36" s="296"/>
      <c r="FM36" s="296"/>
      <c r="FN36" s="296"/>
      <c r="FO36" s="296"/>
      <c r="FP36" s="296"/>
      <c r="FQ36" s="296"/>
      <c r="FR36" s="296"/>
      <c r="FS36" s="296"/>
      <c r="FT36" s="296"/>
      <c r="FU36" s="296"/>
      <c r="FV36" s="296"/>
      <c r="FW36" s="296"/>
      <c r="FX36" s="296"/>
      <c r="FY36" s="296"/>
      <c r="FZ36" s="296"/>
      <c r="GA36" s="296"/>
      <c r="GB36" s="296"/>
      <c r="GC36" s="296"/>
      <c r="GD36" s="296"/>
      <c r="GE36" s="296"/>
      <c r="GF36" s="296"/>
      <c r="GG36" s="296"/>
      <c r="GH36" s="296"/>
      <c r="GI36" s="296"/>
      <c r="GJ36" s="296"/>
      <c r="GK36" s="296"/>
      <c r="GL36" s="296"/>
      <c r="GM36" s="296"/>
      <c r="GN36" s="296"/>
      <c r="GO36" s="296"/>
      <c r="GP36" s="296"/>
      <c r="GQ36" s="296"/>
      <c r="GR36" s="296"/>
      <c r="GS36" s="296"/>
      <c r="GT36" s="296"/>
      <c r="GU36" s="296"/>
      <c r="GV36" s="296"/>
      <c r="GW36" s="296"/>
      <c r="GX36" s="296"/>
      <c r="GY36" s="296"/>
      <c r="GZ36" s="296"/>
      <c r="HA36" s="296"/>
      <c r="HB36" s="296"/>
      <c r="HC36" s="296"/>
      <c r="HD36" s="296"/>
      <c r="HE36" s="296"/>
      <c r="HF36" s="296"/>
      <c r="HG36" s="296"/>
      <c r="HH36" s="296"/>
      <c r="HI36" s="296"/>
    </row>
    <row r="37" spans="1:217" ht="15" customHeight="1">
      <c r="A37" s="150"/>
      <c r="B37" s="150"/>
      <c r="C37" s="348" t="str">
        <f>IF([3]MasterSheet!$A$1=1,[3]MasterSheet!C287,[3]MasterSheet!B287)</f>
        <v>Ostala lična primanja</v>
      </c>
      <c r="D37" s="327">
        <f>+'[3]Cental Budget_int'!D57+'[3]Local Government_int'!D52</f>
        <v>19829561.809999999</v>
      </c>
      <c r="E37" s="328">
        <f t="shared" si="8"/>
        <v>0.92277731909348959</v>
      </c>
      <c r="F37" s="327">
        <f>+'[3]Cental Budget_int'!F57+'[3]Local Government_int'!F52</f>
        <v>33667814.479999997</v>
      </c>
      <c r="G37" s="328">
        <f t="shared" si="0"/>
        <v>1.2560274008580488</v>
      </c>
      <c r="H37" s="327">
        <f>+'[3]Cental Budget_int'!H57+'[3]Local Government_int'!H52</f>
        <v>29077801.150000002</v>
      </c>
      <c r="I37" s="328">
        <f t="shared" si="1"/>
        <v>0.9423710510111486</v>
      </c>
      <c r="J37" s="327">
        <f>+'[3]Cental Budget_int'!J57+'[3]Local Government_int'!J52</f>
        <v>27672695.609999999</v>
      </c>
      <c r="K37" s="328">
        <f t="shared" si="2"/>
        <v>0.92830243575981219</v>
      </c>
      <c r="L37" s="327">
        <f>+'[3]Cental Budget_int'!L57+'[3]Local Government_int'!L52</f>
        <v>24555767.040000003</v>
      </c>
      <c r="M37" s="328">
        <f t="shared" si="3"/>
        <v>0.78578454528000008</v>
      </c>
      <c r="N37" s="327">
        <f>+'[3]Cental Budget_int'!N57+'[3]Local Government_int'!N52</f>
        <v>20176987.59</v>
      </c>
      <c r="O37" s="328">
        <f t="shared" si="4"/>
        <v>0.61797818039816232</v>
      </c>
      <c r="P37" s="327">
        <f>+'[3]Cental Budget_int'!P57+'[3]Local Government_int'!P52</f>
        <v>13271350.060000001</v>
      </c>
      <c r="Q37" s="328">
        <f t="shared" si="5"/>
        <v>0.41720685507701977</v>
      </c>
      <c r="R37" s="327">
        <f>+'[3]Cental Budget_int'!R57+'[3]Local Government_int'!R52</f>
        <v>14602708.939999999</v>
      </c>
      <c r="S37" s="328">
        <f t="shared" si="9"/>
        <v>0.43434589351576436</v>
      </c>
      <c r="T37" s="327">
        <f>+'[3]Cental Budget_int'!T57+'[3]Local Government_int'!T52</f>
        <v>14266056.699999999</v>
      </c>
      <c r="U37" s="328">
        <f t="shared" si="10"/>
        <v>0.41256417768009485</v>
      </c>
      <c r="V37" s="327">
        <f>+'[3]Cental Budget_int'!V57+'[3]Local Government_int'!V52</f>
        <v>19792182.75</v>
      </c>
      <c r="W37" s="329">
        <f t="shared" si="11"/>
        <v>0.54150978796169635</v>
      </c>
      <c r="X37" s="327">
        <f>'Cental Budget'!X57+'Local Government_int'!X52</f>
        <v>15328321.52</v>
      </c>
      <c r="Y37" s="328">
        <f t="shared" si="12"/>
        <v>0.38764659147235853</v>
      </c>
      <c r="Z37" s="327">
        <f>'Cental Budget'!Z57+'Local Government_int'!Z52</f>
        <v>13876533.689999999</v>
      </c>
      <c r="AA37" s="328">
        <f t="shared" si="13"/>
        <v>0.32754711884810572</v>
      </c>
      <c r="AB37" s="513"/>
      <c r="AC37" s="513"/>
      <c r="AD37" s="513"/>
      <c r="AE37" s="513"/>
      <c r="AF37" s="513"/>
      <c r="AG37" s="511"/>
      <c r="AH37" s="511"/>
      <c r="AI37" s="511"/>
      <c r="AJ37" s="511"/>
      <c r="AK37" s="511"/>
      <c r="AL37" s="511"/>
      <c r="AM37" s="511"/>
      <c r="AN37" s="511"/>
      <c r="AO37" s="511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6"/>
      <c r="BP37" s="296"/>
      <c r="BQ37" s="296"/>
      <c r="BR37" s="296"/>
      <c r="BS37" s="296"/>
      <c r="BT37" s="296"/>
      <c r="BU37" s="296"/>
      <c r="BV37" s="296"/>
      <c r="BW37" s="296"/>
      <c r="BX37" s="296"/>
      <c r="BY37" s="296"/>
      <c r="BZ37" s="296"/>
      <c r="CA37" s="296"/>
      <c r="CB37" s="296"/>
      <c r="CC37" s="296"/>
      <c r="CD37" s="296"/>
      <c r="CE37" s="296"/>
      <c r="CF37" s="296"/>
      <c r="CG37" s="296"/>
      <c r="CH37" s="296"/>
      <c r="CI37" s="296"/>
      <c r="CJ37" s="296"/>
      <c r="CK37" s="296"/>
      <c r="CL37" s="296"/>
      <c r="CM37" s="296"/>
      <c r="CN37" s="296"/>
      <c r="CO37" s="296"/>
      <c r="CP37" s="296"/>
      <c r="CQ37" s="296"/>
      <c r="CR37" s="296"/>
      <c r="CS37" s="296"/>
      <c r="CT37" s="296"/>
      <c r="CU37" s="296"/>
      <c r="CV37" s="296"/>
      <c r="CW37" s="296"/>
      <c r="CX37" s="296"/>
      <c r="CY37" s="296"/>
      <c r="CZ37" s="296"/>
      <c r="DA37" s="296"/>
      <c r="DB37" s="296"/>
      <c r="DC37" s="296"/>
      <c r="DD37" s="296"/>
      <c r="DE37" s="296"/>
      <c r="DF37" s="296"/>
      <c r="DG37" s="296"/>
      <c r="DH37" s="296"/>
      <c r="DI37" s="296"/>
      <c r="DJ37" s="296"/>
      <c r="DK37" s="296"/>
      <c r="DL37" s="296"/>
      <c r="DM37" s="296"/>
      <c r="DN37" s="296"/>
      <c r="DO37" s="296"/>
      <c r="DP37" s="296"/>
      <c r="DQ37" s="296"/>
      <c r="DR37" s="296"/>
      <c r="DS37" s="296"/>
      <c r="DT37" s="296"/>
      <c r="DU37" s="296"/>
      <c r="DV37" s="296"/>
      <c r="DW37" s="296"/>
      <c r="DX37" s="296"/>
      <c r="DY37" s="296"/>
      <c r="DZ37" s="296"/>
      <c r="EA37" s="296"/>
      <c r="EB37" s="296"/>
      <c r="EC37" s="296"/>
      <c r="ED37" s="296"/>
      <c r="EE37" s="296"/>
      <c r="EF37" s="296"/>
      <c r="EG37" s="296"/>
      <c r="EH37" s="296"/>
      <c r="EI37" s="296"/>
      <c r="EJ37" s="296"/>
      <c r="EK37" s="296"/>
      <c r="EL37" s="296"/>
      <c r="EM37" s="296"/>
      <c r="EN37" s="296"/>
      <c r="EO37" s="296"/>
      <c r="EP37" s="296"/>
      <c r="EQ37" s="296"/>
      <c r="ER37" s="296"/>
      <c r="ES37" s="296"/>
      <c r="ET37" s="296"/>
      <c r="EU37" s="296"/>
      <c r="EV37" s="296"/>
      <c r="EW37" s="296"/>
      <c r="EX37" s="296"/>
      <c r="EY37" s="296"/>
      <c r="EZ37" s="296"/>
      <c r="FA37" s="296"/>
      <c r="FB37" s="296"/>
      <c r="FC37" s="296"/>
      <c r="FD37" s="296"/>
      <c r="FE37" s="297"/>
      <c r="FF37" s="296"/>
      <c r="FG37" s="296"/>
      <c r="FH37" s="296"/>
      <c r="FI37" s="296"/>
      <c r="FJ37" s="296"/>
      <c r="FK37" s="296"/>
      <c r="FL37" s="296"/>
      <c r="FM37" s="296"/>
      <c r="FN37" s="296"/>
      <c r="FO37" s="296"/>
      <c r="FP37" s="296"/>
      <c r="FQ37" s="296"/>
      <c r="FR37" s="296"/>
      <c r="FS37" s="296"/>
      <c r="FT37" s="296"/>
      <c r="FU37" s="296"/>
      <c r="FV37" s="296"/>
      <c r="FW37" s="296"/>
      <c r="FX37" s="296"/>
      <c r="FY37" s="296"/>
      <c r="FZ37" s="296"/>
      <c r="GA37" s="296"/>
      <c r="GB37" s="296"/>
      <c r="GC37" s="296"/>
      <c r="GD37" s="296"/>
      <c r="GE37" s="296"/>
      <c r="GF37" s="296"/>
      <c r="GG37" s="296"/>
      <c r="GH37" s="296"/>
      <c r="GI37" s="296"/>
      <c r="GJ37" s="296"/>
      <c r="GK37" s="296"/>
      <c r="GL37" s="296"/>
      <c r="GM37" s="296"/>
      <c r="GN37" s="296"/>
      <c r="GO37" s="296"/>
      <c r="GP37" s="296"/>
      <c r="GQ37" s="296"/>
      <c r="GR37" s="296"/>
      <c r="GS37" s="296"/>
      <c r="GT37" s="296"/>
      <c r="GU37" s="296"/>
      <c r="GV37" s="296"/>
      <c r="GW37" s="296"/>
      <c r="GX37" s="296"/>
      <c r="GY37" s="296"/>
      <c r="GZ37" s="296"/>
      <c r="HA37" s="296"/>
      <c r="HB37" s="296"/>
      <c r="HC37" s="296"/>
      <c r="HD37" s="296"/>
      <c r="HE37" s="296"/>
      <c r="HF37" s="296"/>
      <c r="HG37" s="296"/>
      <c r="HH37" s="296"/>
      <c r="HI37" s="296"/>
    </row>
    <row r="38" spans="1:217" ht="15" customHeight="1">
      <c r="A38" s="150"/>
      <c r="B38" s="150"/>
      <c r="C38" s="348" t="str">
        <f>IF([3]MasterSheet!$A$1=1,[3]MasterSheet!C288,[3]MasterSheet!B288)</f>
        <v>Rashodi za materijal i usluge</v>
      </c>
      <c r="D38" s="327">
        <f>+'[3]Cental Budget_int'!D58+'[3]Local Government_int'!D53</f>
        <v>127227787.62</v>
      </c>
      <c r="E38" s="328">
        <f t="shared" si="8"/>
        <v>5.9206006617339106</v>
      </c>
      <c r="F38" s="327">
        <f>+'[3]Cental Budget_int'!F58+'[3]Local Government_int'!F53</f>
        <v>158458815.82000002</v>
      </c>
      <c r="G38" s="328">
        <f t="shared" si="0"/>
        <v>5.9115394821861598</v>
      </c>
      <c r="H38" s="327">
        <f>+'[3]Cental Budget_int'!H58+'[3]Local Government_int'!H53</f>
        <v>144862536.09999999</v>
      </c>
      <c r="I38" s="328">
        <f t="shared" si="1"/>
        <v>4.6947931066891364</v>
      </c>
      <c r="J38" s="327">
        <f>+'[3]Cental Budget_int'!J58+'[3]Local Government_int'!J53</f>
        <v>129954349.67999999</v>
      </c>
      <c r="K38" s="328">
        <f t="shared" si="2"/>
        <v>4.3594213243877888</v>
      </c>
      <c r="L38" s="327">
        <f>+'[3]Cental Budget_int'!L58+'[3]Local Government_int'!L53</f>
        <v>130523384.09</v>
      </c>
      <c r="M38" s="328">
        <f t="shared" si="3"/>
        <v>4.17674829088</v>
      </c>
      <c r="N38" s="327">
        <f>+'[3]Cental Budget_int'!N58+'[3]Local Government_int'!N53</f>
        <v>126329452.34999999</v>
      </c>
      <c r="O38" s="328">
        <f t="shared" si="4"/>
        <v>3.8692022159264927</v>
      </c>
      <c r="P38" s="327">
        <f>+'[3]Cental Budget_int'!P58+'[3]Local Government_int'!P53</f>
        <v>170528511.53999999</v>
      </c>
      <c r="Q38" s="328">
        <f t="shared" si="5"/>
        <v>5.3608460088022634</v>
      </c>
      <c r="R38" s="327">
        <f>+'[3]Cental Budget_int'!R58+'[3]Local Government_int'!R53</f>
        <v>92142016.649999991</v>
      </c>
      <c r="S38" s="328">
        <f t="shared" si="9"/>
        <v>2.7406905606781677</v>
      </c>
      <c r="T38" s="327">
        <f>+'[3]Cental Budget_int'!T58+'[3]Local Government_int'!T53</f>
        <v>97073134.070000008</v>
      </c>
      <c r="U38" s="328">
        <f t="shared" si="10"/>
        <v>2.8072857534920042</v>
      </c>
      <c r="V38" s="327">
        <f>+'[3]Cental Budget_int'!V58+'[3]Local Government_int'!V53</f>
        <v>100617348.81300001</v>
      </c>
      <c r="W38" s="329">
        <f t="shared" si="11"/>
        <v>2.7528686405745555</v>
      </c>
      <c r="X38" s="327">
        <f>'Cental Budget'!X58+'Local Government_int'!X53</f>
        <v>106425125.98</v>
      </c>
      <c r="Y38" s="328">
        <f t="shared" si="12"/>
        <v>2.6914451970057156</v>
      </c>
      <c r="Z38" s="327">
        <f>'Cental Budget'!Z58+'Local Government_int'!Z53</f>
        <v>110661795.23999999</v>
      </c>
      <c r="AA38" s="328">
        <f t="shared" si="13"/>
        <v>2.6121042190487427</v>
      </c>
      <c r="AB38" s="513"/>
      <c r="AC38" s="513"/>
      <c r="AD38" s="513"/>
      <c r="AE38" s="513"/>
      <c r="AF38" s="513"/>
      <c r="AG38" s="511"/>
      <c r="AH38" s="511"/>
      <c r="AI38" s="511"/>
      <c r="AJ38" s="511"/>
      <c r="AK38" s="511"/>
      <c r="AL38" s="511"/>
      <c r="AM38" s="511"/>
      <c r="AN38" s="511"/>
      <c r="AO38" s="511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6"/>
      <c r="BO38" s="296"/>
      <c r="BP38" s="296"/>
      <c r="BQ38" s="296"/>
      <c r="BR38" s="296"/>
      <c r="BS38" s="296"/>
      <c r="BT38" s="296"/>
      <c r="BU38" s="296"/>
      <c r="BV38" s="296"/>
      <c r="BW38" s="296"/>
      <c r="BX38" s="296"/>
      <c r="BY38" s="296"/>
      <c r="BZ38" s="296"/>
      <c r="CA38" s="296"/>
      <c r="CB38" s="296"/>
      <c r="CC38" s="296"/>
      <c r="CD38" s="296"/>
      <c r="CE38" s="296"/>
      <c r="CF38" s="296"/>
      <c r="CG38" s="296"/>
      <c r="CH38" s="296"/>
      <c r="CI38" s="296"/>
      <c r="CJ38" s="296"/>
      <c r="CK38" s="296"/>
      <c r="CL38" s="296"/>
      <c r="CM38" s="296"/>
      <c r="CN38" s="296"/>
      <c r="CO38" s="296"/>
      <c r="CP38" s="296"/>
      <c r="CQ38" s="296"/>
      <c r="CR38" s="296"/>
      <c r="CS38" s="296"/>
      <c r="CT38" s="296"/>
      <c r="CU38" s="296"/>
      <c r="CV38" s="296"/>
      <c r="CW38" s="296"/>
      <c r="CX38" s="296"/>
      <c r="CY38" s="296"/>
      <c r="CZ38" s="296"/>
      <c r="DA38" s="296"/>
      <c r="DB38" s="296"/>
      <c r="DC38" s="296"/>
      <c r="DD38" s="296"/>
      <c r="DE38" s="296"/>
      <c r="DF38" s="296"/>
      <c r="DG38" s="296"/>
      <c r="DH38" s="296"/>
      <c r="DI38" s="296"/>
      <c r="DJ38" s="296"/>
      <c r="DK38" s="296"/>
      <c r="DL38" s="296"/>
      <c r="DM38" s="296"/>
      <c r="DN38" s="296"/>
      <c r="DO38" s="296"/>
      <c r="DP38" s="296"/>
      <c r="DQ38" s="296"/>
      <c r="DR38" s="296"/>
      <c r="DS38" s="296"/>
      <c r="DT38" s="296"/>
      <c r="DU38" s="296"/>
      <c r="DV38" s="296"/>
      <c r="DW38" s="296"/>
      <c r="DX38" s="296"/>
      <c r="DY38" s="296"/>
      <c r="DZ38" s="296"/>
      <c r="EA38" s="296"/>
      <c r="EB38" s="296"/>
      <c r="EC38" s="296"/>
      <c r="ED38" s="296"/>
      <c r="EE38" s="296"/>
      <c r="EF38" s="296"/>
      <c r="EG38" s="296"/>
      <c r="EH38" s="296"/>
      <c r="EI38" s="296"/>
      <c r="EJ38" s="296"/>
      <c r="EK38" s="296"/>
      <c r="EL38" s="296"/>
      <c r="EM38" s="296"/>
      <c r="EN38" s="296"/>
      <c r="EO38" s="296"/>
      <c r="EP38" s="296"/>
      <c r="EQ38" s="296"/>
      <c r="ER38" s="296"/>
      <c r="ES38" s="296"/>
      <c r="ET38" s="296"/>
      <c r="EU38" s="296"/>
      <c r="EV38" s="296"/>
      <c r="EW38" s="296"/>
      <c r="EX38" s="296"/>
      <c r="EY38" s="296"/>
      <c r="EZ38" s="296"/>
      <c r="FA38" s="296"/>
      <c r="FB38" s="296"/>
      <c r="FC38" s="296"/>
      <c r="FD38" s="296"/>
      <c r="FE38" s="297"/>
      <c r="FF38" s="296"/>
      <c r="FG38" s="296"/>
      <c r="FH38" s="296"/>
      <c r="FI38" s="296"/>
      <c r="FJ38" s="296"/>
      <c r="FK38" s="296"/>
      <c r="FL38" s="296"/>
      <c r="FM38" s="296"/>
      <c r="FN38" s="296"/>
      <c r="FO38" s="296"/>
      <c r="FP38" s="296"/>
      <c r="FQ38" s="296"/>
      <c r="FR38" s="296"/>
      <c r="FS38" s="296"/>
      <c r="FT38" s="296"/>
      <c r="FU38" s="296"/>
      <c r="FV38" s="296"/>
      <c r="FW38" s="296"/>
      <c r="FX38" s="296"/>
      <c r="FY38" s="296"/>
      <c r="FZ38" s="296"/>
      <c r="GA38" s="296"/>
      <c r="GB38" s="296"/>
      <c r="GC38" s="296"/>
      <c r="GD38" s="296"/>
      <c r="GE38" s="296"/>
      <c r="GF38" s="296"/>
      <c r="GG38" s="296"/>
      <c r="GH38" s="296"/>
      <c r="GI38" s="296"/>
      <c r="GJ38" s="296"/>
      <c r="GK38" s="296"/>
      <c r="GL38" s="296"/>
      <c r="GM38" s="296"/>
      <c r="GN38" s="296"/>
      <c r="GO38" s="296"/>
      <c r="GP38" s="296"/>
      <c r="GQ38" s="296"/>
      <c r="GR38" s="296"/>
      <c r="GS38" s="296"/>
      <c r="GT38" s="296"/>
      <c r="GU38" s="296"/>
      <c r="GV38" s="296"/>
      <c r="GW38" s="296"/>
      <c r="GX38" s="296"/>
      <c r="GY38" s="296"/>
      <c r="GZ38" s="296"/>
      <c r="HA38" s="296"/>
      <c r="HB38" s="296"/>
      <c r="HC38" s="296"/>
      <c r="HD38" s="296"/>
      <c r="HE38" s="296"/>
      <c r="HF38" s="296"/>
      <c r="HG38" s="296"/>
      <c r="HH38" s="296"/>
      <c r="HI38" s="296"/>
    </row>
    <row r="39" spans="1:217" ht="15" customHeight="1">
      <c r="A39" s="150"/>
      <c r="B39" s="150"/>
      <c r="C39" s="348" t="str">
        <f>IF([3]MasterSheet!$A$1=1,[3]MasterSheet!C289,[3]MasterSheet!B289)</f>
        <v>Tekuće održavanje</v>
      </c>
      <c r="D39" s="327">
        <f>+'[3]Cental Budget_int'!D59+'[3]Local Government_int'!D54</f>
        <v>25094049.890000001</v>
      </c>
      <c r="E39" s="328">
        <f t="shared" si="8"/>
        <v>1.1677625710828796</v>
      </c>
      <c r="F39" s="327">
        <f>+'[3]Cental Budget_int'!F59+'[3]Local Government_int'!F54</f>
        <v>30124521.010000005</v>
      </c>
      <c r="G39" s="328">
        <f t="shared" si="0"/>
        <v>1.1238396198470437</v>
      </c>
      <c r="H39" s="327">
        <f>+'[3]Cental Budget_int'!H59+'[3]Local Government_int'!H54</f>
        <v>30020496.960000001</v>
      </c>
      <c r="I39" s="328">
        <f t="shared" si="1"/>
        <v>0.97292250972258243</v>
      </c>
      <c r="J39" s="327">
        <f>+'[3]Cental Budget_int'!J59+'[3]Local Government_int'!J54</f>
        <v>9992826.3900000006</v>
      </c>
      <c r="K39" s="328">
        <f t="shared" si="2"/>
        <v>0.33521725561891985</v>
      </c>
      <c r="L39" s="327">
        <f>+'[3]Cental Budget_int'!L59+'[3]Local Government_int'!L54</f>
        <v>32845189.850000001</v>
      </c>
      <c r="M39" s="328">
        <f t="shared" si="3"/>
        <v>1.0510460751999999</v>
      </c>
      <c r="N39" s="327">
        <f>+'[3]Cental Budget_int'!N59+'[3]Local Government_int'!N54</f>
        <v>28163758.149999999</v>
      </c>
      <c r="O39" s="328">
        <f t="shared" si="4"/>
        <v>0.86259596171516084</v>
      </c>
      <c r="P39" s="327">
        <f>+'[3]Cental Budget_int'!P59+'[3]Local Government_int'!P54</f>
        <v>27572271.490000002</v>
      </c>
      <c r="Q39" s="328">
        <f t="shared" si="5"/>
        <v>0.86677999025463692</v>
      </c>
      <c r="R39" s="327">
        <f>+'[3]Cental Budget_int'!R59+'[3]Local Government_int'!R54</f>
        <v>24268766.889999997</v>
      </c>
      <c r="S39" s="328">
        <f t="shared" si="9"/>
        <v>0.72185505324211774</v>
      </c>
      <c r="T39" s="327">
        <f>+'[3]Cental Budget_int'!T59+'[3]Local Government_int'!T54</f>
        <v>25224909.039999999</v>
      </c>
      <c r="U39" s="328">
        <f t="shared" si="10"/>
        <v>0.72948636571329417</v>
      </c>
      <c r="V39" s="327">
        <f>+'[3]Cental Budget_int'!V59+'[3]Local Government_int'!V54</f>
        <v>24882513.529999997</v>
      </c>
      <c r="W39" s="329">
        <f t="shared" si="11"/>
        <v>0.68078012393980847</v>
      </c>
      <c r="X39" s="327">
        <f>'Cental Budget'!X59+'Local Government_int'!X54</f>
        <v>26183799.349999998</v>
      </c>
      <c r="Y39" s="328">
        <f t="shared" si="12"/>
        <v>0.66217690936219709</v>
      </c>
      <c r="Z39" s="327">
        <f>'Cental Budget'!Z59+'Local Government_int'!Z54</f>
        <v>26374593.260000005</v>
      </c>
      <c r="AA39" s="328">
        <f t="shared" si="13"/>
        <v>0.62255619638852844</v>
      </c>
      <c r="AB39" s="513"/>
      <c r="AC39" s="513"/>
      <c r="AD39" s="513"/>
      <c r="AE39" s="513"/>
      <c r="AF39" s="513"/>
      <c r="AG39" s="511"/>
      <c r="AH39" s="511"/>
      <c r="AI39" s="511"/>
      <c r="AJ39" s="511"/>
      <c r="AK39" s="511"/>
      <c r="AL39" s="511"/>
      <c r="AM39" s="511"/>
      <c r="AN39" s="511"/>
      <c r="AO39" s="511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6"/>
      <c r="BP39" s="296"/>
      <c r="BQ39" s="296"/>
      <c r="BR39" s="296"/>
      <c r="BS39" s="296"/>
      <c r="BT39" s="296"/>
      <c r="BU39" s="296"/>
      <c r="BV39" s="296"/>
      <c r="BW39" s="296"/>
      <c r="BX39" s="296"/>
      <c r="BY39" s="296"/>
      <c r="BZ39" s="296"/>
      <c r="CA39" s="296"/>
      <c r="CB39" s="296"/>
      <c r="CC39" s="296"/>
      <c r="CD39" s="296"/>
      <c r="CE39" s="296"/>
      <c r="CF39" s="296"/>
      <c r="CG39" s="296"/>
      <c r="CH39" s="296"/>
      <c r="CI39" s="296"/>
      <c r="CJ39" s="296"/>
      <c r="CK39" s="296"/>
      <c r="CL39" s="296"/>
      <c r="CM39" s="296"/>
      <c r="CN39" s="296"/>
      <c r="CO39" s="296"/>
      <c r="CP39" s="296"/>
      <c r="CQ39" s="296"/>
      <c r="CR39" s="296"/>
      <c r="CS39" s="296"/>
      <c r="CT39" s="296"/>
      <c r="CU39" s="296"/>
      <c r="CV39" s="296"/>
      <c r="CW39" s="296"/>
      <c r="CX39" s="296"/>
      <c r="CY39" s="296"/>
      <c r="CZ39" s="296"/>
      <c r="DA39" s="296"/>
      <c r="DB39" s="296"/>
      <c r="DC39" s="296"/>
      <c r="DD39" s="317"/>
      <c r="DE39" s="296"/>
      <c r="DF39" s="296"/>
      <c r="DG39" s="296"/>
      <c r="DH39" s="296"/>
      <c r="DI39" s="296"/>
      <c r="DJ39" s="296"/>
      <c r="DK39" s="296"/>
      <c r="DL39" s="296"/>
      <c r="DM39" s="296"/>
      <c r="DN39" s="296"/>
      <c r="DO39" s="296"/>
      <c r="DP39" s="296"/>
      <c r="DQ39" s="296"/>
      <c r="DR39" s="296"/>
      <c r="DS39" s="296"/>
      <c r="DT39" s="296"/>
      <c r="DU39" s="296"/>
      <c r="DV39" s="296"/>
      <c r="DW39" s="296"/>
      <c r="DX39" s="296"/>
      <c r="DY39" s="296"/>
      <c r="DZ39" s="296"/>
      <c r="EA39" s="296"/>
      <c r="EB39" s="296"/>
      <c r="EC39" s="296"/>
      <c r="ED39" s="296"/>
      <c r="EE39" s="296"/>
      <c r="EF39" s="296"/>
      <c r="EG39" s="296"/>
      <c r="EH39" s="296"/>
      <c r="EI39" s="296"/>
      <c r="EJ39" s="296"/>
      <c r="EK39" s="296"/>
      <c r="EL39" s="296"/>
      <c r="EM39" s="296"/>
      <c r="EN39" s="296"/>
      <c r="EO39" s="296"/>
      <c r="EP39" s="296"/>
      <c r="EQ39" s="296"/>
      <c r="ER39" s="296"/>
      <c r="ES39" s="296"/>
      <c r="ET39" s="296"/>
      <c r="EU39" s="296"/>
      <c r="EV39" s="296"/>
      <c r="EW39" s="296"/>
      <c r="EX39" s="296"/>
      <c r="EY39" s="296"/>
      <c r="EZ39" s="296"/>
      <c r="FA39" s="296"/>
      <c r="FB39" s="296"/>
      <c r="FC39" s="296"/>
      <c r="FD39" s="296"/>
      <c r="FE39" s="297"/>
      <c r="FF39" s="296"/>
      <c r="FG39" s="296"/>
      <c r="FH39" s="296"/>
      <c r="FI39" s="296"/>
      <c r="FJ39" s="296"/>
      <c r="FK39" s="296"/>
      <c r="FL39" s="296"/>
      <c r="FM39" s="296"/>
      <c r="FN39" s="296"/>
      <c r="FO39" s="296"/>
      <c r="FP39" s="296"/>
      <c r="FQ39" s="296"/>
      <c r="FR39" s="296"/>
      <c r="FS39" s="296"/>
      <c r="FT39" s="296"/>
      <c r="FU39" s="296"/>
      <c r="FV39" s="296"/>
      <c r="FW39" s="296"/>
      <c r="FX39" s="296"/>
      <c r="FY39" s="296"/>
      <c r="FZ39" s="296"/>
      <c r="GA39" s="296"/>
      <c r="GB39" s="296"/>
      <c r="GC39" s="296"/>
      <c r="GD39" s="296"/>
      <c r="GE39" s="296"/>
      <c r="GF39" s="296"/>
      <c r="GG39" s="296"/>
      <c r="GH39" s="296"/>
      <c r="GI39" s="296"/>
      <c r="GJ39" s="296"/>
      <c r="GK39" s="296"/>
      <c r="GL39" s="296"/>
      <c r="GM39" s="296"/>
      <c r="GN39" s="296"/>
      <c r="GO39" s="296"/>
      <c r="GP39" s="296"/>
      <c r="GQ39" s="296"/>
      <c r="GR39" s="296"/>
      <c r="GS39" s="296"/>
      <c r="GT39" s="296"/>
      <c r="GU39" s="296"/>
      <c r="GV39" s="296"/>
      <c r="GW39" s="296"/>
      <c r="GX39" s="296"/>
      <c r="GY39" s="296"/>
      <c r="GZ39" s="296"/>
      <c r="HA39" s="296"/>
      <c r="HB39" s="296"/>
      <c r="HC39" s="296"/>
      <c r="HD39" s="296"/>
      <c r="HE39" s="296"/>
      <c r="HF39" s="296"/>
      <c r="HG39" s="296"/>
      <c r="HH39" s="296"/>
      <c r="HI39" s="296"/>
    </row>
    <row r="40" spans="1:217" ht="15" customHeight="1">
      <c r="A40" s="150"/>
      <c r="B40" s="150"/>
      <c r="C40" s="348" t="str">
        <f>IF([3]MasterSheet!$A$1=1,[3]MasterSheet!C290,[3]MasterSheet!B290)</f>
        <v>Kamate</v>
      </c>
      <c r="D40" s="327">
        <f>+'[3]Cental Budget_int'!D60+'[3]Local Government_int'!D55</f>
        <v>23854663.5</v>
      </c>
      <c r="E40" s="328">
        <f t="shared" si="8"/>
        <v>1.1100871841407232</v>
      </c>
      <c r="F40" s="327">
        <f>+'[3]Cental Budget_int'!F60+'[3]Local Government_int'!F55</f>
        <v>27935103.170000002</v>
      </c>
      <c r="G40" s="328">
        <f t="shared" si="0"/>
        <v>1.0421601630292856</v>
      </c>
      <c r="H40" s="327">
        <f>+'[3]Cental Budget_int'!H60+'[3]Local Government_int'!H55</f>
        <v>23805692.059999999</v>
      </c>
      <c r="I40" s="328">
        <f t="shared" si="1"/>
        <v>0.77150933562354151</v>
      </c>
      <c r="J40" s="327">
        <f>+'[3]Cental Budget_int'!J60+'[3]Local Government_int'!J55</f>
        <v>25522738.039999999</v>
      </c>
      <c r="K40" s="328">
        <f t="shared" si="2"/>
        <v>0.85618041060046957</v>
      </c>
      <c r="L40" s="327">
        <f>+'[3]Cental Budget_int'!L60+'[3]Local Government_int'!L55</f>
        <v>31406278.469999999</v>
      </c>
      <c r="M40" s="328">
        <f t="shared" si="3"/>
        <v>1.00500091104</v>
      </c>
      <c r="N40" s="327">
        <f>+'[3]Cental Budget_int'!N60+'[3]Local Government_int'!N55</f>
        <v>47603265.710000001</v>
      </c>
      <c r="O40" s="328">
        <f t="shared" si="4"/>
        <v>1.4579866986217458</v>
      </c>
      <c r="P40" s="327">
        <f>+'[3]Cental Budget_int'!P60+'[3]Local Government_int'!P55</f>
        <v>59720316.740000002</v>
      </c>
      <c r="Q40" s="328">
        <f t="shared" si="5"/>
        <v>1.8774070022005658</v>
      </c>
      <c r="R40" s="327">
        <f>+'[3]Cental Budget_int'!R60+'[3]Local Government_int'!R55</f>
        <v>71270067.600000009</v>
      </c>
      <c r="S40" s="328">
        <f t="shared" si="9"/>
        <v>2.1198711362284359</v>
      </c>
      <c r="T40" s="327">
        <f>+'[3]Cental Budget_int'!T60+'[3]Local Government_int'!T55</f>
        <v>78901788.450000003</v>
      </c>
      <c r="U40" s="328">
        <f t="shared" si="10"/>
        <v>2.2817834075595016</v>
      </c>
      <c r="V40" s="327">
        <f>+'[3]Cental Budget_int'!V60+'[3]Local Government_int'!V55</f>
        <v>86245572.049999982</v>
      </c>
      <c r="W40" s="329">
        <f t="shared" si="11"/>
        <v>2.3596599740082076</v>
      </c>
      <c r="X40" s="327">
        <f>'Cental Budget'!X60+'Local Government_int'!X55</f>
        <v>85676007.730000004</v>
      </c>
      <c r="Y40" s="328">
        <f t="shared" si="12"/>
        <v>2.1667090114308838</v>
      </c>
      <c r="Z40" s="327">
        <f>'Cental Budget'!Z60+'Local Government_int'!Z55</f>
        <v>102514052.85000001</v>
      </c>
      <c r="AA40" s="328">
        <f t="shared" si="13"/>
        <v>2.4197817266611592</v>
      </c>
      <c r="AB40" s="513"/>
      <c r="AC40" s="513"/>
      <c r="AD40" s="513"/>
      <c r="AE40" s="513"/>
      <c r="AF40" s="513"/>
      <c r="AG40" s="511"/>
      <c r="AH40" s="511"/>
      <c r="AI40" s="511"/>
      <c r="AJ40" s="511"/>
      <c r="AK40" s="511"/>
      <c r="AL40" s="511"/>
      <c r="AM40" s="511"/>
      <c r="AN40" s="511"/>
      <c r="AO40" s="511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6"/>
      <c r="BP40" s="296"/>
      <c r="BQ40" s="296"/>
      <c r="BR40" s="296"/>
      <c r="BS40" s="296"/>
      <c r="BT40" s="296"/>
      <c r="BU40" s="296"/>
      <c r="BV40" s="296"/>
      <c r="BW40" s="296"/>
      <c r="BX40" s="296"/>
      <c r="BY40" s="296"/>
      <c r="BZ40" s="296"/>
      <c r="CA40" s="296"/>
      <c r="CB40" s="296"/>
      <c r="CC40" s="296"/>
      <c r="CD40" s="296"/>
      <c r="CE40" s="296"/>
      <c r="CF40" s="296"/>
      <c r="CG40" s="296"/>
      <c r="CH40" s="296"/>
      <c r="CI40" s="296"/>
      <c r="CJ40" s="296"/>
      <c r="CK40" s="296"/>
      <c r="CL40" s="296"/>
      <c r="CM40" s="296"/>
      <c r="CN40" s="296"/>
      <c r="CO40" s="296"/>
      <c r="CP40" s="296"/>
      <c r="CQ40" s="296"/>
      <c r="CR40" s="296"/>
      <c r="CS40" s="296"/>
      <c r="CT40" s="296"/>
      <c r="CU40" s="296"/>
      <c r="CV40" s="296"/>
      <c r="CW40" s="296"/>
      <c r="CX40" s="296"/>
      <c r="CY40" s="296"/>
      <c r="CZ40" s="296"/>
      <c r="DA40" s="296"/>
      <c r="DB40" s="296"/>
      <c r="DC40" s="296"/>
      <c r="DD40" s="296"/>
      <c r="DE40" s="296"/>
      <c r="DF40" s="296"/>
      <c r="DG40" s="296"/>
      <c r="DH40" s="296"/>
      <c r="DI40" s="296"/>
      <c r="DJ40" s="296"/>
      <c r="DK40" s="296"/>
      <c r="DL40" s="296"/>
      <c r="DM40" s="296"/>
      <c r="DN40" s="296"/>
      <c r="DO40" s="296"/>
      <c r="DP40" s="296"/>
      <c r="DQ40" s="296"/>
      <c r="DR40" s="296"/>
      <c r="DS40" s="296"/>
      <c r="DT40" s="296"/>
      <c r="DU40" s="296"/>
      <c r="DV40" s="296"/>
      <c r="DW40" s="296"/>
      <c r="DX40" s="296"/>
      <c r="DY40" s="296"/>
      <c r="DZ40" s="296"/>
      <c r="EA40" s="296"/>
      <c r="EB40" s="296"/>
      <c r="EC40" s="296"/>
      <c r="ED40" s="296"/>
      <c r="EE40" s="296"/>
      <c r="EF40" s="296"/>
      <c r="EG40" s="296"/>
      <c r="EH40" s="296"/>
      <c r="EI40" s="296"/>
      <c r="EJ40" s="296"/>
      <c r="EK40" s="296"/>
      <c r="EL40" s="296"/>
      <c r="EM40" s="296"/>
      <c r="EN40" s="296"/>
      <c r="EO40" s="296"/>
      <c r="EP40" s="296"/>
      <c r="EQ40" s="296"/>
      <c r="ER40" s="296"/>
      <c r="ES40" s="296"/>
      <c r="ET40" s="296"/>
      <c r="EU40" s="296"/>
      <c r="EV40" s="296"/>
      <c r="EW40" s="296"/>
      <c r="EX40" s="296"/>
      <c r="EY40" s="296"/>
      <c r="EZ40" s="296"/>
      <c r="FA40" s="296"/>
      <c r="FB40" s="296"/>
      <c r="FC40" s="296"/>
      <c r="FD40" s="296"/>
      <c r="FE40" s="297"/>
      <c r="FF40" s="296"/>
      <c r="FG40" s="296"/>
      <c r="FH40" s="296"/>
      <c r="FI40" s="296"/>
      <c r="FJ40" s="296"/>
      <c r="FK40" s="296"/>
      <c r="FL40" s="296"/>
      <c r="FM40" s="296"/>
      <c r="FN40" s="296"/>
      <c r="FO40" s="296"/>
      <c r="FP40" s="296"/>
      <c r="FQ40" s="296"/>
      <c r="FR40" s="296"/>
      <c r="FS40" s="296"/>
      <c r="FT40" s="296"/>
      <c r="FU40" s="296"/>
      <c r="FV40" s="296"/>
      <c r="FW40" s="296"/>
      <c r="FX40" s="296"/>
      <c r="FY40" s="296"/>
      <c r="FZ40" s="296"/>
      <c r="GA40" s="296"/>
      <c r="GB40" s="296"/>
      <c r="GC40" s="296"/>
      <c r="GD40" s="296"/>
      <c r="GE40" s="296"/>
      <c r="GF40" s="296"/>
      <c r="GG40" s="296"/>
      <c r="GH40" s="296"/>
      <c r="GI40" s="296"/>
      <c r="GJ40" s="296"/>
      <c r="GK40" s="296"/>
      <c r="GL40" s="296"/>
      <c r="GM40" s="296"/>
      <c r="GN40" s="296"/>
      <c r="GO40" s="296"/>
      <c r="GP40" s="296"/>
      <c r="GQ40" s="296"/>
      <c r="GR40" s="296"/>
      <c r="GS40" s="296"/>
      <c r="GT40" s="296"/>
      <c r="GU40" s="296"/>
      <c r="GV40" s="296"/>
      <c r="GW40" s="296"/>
      <c r="GX40" s="296"/>
      <c r="GY40" s="296"/>
      <c r="GZ40" s="296"/>
      <c r="HA40" s="296"/>
      <c r="HB40" s="296"/>
      <c r="HC40" s="296"/>
      <c r="HD40" s="296"/>
      <c r="HE40" s="296"/>
      <c r="HF40" s="296"/>
      <c r="HG40" s="296"/>
      <c r="HH40" s="296"/>
      <c r="HI40" s="296"/>
    </row>
    <row r="41" spans="1:217" ht="15" customHeight="1">
      <c r="A41" s="150"/>
      <c r="B41" s="150"/>
      <c r="C41" s="348" t="str">
        <f>IF([3]MasterSheet!$A$1=1,[3]MasterSheet!C291,[3]MasterSheet!B291)</f>
        <v>Renta</v>
      </c>
      <c r="D41" s="327">
        <f>+'[3]Cental Budget_int'!D61+'[3]Local Government_int'!D56</f>
        <v>3086664.4299999997</v>
      </c>
      <c r="E41" s="328">
        <f t="shared" si="8"/>
        <v>0.1436392773046675</v>
      </c>
      <c r="F41" s="327">
        <f>+'[3]Cental Budget_int'!F61+'[3]Local Government_int'!F56</f>
        <v>5609104.4100000001</v>
      </c>
      <c r="G41" s="328">
        <f t="shared" si="0"/>
        <v>0.20925590039171799</v>
      </c>
      <c r="H41" s="327">
        <f>+'[3]Cental Budget_int'!H61+'[3]Local Government_int'!H56</f>
        <v>9174277.0500000007</v>
      </c>
      <c r="I41" s="328">
        <f t="shared" si="1"/>
        <v>0.29732554608504025</v>
      </c>
      <c r="J41" s="327">
        <f>+'[3]Cental Budget_int'!J61+'[3]Local Government_int'!J56</f>
        <v>8768055.8200000003</v>
      </c>
      <c r="K41" s="328">
        <f t="shared" si="2"/>
        <v>0.29413135927541095</v>
      </c>
      <c r="L41" s="327">
        <f>+'[3]Cental Budget_int'!L61+'[3]Local Government_int'!L56</f>
        <v>8585830.7100000009</v>
      </c>
      <c r="M41" s="328">
        <f t="shared" si="3"/>
        <v>0.27474658272000008</v>
      </c>
      <c r="N41" s="327">
        <f>+'[3]Cental Budget_int'!N61+'[3]Local Government_int'!N56</f>
        <v>7707257.9000000004</v>
      </c>
      <c r="O41" s="328">
        <f t="shared" si="4"/>
        <v>0.23605690352220521</v>
      </c>
      <c r="P41" s="327">
        <f>+'[3]Cental Budget_int'!P61+'[3]Local Government_int'!P56</f>
        <v>7427422.7800000003</v>
      </c>
      <c r="Q41" s="328">
        <f t="shared" si="5"/>
        <v>0.23349332851304622</v>
      </c>
      <c r="R41" s="327">
        <f>+'[3]Cental Budget_int'!R61+'[3]Local Government_int'!R56</f>
        <v>8363818.9899999993</v>
      </c>
      <c r="S41" s="328">
        <f t="shared" si="9"/>
        <v>0.24877510380725756</v>
      </c>
      <c r="T41" s="327">
        <f>+'[3]Cental Budget_int'!T61+'[3]Local Government_int'!T56</f>
        <v>8488274.4100000001</v>
      </c>
      <c r="U41" s="328">
        <f t="shared" si="10"/>
        <v>0.2454748376182076</v>
      </c>
      <c r="V41" s="327">
        <f>+'[3]Cental Budget_int'!V61+'[3]Local Government_int'!V56</f>
        <v>8501798.0199999996</v>
      </c>
      <c r="W41" s="329">
        <f t="shared" si="11"/>
        <v>0.23260733296853625</v>
      </c>
      <c r="X41" s="327">
        <f>'Cental Budget'!X61+'Local Government_int'!X56</f>
        <v>9721270.6899999995</v>
      </c>
      <c r="Y41" s="328">
        <f t="shared" si="12"/>
        <v>0.24584671210358602</v>
      </c>
      <c r="Z41" s="327">
        <f>'Cental Budget'!Z61+'Local Government_int'!Z56</f>
        <v>9524858.9399999995</v>
      </c>
      <c r="AA41" s="328">
        <f t="shared" si="13"/>
        <v>0.2248284890829694</v>
      </c>
      <c r="AB41" s="513"/>
      <c r="AC41" s="513"/>
      <c r="AD41" s="513"/>
      <c r="AE41" s="513"/>
      <c r="AF41" s="513"/>
      <c r="AG41" s="511"/>
      <c r="AH41" s="511"/>
      <c r="AI41" s="511"/>
      <c r="AJ41" s="511"/>
      <c r="AK41" s="511"/>
      <c r="AL41" s="511"/>
      <c r="AM41" s="511"/>
      <c r="AN41" s="511"/>
      <c r="AO41" s="511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6"/>
      <c r="BP41" s="296"/>
      <c r="BQ41" s="296"/>
      <c r="BR41" s="296"/>
      <c r="BS41" s="296"/>
      <c r="BT41" s="296"/>
      <c r="BU41" s="296"/>
      <c r="BV41" s="296"/>
      <c r="BW41" s="296"/>
      <c r="BX41" s="296"/>
      <c r="BY41" s="296"/>
      <c r="BZ41" s="296"/>
      <c r="CA41" s="296"/>
      <c r="CB41" s="296"/>
      <c r="CC41" s="296"/>
      <c r="CD41" s="296"/>
      <c r="CE41" s="296"/>
      <c r="CF41" s="296"/>
      <c r="CG41" s="296"/>
      <c r="CH41" s="296"/>
      <c r="CI41" s="296"/>
      <c r="CJ41" s="296"/>
      <c r="CK41" s="296"/>
      <c r="CL41" s="296"/>
      <c r="CM41" s="296"/>
      <c r="CN41" s="296"/>
      <c r="CO41" s="296"/>
      <c r="CP41" s="296"/>
      <c r="CQ41" s="296"/>
      <c r="CR41" s="296"/>
      <c r="CS41" s="296"/>
      <c r="CT41" s="296"/>
      <c r="CU41" s="296"/>
      <c r="CV41" s="296"/>
      <c r="CW41" s="296"/>
      <c r="CX41" s="296"/>
      <c r="CY41" s="296"/>
      <c r="CZ41" s="296"/>
      <c r="DA41" s="296"/>
      <c r="DB41" s="296"/>
      <c r="DC41" s="296"/>
      <c r="DD41" s="296"/>
      <c r="DE41" s="296"/>
      <c r="DF41" s="296"/>
      <c r="DG41" s="296"/>
      <c r="DH41" s="296"/>
      <c r="DI41" s="296"/>
      <c r="DJ41" s="296"/>
      <c r="DK41" s="349"/>
      <c r="DL41" s="296"/>
      <c r="DM41" s="296"/>
      <c r="DN41" s="296"/>
      <c r="DO41" s="296"/>
      <c r="DP41" s="296"/>
      <c r="DQ41" s="296"/>
      <c r="DR41" s="296"/>
      <c r="DS41" s="296"/>
      <c r="DT41" s="296"/>
      <c r="DU41" s="296"/>
      <c r="DV41" s="296"/>
      <c r="DW41" s="296"/>
      <c r="DX41" s="296"/>
      <c r="DY41" s="296"/>
      <c r="DZ41" s="296"/>
      <c r="EA41" s="296"/>
      <c r="EB41" s="296"/>
      <c r="EC41" s="296"/>
      <c r="ED41" s="296"/>
      <c r="EE41" s="296"/>
      <c r="EF41" s="296"/>
      <c r="EG41" s="296"/>
      <c r="EH41" s="296"/>
      <c r="EI41" s="296"/>
      <c r="EJ41" s="296"/>
      <c r="EK41" s="296"/>
      <c r="EL41" s="296"/>
      <c r="EM41" s="296"/>
      <c r="EN41" s="296"/>
      <c r="EO41" s="296"/>
      <c r="EP41" s="296"/>
      <c r="EQ41" s="296"/>
      <c r="ER41" s="296"/>
      <c r="ES41" s="296"/>
      <c r="ET41" s="296"/>
      <c r="EU41" s="296"/>
      <c r="EV41" s="296"/>
      <c r="EW41" s="296"/>
      <c r="EX41" s="296"/>
      <c r="EY41" s="296"/>
      <c r="EZ41" s="296"/>
      <c r="FA41" s="296"/>
      <c r="FB41" s="296"/>
      <c r="FC41" s="296"/>
      <c r="FD41" s="296"/>
      <c r="FE41" s="297"/>
      <c r="FF41" s="296"/>
      <c r="FG41" s="296"/>
      <c r="FH41" s="296"/>
      <c r="FI41" s="296"/>
      <c r="FJ41" s="296"/>
      <c r="FK41" s="296"/>
      <c r="FL41" s="296"/>
      <c r="FM41" s="296"/>
      <c r="FN41" s="296"/>
      <c r="FO41" s="296"/>
      <c r="FP41" s="296"/>
      <c r="FQ41" s="296"/>
      <c r="FR41" s="296"/>
      <c r="FS41" s="296"/>
      <c r="FT41" s="296"/>
      <c r="FU41" s="296"/>
      <c r="FV41" s="296"/>
      <c r="FW41" s="296"/>
      <c r="FX41" s="296"/>
      <c r="FY41" s="296"/>
      <c r="FZ41" s="296"/>
      <c r="GA41" s="296"/>
      <c r="GB41" s="296"/>
      <c r="GC41" s="296"/>
      <c r="GD41" s="296"/>
      <c r="GE41" s="296"/>
      <c r="GF41" s="296"/>
      <c r="GG41" s="296"/>
      <c r="GH41" s="296"/>
      <c r="GI41" s="296"/>
      <c r="GJ41" s="296"/>
      <c r="GK41" s="296"/>
      <c r="GL41" s="296"/>
      <c r="GM41" s="296"/>
      <c r="GN41" s="296"/>
      <c r="GO41" s="296"/>
      <c r="GP41" s="296"/>
      <c r="GQ41" s="296"/>
      <c r="GR41" s="296"/>
      <c r="GS41" s="296"/>
      <c r="GT41" s="296"/>
      <c r="GU41" s="296"/>
      <c r="GV41" s="296"/>
      <c r="GW41" s="296"/>
      <c r="GX41" s="296"/>
      <c r="GY41" s="296"/>
      <c r="GZ41" s="296"/>
      <c r="HA41" s="296"/>
      <c r="HB41" s="296"/>
      <c r="HC41" s="296"/>
      <c r="HD41" s="296"/>
      <c r="HE41" s="296"/>
      <c r="HF41" s="296"/>
      <c r="HG41" s="296"/>
      <c r="HH41" s="296"/>
      <c r="HI41" s="296"/>
    </row>
    <row r="42" spans="1:217" ht="15" customHeight="1">
      <c r="A42" s="150"/>
      <c r="B42" s="150"/>
      <c r="C42" s="348" t="str">
        <f>IF([3]MasterSheet!$A$1=1,[3]MasterSheet!C292,[3]MasterSheet!B292)</f>
        <v>Subvencije</v>
      </c>
      <c r="D42" s="327">
        <f>+'[3]Cental Budget_int'!D62+'[3]Local Government_int'!D57</f>
        <v>6607753.2799999993</v>
      </c>
      <c r="E42" s="328">
        <f t="shared" si="8"/>
        <v>0.30749468472241609</v>
      </c>
      <c r="F42" s="327">
        <f>+'[3]Cental Budget_int'!F62+'[3]Local Government_int'!F57</f>
        <v>13869941.18</v>
      </c>
      <c r="G42" s="328">
        <f t="shared" si="0"/>
        <v>0.51743858160790901</v>
      </c>
      <c r="H42" s="327">
        <f>+'[3]Cental Budget_int'!H62+'[3]Local Government_int'!H57</f>
        <v>20162971.149999999</v>
      </c>
      <c r="I42" s="328">
        <f t="shared" si="1"/>
        <v>0.65345382259528129</v>
      </c>
      <c r="J42" s="327">
        <f>+'[3]Cental Budget_int'!J62+'[3]Local Government_int'!J57</f>
        <v>50956109.699999996</v>
      </c>
      <c r="K42" s="328">
        <f t="shared" si="2"/>
        <v>1.7093629553840992</v>
      </c>
      <c r="L42" s="327">
        <f>+'[3]Cental Budget_int'!L62+'[3]Local Government_int'!L57</f>
        <v>39785362.68</v>
      </c>
      <c r="M42" s="328">
        <f t="shared" si="3"/>
        <v>1.2731316057600002</v>
      </c>
      <c r="N42" s="327">
        <f>+'[3]Cental Budget_int'!N62+'[3]Local Government_int'!N57</f>
        <v>46353356.520000003</v>
      </c>
      <c r="O42" s="328">
        <f t="shared" si="4"/>
        <v>1.4197046407350691</v>
      </c>
      <c r="P42" s="327">
        <f>+'[3]Cental Budget_int'!P62+'[3]Local Government_int'!P57</f>
        <v>26607621.800000001</v>
      </c>
      <c r="Q42" s="328">
        <f t="shared" si="5"/>
        <v>0.83645463061930214</v>
      </c>
      <c r="R42" s="327">
        <f>+'[3]Cental Budget_int'!R62+'[3]Local Government_int'!R57</f>
        <v>18184744.609999999</v>
      </c>
      <c r="S42" s="328">
        <f t="shared" si="9"/>
        <v>0.54089067846519923</v>
      </c>
      <c r="T42" s="327">
        <f>+'[3]Cental Budget_int'!T62+'[3]Local Government_int'!T57</f>
        <v>18844296.169999998</v>
      </c>
      <c r="U42" s="328">
        <f t="shared" si="10"/>
        <v>0.54496359553486218</v>
      </c>
      <c r="V42" s="327">
        <f>+'[3]Cental Budget_int'!V62+'[3]Local Government_int'!V57</f>
        <v>20285370.640000004</v>
      </c>
      <c r="W42" s="329">
        <f t="shared" si="11"/>
        <v>0.55500330068399462</v>
      </c>
      <c r="X42" s="327">
        <f>'Cental Budget'!X62+'Local Government_int'!X57</f>
        <v>27846151.860000003</v>
      </c>
      <c r="Y42" s="328">
        <f t="shared" si="12"/>
        <v>0.70421708208992972</v>
      </c>
      <c r="Z42" s="327">
        <f>'Cental Budget'!Z62+'Local Government_int'!Z57</f>
        <v>29017033.960000005</v>
      </c>
      <c r="AA42" s="328">
        <f t="shared" si="13"/>
        <v>0.68492939832408839</v>
      </c>
      <c r="AB42" s="513"/>
      <c r="AC42" s="513"/>
      <c r="AD42" s="513"/>
      <c r="AE42" s="513"/>
      <c r="AF42" s="513"/>
      <c r="AG42" s="511"/>
      <c r="AH42" s="511"/>
      <c r="AI42" s="511"/>
      <c r="AJ42" s="511"/>
      <c r="AK42" s="511"/>
      <c r="AL42" s="511"/>
      <c r="AM42" s="511"/>
      <c r="AN42" s="511"/>
      <c r="AO42" s="511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6"/>
      <c r="BP42" s="296"/>
      <c r="BQ42" s="296"/>
      <c r="BR42" s="296"/>
      <c r="BS42" s="296"/>
      <c r="BT42" s="296"/>
      <c r="BU42" s="296"/>
      <c r="BV42" s="296"/>
      <c r="BW42" s="296"/>
      <c r="BX42" s="296"/>
      <c r="BY42" s="296"/>
      <c r="BZ42" s="296"/>
      <c r="CA42" s="296"/>
      <c r="CB42" s="296"/>
      <c r="CC42" s="296"/>
      <c r="CD42" s="296"/>
      <c r="CE42" s="296"/>
      <c r="CF42" s="296"/>
      <c r="CG42" s="296"/>
      <c r="CH42" s="296"/>
      <c r="CI42" s="296"/>
      <c r="CJ42" s="296"/>
      <c r="CK42" s="296"/>
      <c r="CL42" s="296"/>
      <c r="CM42" s="296"/>
      <c r="CN42" s="296"/>
      <c r="CO42" s="296"/>
      <c r="CP42" s="296"/>
      <c r="CQ42" s="296"/>
      <c r="CR42" s="296"/>
      <c r="CS42" s="296"/>
      <c r="CT42" s="296"/>
      <c r="CU42" s="296"/>
      <c r="CV42" s="296"/>
      <c r="CW42" s="296"/>
      <c r="CX42" s="296"/>
      <c r="CY42" s="296"/>
      <c r="CZ42" s="296"/>
      <c r="DA42" s="296"/>
      <c r="DB42" s="296"/>
      <c r="DC42" s="296"/>
      <c r="DD42" s="296"/>
      <c r="DE42" s="296"/>
      <c r="DF42" s="296"/>
      <c r="DG42" s="296"/>
      <c r="DH42" s="296"/>
      <c r="DI42" s="296"/>
      <c r="DJ42" s="296"/>
      <c r="DK42" s="296"/>
      <c r="DL42" s="296"/>
      <c r="DM42" s="296"/>
      <c r="DN42" s="296"/>
      <c r="DO42" s="296"/>
      <c r="DP42" s="296"/>
      <c r="DQ42" s="296"/>
      <c r="DR42" s="296"/>
      <c r="DS42" s="296"/>
      <c r="DT42" s="296"/>
      <c r="DU42" s="296"/>
      <c r="DV42" s="296"/>
      <c r="DW42" s="296"/>
      <c r="DX42" s="296"/>
      <c r="DY42" s="296"/>
      <c r="DZ42" s="296"/>
      <c r="EA42" s="296"/>
      <c r="EB42" s="296"/>
      <c r="EC42" s="296"/>
      <c r="ED42" s="296"/>
      <c r="EE42" s="296"/>
      <c r="EF42" s="296"/>
      <c r="EG42" s="296"/>
      <c r="EH42" s="296"/>
      <c r="EI42" s="296"/>
      <c r="EJ42" s="296"/>
      <c r="EK42" s="296"/>
      <c r="EL42" s="296"/>
      <c r="EM42" s="296"/>
      <c r="EN42" s="296"/>
      <c r="EO42" s="296"/>
      <c r="EP42" s="296"/>
      <c r="EQ42" s="296"/>
      <c r="ER42" s="296"/>
      <c r="ES42" s="296"/>
      <c r="ET42" s="296"/>
      <c r="EU42" s="296"/>
      <c r="EV42" s="296"/>
      <c r="EW42" s="296"/>
      <c r="EX42" s="296"/>
      <c r="EY42" s="296"/>
      <c r="EZ42" s="296"/>
      <c r="FA42" s="296"/>
      <c r="FB42" s="296"/>
      <c r="FC42" s="296"/>
      <c r="FD42" s="296"/>
      <c r="FE42" s="297"/>
      <c r="FF42" s="296"/>
      <c r="FG42" s="296"/>
      <c r="FH42" s="296"/>
      <c r="FI42" s="296"/>
      <c r="FJ42" s="296"/>
      <c r="FK42" s="296"/>
      <c r="FL42" s="296"/>
      <c r="FM42" s="296"/>
      <c r="FN42" s="296"/>
      <c r="FO42" s="296"/>
      <c r="FP42" s="296"/>
      <c r="FQ42" s="296"/>
      <c r="FR42" s="296"/>
      <c r="FS42" s="296"/>
      <c r="FT42" s="296"/>
      <c r="FU42" s="296"/>
      <c r="FV42" s="296"/>
      <c r="FW42" s="296"/>
      <c r="FX42" s="296"/>
      <c r="FY42" s="296"/>
      <c r="FZ42" s="296"/>
      <c r="GA42" s="296"/>
      <c r="GB42" s="296"/>
      <c r="GC42" s="296"/>
      <c r="GD42" s="296"/>
      <c r="GE42" s="296"/>
      <c r="GF42" s="296"/>
      <c r="GG42" s="296"/>
      <c r="GH42" s="296"/>
      <c r="GI42" s="296"/>
      <c r="GJ42" s="296"/>
      <c r="GK42" s="296"/>
      <c r="GL42" s="296"/>
      <c r="GM42" s="296"/>
      <c r="GN42" s="296"/>
      <c r="GO42" s="296"/>
      <c r="GP42" s="296"/>
      <c r="GQ42" s="296"/>
      <c r="GR42" s="296"/>
      <c r="GS42" s="296"/>
      <c r="GT42" s="296"/>
      <c r="GU42" s="296"/>
      <c r="GV42" s="296"/>
      <c r="GW42" s="296"/>
      <c r="GX42" s="296"/>
      <c r="GY42" s="296"/>
      <c r="GZ42" s="296"/>
      <c r="HA42" s="296"/>
      <c r="HB42" s="296"/>
      <c r="HC42" s="296"/>
      <c r="HD42" s="296"/>
      <c r="HE42" s="296"/>
      <c r="HF42" s="296"/>
      <c r="HG42" s="296"/>
      <c r="HH42" s="296"/>
      <c r="HI42" s="296"/>
    </row>
    <row r="43" spans="1:217" ht="16.5" customHeight="1">
      <c r="A43" s="150"/>
      <c r="B43" s="150"/>
      <c r="C43" s="348" t="str">
        <f>IF([3]MasterSheet!$A$1=1,[3]MasterSheet!C293,[3]MasterSheet!B293)</f>
        <v>Ostali izdaci</v>
      </c>
      <c r="D43" s="327">
        <f>+'[3]Cental Budget_int'!D63+'[3]Local Government_int'!D58</f>
        <v>5144565.45</v>
      </c>
      <c r="E43" s="328">
        <f t="shared" si="8"/>
        <v>0.23940460002792127</v>
      </c>
      <c r="F43" s="327">
        <f>+'[3]Cental Budget_int'!F63+'[3]Local Government_int'!F58</f>
        <v>7762059.1499999994</v>
      </c>
      <c r="G43" s="328">
        <f t="shared" si="0"/>
        <v>0.28957504756575264</v>
      </c>
      <c r="H43" s="327">
        <f>+'[3]Cental Budget_int'!H63+'[3]Local Government_int'!H58</f>
        <v>6570802.9000000004</v>
      </c>
      <c r="I43" s="328">
        <f t="shared" si="1"/>
        <v>0.21295057363235675</v>
      </c>
      <c r="J43" s="327">
        <f>+'[3]Cental Budget_int'!J63+'[3]Local Government_int'!J58</f>
        <v>8465091.3699999992</v>
      </c>
      <c r="K43" s="328">
        <f t="shared" si="2"/>
        <v>0.28396817745722908</v>
      </c>
      <c r="L43" s="327">
        <f>+'[3]Cental Budget_int'!L63+'[3]Local Government_int'!L58</f>
        <v>6211302.6600000001</v>
      </c>
      <c r="M43" s="328">
        <f t="shared" si="3"/>
        <v>0.19876168512</v>
      </c>
      <c r="N43" s="327">
        <f>+'[3]Cental Budget_int'!N63+'[3]Local Government_int'!N58</f>
        <v>6749030.8300000001</v>
      </c>
      <c r="O43" s="328">
        <f t="shared" si="4"/>
        <v>0.20670844808575806</v>
      </c>
      <c r="P43" s="327">
        <f>+'[3]Cental Budget_int'!P63+'[3]Local Government_int'!P58</f>
        <v>7848264.4700000007</v>
      </c>
      <c r="Q43" s="328">
        <f t="shared" si="5"/>
        <v>0.24672318359006601</v>
      </c>
      <c r="R43" s="327">
        <f>+'[3]Cental Budget_int'!R63+'[3]Local Government_int'!R58</f>
        <v>24915161.729999997</v>
      </c>
      <c r="S43" s="328">
        <f t="shared" si="9"/>
        <v>0.74108155056513969</v>
      </c>
      <c r="T43" s="327">
        <f>+'[3]Cental Budget_int'!T63+'[3]Local Government_int'!T58</f>
        <v>32342562.84</v>
      </c>
      <c r="U43" s="328">
        <f t="shared" si="10"/>
        <v>0.93532383354058812</v>
      </c>
      <c r="V43" s="327">
        <f>+'[3]Cental Budget_int'!V63+'[3]Local Government_int'!V58</f>
        <v>33159016.52</v>
      </c>
      <c r="W43" s="329">
        <f t="shared" si="11"/>
        <v>0.9072234341997264</v>
      </c>
      <c r="X43" s="327">
        <f>'Cental Budget'!X63+'Local Government_int'!X58</f>
        <v>37477623.670000002</v>
      </c>
      <c r="Y43" s="328">
        <f t="shared" si="12"/>
        <v>0.94779281953366046</v>
      </c>
      <c r="Z43" s="327">
        <f>'Cental Budget'!Z63+'Local Government_int'!Z58</f>
        <v>41973270.079999998</v>
      </c>
      <c r="AA43" s="328">
        <f t="shared" si="13"/>
        <v>0.99075345403044968</v>
      </c>
      <c r="AB43" s="513"/>
      <c r="AC43" s="513"/>
      <c r="AD43" s="513"/>
      <c r="AE43" s="513"/>
      <c r="AF43" s="513"/>
      <c r="AG43" s="511"/>
      <c r="AH43" s="511"/>
      <c r="AI43" s="511"/>
      <c r="AJ43" s="511"/>
      <c r="AK43" s="511"/>
      <c r="AL43" s="511"/>
      <c r="AM43" s="511"/>
      <c r="AN43" s="511"/>
      <c r="AO43" s="511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6"/>
      <c r="BP43" s="296"/>
      <c r="BQ43" s="296"/>
      <c r="BR43" s="296"/>
      <c r="BS43" s="296"/>
      <c r="BT43" s="296"/>
      <c r="BU43" s="296"/>
      <c r="BV43" s="296"/>
      <c r="BW43" s="296"/>
      <c r="BX43" s="296"/>
      <c r="BY43" s="296"/>
      <c r="BZ43" s="296"/>
      <c r="CA43" s="296"/>
      <c r="CB43" s="296"/>
      <c r="CC43" s="296"/>
      <c r="CD43" s="296"/>
      <c r="CE43" s="296"/>
      <c r="CF43" s="296"/>
      <c r="CG43" s="296"/>
      <c r="CH43" s="296"/>
      <c r="CI43" s="296"/>
      <c r="CJ43" s="296"/>
      <c r="CK43" s="296"/>
      <c r="CL43" s="296"/>
      <c r="CM43" s="296"/>
      <c r="CN43" s="296"/>
      <c r="CO43" s="296"/>
      <c r="CP43" s="296"/>
      <c r="CQ43" s="296"/>
      <c r="CR43" s="296"/>
      <c r="CS43" s="296"/>
      <c r="CT43" s="296"/>
      <c r="CU43" s="296"/>
      <c r="CV43" s="296"/>
      <c r="CW43" s="296"/>
      <c r="CX43" s="296"/>
      <c r="CY43" s="296"/>
      <c r="CZ43" s="296"/>
      <c r="DA43" s="296"/>
      <c r="DB43" s="296"/>
      <c r="DC43" s="296"/>
      <c r="DD43" s="296"/>
      <c r="DE43" s="296"/>
      <c r="DF43" s="296"/>
      <c r="DG43" s="296"/>
      <c r="DH43" s="296"/>
      <c r="DI43" s="296"/>
      <c r="DJ43" s="296"/>
      <c r="DK43" s="296"/>
      <c r="DL43" s="296"/>
      <c r="DM43" s="296"/>
      <c r="DN43" s="296"/>
      <c r="DO43" s="296"/>
      <c r="DP43" s="296"/>
      <c r="DQ43" s="296"/>
      <c r="DR43" s="296"/>
      <c r="DS43" s="296"/>
      <c r="DT43" s="296"/>
      <c r="DU43" s="296"/>
      <c r="DV43" s="296"/>
      <c r="DW43" s="296"/>
      <c r="DX43" s="296"/>
      <c r="DY43" s="296"/>
      <c r="DZ43" s="296"/>
      <c r="EA43" s="296"/>
      <c r="EB43" s="296"/>
      <c r="EC43" s="296"/>
      <c r="ED43" s="296"/>
      <c r="EE43" s="296"/>
      <c r="EF43" s="296"/>
      <c r="EG43" s="296"/>
      <c r="EH43" s="296"/>
      <c r="EI43" s="296"/>
      <c r="EJ43" s="296"/>
      <c r="EK43" s="296"/>
      <c r="EL43" s="296"/>
      <c r="EM43" s="296"/>
      <c r="EN43" s="296"/>
      <c r="EO43" s="296"/>
      <c r="EP43" s="296"/>
      <c r="EQ43" s="296"/>
      <c r="ER43" s="296"/>
      <c r="ES43" s="296"/>
      <c r="ET43" s="296"/>
      <c r="EU43" s="296"/>
      <c r="EV43" s="296"/>
      <c r="EW43" s="296"/>
      <c r="EX43" s="296"/>
      <c r="EY43" s="296"/>
      <c r="EZ43" s="296"/>
      <c r="FA43" s="296"/>
      <c r="FB43" s="296"/>
      <c r="FC43" s="296"/>
      <c r="FD43" s="296"/>
      <c r="FE43" s="297"/>
      <c r="FF43" s="296"/>
      <c r="FG43" s="323"/>
      <c r="FH43" s="296"/>
      <c r="FI43" s="296"/>
      <c r="FJ43" s="296"/>
      <c r="FK43" s="296"/>
      <c r="FL43" s="296"/>
      <c r="FM43" s="296"/>
      <c r="FN43" s="296"/>
      <c r="FO43" s="296"/>
      <c r="FP43" s="296"/>
      <c r="FQ43" s="296"/>
      <c r="FR43" s="296"/>
      <c r="FS43" s="296"/>
      <c r="FT43" s="296"/>
      <c r="FU43" s="296"/>
      <c r="FV43" s="296"/>
      <c r="FW43" s="296"/>
      <c r="FX43" s="296"/>
      <c r="FY43" s="296"/>
      <c r="FZ43" s="296"/>
      <c r="GA43" s="296"/>
      <c r="GB43" s="296"/>
      <c r="GC43" s="296"/>
      <c r="GD43" s="296"/>
      <c r="GE43" s="296"/>
      <c r="GF43" s="296"/>
      <c r="GG43" s="296"/>
      <c r="GH43" s="296"/>
      <c r="GI43" s="296"/>
      <c r="GJ43" s="296"/>
      <c r="GK43" s="296"/>
      <c r="GL43" s="296"/>
      <c r="GM43" s="296"/>
      <c r="GN43" s="296"/>
      <c r="GO43" s="296"/>
      <c r="GP43" s="296"/>
      <c r="GQ43" s="296"/>
      <c r="GR43" s="296"/>
      <c r="GS43" s="296"/>
      <c r="GT43" s="296"/>
      <c r="GU43" s="296"/>
      <c r="GV43" s="296"/>
      <c r="GW43" s="296"/>
      <c r="GX43" s="296"/>
      <c r="GY43" s="296"/>
      <c r="GZ43" s="296"/>
      <c r="HA43" s="296"/>
      <c r="HB43" s="296"/>
      <c r="HC43" s="296"/>
      <c r="HD43" s="296"/>
      <c r="HE43" s="296"/>
      <c r="HF43" s="296"/>
      <c r="HG43" s="296"/>
      <c r="HH43" s="296"/>
      <c r="HI43" s="296"/>
    </row>
    <row r="44" spans="1:217" s="346" customFormat="1" ht="24.75" customHeight="1">
      <c r="B44" s="150"/>
      <c r="C44" s="342" t="str">
        <f>IF([3]MasterSheet!$A$1=1,[3]MasterSheet!C294,[3]MasterSheet!B294)</f>
        <v xml:space="preserve">Kapitalni izdaci tekućeg budžeta </v>
      </c>
      <c r="D44" s="350">
        <f>+'[3]Cental Budget_int'!D64</f>
        <v>40141835.139999993</v>
      </c>
      <c r="E44" s="344">
        <f t="shared" si="8"/>
        <v>1.8680178295872305</v>
      </c>
      <c r="F44" s="350">
        <f>+'[3]Cental Budget_int'!F64</f>
        <v>0</v>
      </c>
      <c r="G44" s="344">
        <f t="shared" si="0"/>
        <v>0</v>
      </c>
      <c r="H44" s="350">
        <f>+'[3]Cental Budget_int'!H64</f>
        <v>68265521.540000007</v>
      </c>
      <c r="I44" s="344">
        <f t="shared" si="1"/>
        <v>2.2123905088151417</v>
      </c>
      <c r="J44" s="350">
        <f>+'[3]Cental Budget_int'!J64</f>
        <v>26511453.920000002</v>
      </c>
      <c r="K44" s="344">
        <f t="shared" si="2"/>
        <v>0.88934766588393155</v>
      </c>
      <c r="L44" s="350">
        <f>+'[3]Cental Budget_int'!L64</f>
        <v>19371879.949999999</v>
      </c>
      <c r="M44" s="344">
        <f t="shared" si="3"/>
        <v>0.6199001583999999</v>
      </c>
      <c r="N44" s="350">
        <f>+'[3]Cental Budget_int'!N64</f>
        <v>10524223.029999999</v>
      </c>
      <c r="O44" s="344">
        <f t="shared" si="4"/>
        <v>0.32233454915773352</v>
      </c>
      <c r="P44" s="350">
        <f>+'[3]Cental Budget_int'!P64</f>
        <v>8948881.8499999996</v>
      </c>
      <c r="Q44" s="344">
        <f t="shared" si="5"/>
        <v>0.28132291260609871</v>
      </c>
      <c r="R44" s="350">
        <f>+'[3]Cental Budget_int'!R64</f>
        <v>8075119.8499999996</v>
      </c>
      <c r="S44" s="344">
        <f t="shared" si="9"/>
        <v>0.24018797888161808</v>
      </c>
      <c r="T44" s="350">
        <f>+'[3]Cental Budget_int'!T64</f>
        <v>66246313.219999999</v>
      </c>
      <c r="U44" s="344">
        <f t="shared" si="10"/>
        <v>1.9157960964747391</v>
      </c>
      <c r="V44" s="350">
        <f>+'[3]Cental Budget_int'!V64</f>
        <v>28485480.849999994</v>
      </c>
      <c r="W44" s="345">
        <f t="shared" si="11"/>
        <v>0.77935652120383025</v>
      </c>
      <c r="X44" s="350">
        <f>'Cental Budget'!X64</f>
        <v>42089273.07</v>
      </c>
      <c r="Y44" s="344">
        <f t="shared" si="12"/>
        <v>1.0644194292145062</v>
      </c>
      <c r="Z44" s="350">
        <f>'Cental Budget'!Z64</f>
        <v>36011758.509999998</v>
      </c>
      <c r="AA44" s="344">
        <f t="shared" si="13"/>
        <v>0.85003560745898732</v>
      </c>
      <c r="AB44" s="513"/>
      <c r="AC44" s="513"/>
      <c r="AD44" s="513"/>
      <c r="AE44" s="513"/>
      <c r="AF44" s="511"/>
      <c r="AG44" s="511"/>
      <c r="AH44" s="511"/>
      <c r="AI44" s="511"/>
      <c r="AJ44" s="511"/>
      <c r="AK44" s="511"/>
      <c r="AL44" s="511"/>
      <c r="AM44" s="511"/>
      <c r="AN44" s="511"/>
      <c r="AO44" s="511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6"/>
      <c r="BP44" s="296"/>
      <c r="BQ44" s="296"/>
      <c r="BR44" s="296"/>
      <c r="BS44" s="296"/>
      <c r="BT44" s="296"/>
      <c r="BU44" s="296"/>
      <c r="BV44" s="296"/>
      <c r="BW44" s="296"/>
      <c r="BX44" s="296"/>
      <c r="BY44" s="296"/>
      <c r="BZ44" s="296"/>
      <c r="CA44" s="296"/>
      <c r="CB44" s="296"/>
      <c r="CC44" s="296"/>
      <c r="CD44" s="296"/>
      <c r="CE44" s="296"/>
      <c r="CF44" s="296"/>
      <c r="CG44" s="296"/>
      <c r="CH44" s="296"/>
      <c r="CI44" s="296"/>
      <c r="CJ44" s="296"/>
      <c r="CK44" s="296"/>
      <c r="CL44" s="296"/>
      <c r="CM44" s="296"/>
      <c r="CN44" s="296"/>
      <c r="CO44" s="296"/>
      <c r="CP44" s="296"/>
      <c r="CQ44" s="296"/>
      <c r="CR44" s="296"/>
      <c r="CS44" s="296"/>
      <c r="CT44" s="296"/>
      <c r="CU44" s="296"/>
      <c r="CV44" s="296"/>
      <c r="CW44" s="296"/>
      <c r="CX44" s="296"/>
      <c r="CY44" s="296"/>
      <c r="CZ44" s="296"/>
      <c r="DA44" s="296"/>
      <c r="DB44" s="296"/>
      <c r="DC44" s="296"/>
      <c r="DD44" s="296"/>
      <c r="DE44" s="296"/>
      <c r="DF44" s="296"/>
      <c r="DG44" s="296"/>
      <c r="DH44" s="296"/>
      <c r="DI44" s="296"/>
      <c r="DJ44" s="296"/>
      <c r="DK44" s="296"/>
      <c r="DL44" s="296"/>
      <c r="DM44" s="296"/>
      <c r="DN44" s="296"/>
      <c r="DO44" s="296"/>
      <c r="DP44" s="296"/>
      <c r="DQ44" s="296"/>
      <c r="DR44" s="296"/>
      <c r="DS44" s="296"/>
      <c r="DT44" s="296"/>
      <c r="DU44" s="296"/>
      <c r="DV44" s="296"/>
      <c r="DW44" s="296"/>
      <c r="DX44" s="296"/>
      <c r="DY44" s="296"/>
      <c r="DZ44" s="296"/>
      <c r="EA44" s="296"/>
      <c r="EB44" s="296"/>
      <c r="EC44" s="296"/>
      <c r="ED44" s="296"/>
      <c r="EE44" s="296"/>
      <c r="EF44" s="296"/>
      <c r="EG44" s="296"/>
      <c r="EH44" s="296"/>
      <c r="EI44" s="296"/>
      <c r="EJ44" s="296"/>
      <c r="EK44" s="296"/>
      <c r="EL44" s="296"/>
      <c r="EM44" s="296"/>
      <c r="EN44" s="296"/>
      <c r="EO44" s="296"/>
      <c r="EP44" s="296"/>
      <c r="EQ44" s="296"/>
      <c r="ER44" s="296"/>
      <c r="ES44" s="296"/>
      <c r="ET44" s="296"/>
      <c r="EU44" s="296"/>
      <c r="EV44" s="296"/>
      <c r="EW44" s="296"/>
      <c r="EX44" s="296"/>
      <c r="EY44" s="296"/>
      <c r="EZ44" s="296"/>
      <c r="FA44" s="296"/>
      <c r="FB44" s="296"/>
      <c r="FC44" s="296"/>
      <c r="FD44" s="296"/>
      <c r="FE44" s="297"/>
      <c r="FF44" s="296"/>
      <c r="FG44" s="323"/>
      <c r="FH44" s="296"/>
      <c r="FI44" s="296"/>
      <c r="FJ44" s="296"/>
      <c r="FK44" s="296"/>
      <c r="FL44" s="296"/>
      <c r="FM44" s="296"/>
      <c r="FN44" s="296"/>
      <c r="FO44" s="296"/>
      <c r="FP44" s="296"/>
      <c r="FQ44" s="296"/>
      <c r="FR44" s="296"/>
      <c r="FS44" s="296"/>
      <c r="FT44" s="296"/>
      <c r="FU44" s="296"/>
      <c r="FV44" s="296"/>
      <c r="FW44" s="296"/>
      <c r="FX44" s="296"/>
      <c r="FY44" s="296"/>
      <c r="FZ44" s="296"/>
      <c r="GA44" s="296"/>
      <c r="GB44" s="296"/>
      <c r="GC44" s="296"/>
      <c r="GD44" s="296"/>
      <c r="GE44" s="296"/>
      <c r="GF44" s="296"/>
      <c r="GG44" s="296"/>
      <c r="GH44" s="296"/>
      <c r="GI44" s="296"/>
      <c r="GJ44" s="296"/>
      <c r="GK44" s="296"/>
      <c r="GL44" s="296"/>
      <c r="GM44" s="296"/>
      <c r="GN44" s="296"/>
      <c r="GO44" s="296"/>
      <c r="GP44" s="296"/>
      <c r="GQ44" s="296"/>
      <c r="GR44" s="296"/>
      <c r="GS44" s="296"/>
      <c r="GT44" s="296"/>
      <c r="GU44" s="296"/>
      <c r="GV44" s="296"/>
      <c r="GW44" s="296"/>
      <c r="GX44" s="296"/>
      <c r="GY44" s="296"/>
      <c r="GZ44" s="296"/>
      <c r="HA44" s="296"/>
      <c r="HB44" s="296"/>
      <c r="HC44" s="296"/>
      <c r="HD44" s="296"/>
      <c r="HE44" s="296"/>
      <c r="HF44" s="296"/>
      <c r="HG44" s="296"/>
      <c r="HH44" s="296"/>
      <c r="HI44" s="296"/>
    </row>
    <row r="45" spans="1:217" ht="15" customHeight="1">
      <c r="A45" s="150"/>
      <c r="B45" s="150"/>
      <c r="C45" s="348" t="str">
        <f>IF([3]MasterSheet!$A$1=1,[3]MasterSheet!C295,[3]MasterSheet!B295)</f>
        <v>Transferi za socijalnu zaštitu</v>
      </c>
      <c r="D45" s="327">
        <f>SUM(D46:D50)</f>
        <v>260053753.81</v>
      </c>
      <c r="E45" s="328">
        <f t="shared" si="8"/>
        <v>12.101715008143701</v>
      </c>
      <c r="F45" s="327">
        <f>SUM(F46:F50)</f>
        <v>298776100.27000004</v>
      </c>
      <c r="G45" s="328">
        <f t="shared" si="0"/>
        <v>11.146282420070884</v>
      </c>
      <c r="H45" s="327">
        <f>SUM(H46:H50)</f>
        <v>350415078.49000001</v>
      </c>
      <c r="I45" s="328">
        <f t="shared" si="1"/>
        <v>11.356464820132226</v>
      </c>
      <c r="J45" s="327">
        <f>SUM(J46:J50)</f>
        <v>413071406.49000001</v>
      </c>
      <c r="K45" s="328">
        <f t="shared" si="2"/>
        <v>13.856806658503858</v>
      </c>
      <c r="L45" s="327">
        <f>SUM(L46:L50)</f>
        <v>423588492.50000012</v>
      </c>
      <c r="M45" s="328">
        <f t="shared" si="3"/>
        <v>13.554831760000004</v>
      </c>
      <c r="N45" s="327">
        <f>SUM(N46:N50)</f>
        <v>455524083.13999999</v>
      </c>
      <c r="O45" s="328">
        <f t="shared" si="4"/>
        <v>13.951733021133231</v>
      </c>
      <c r="P45" s="327">
        <f>SUM(P46:P50)</f>
        <v>482086881.83999997</v>
      </c>
      <c r="Q45" s="328">
        <f t="shared" si="5"/>
        <v>15.155199051870479</v>
      </c>
      <c r="R45" s="327">
        <f>SUM(R46:R50)</f>
        <v>483404241.79999989</v>
      </c>
      <c r="S45" s="328">
        <f t="shared" si="9"/>
        <v>14.378472391433666</v>
      </c>
      <c r="T45" s="327">
        <f>SUM(T46:T50)</f>
        <v>492752528.37250006</v>
      </c>
      <c r="U45" s="328">
        <f t="shared" si="10"/>
        <v>14.250051429263427</v>
      </c>
      <c r="V45" s="327">
        <f>SUM(V46:V50)</f>
        <v>487859572.84000009</v>
      </c>
      <c r="W45" s="329">
        <f t="shared" si="11"/>
        <v>13.347731131053353</v>
      </c>
      <c r="X45" s="327">
        <f>SUM(X46:X50)</f>
        <v>556077769.5200001</v>
      </c>
      <c r="Y45" s="328">
        <f t="shared" si="12"/>
        <v>14.062965189418849</v>
      </c>
      <c r="Z45" s="327">
        <f>SUM(Z46:Z50)</f>
        <v>538863417.93999994</v>
      </c>
      <c r="AA45" s="328">
        <f t="shared" si="13"/>
        <v>12.71954249828868</v>
      </c>
      <c r="AB45" s="513"/>
      <c r="AC45" s="513"/>
      <c r="AD45" s="511"/>
      <c r="AE45" s="511"/>
      <c r="AF45" s="511"/>
      <c r="AG45" s="511"/>
      <c r="AH45" s="511"/>
      <c r="AI45" s="511"/>
      <c r="AJ45" s="511"/>
      <c r="AK45" s="511"/>
      <c r="AL45" s="511"/>
      <c r="AM45" s="511"/>
      <c r="AN45" s="511"/>
      <c r="AO45" s="511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6"/>
      <c r="BO45" s="296"/>
      <c r="BP45" s="296"/>
      <c r="BQ45" s="296"/>
      <c r="BR45" s="296"/>
      <c r="BS45" s="296"/>
      <c r="BT45" s="296"/>
      <c r="BU45" s="296"/>
      <c r="BV45" s="296"/>
      <c r="BW45" s="296"/>
      <c r="BX45" s="296"/>
      <c r="BY45" s="296"/>
      <c r="BZ45" s="296"/>
      <c r="CA45" s="296"/>
      <c r="CB45" s="296"/>
      <c r="CC45" s="296"/>
      <c r="CD45" s="296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6"/>
      <c r="CR45" s="296"/>
      <c r="CS45" s="296"/>
      <c r="CT45" s="296"/>
      <c r="CU45" s="296"/>
      <c r="CV45" s="296"/>
      <c r="CW45" s="296"/>
      <c r="CX45" s="296"/>
      <c r="CY45" s="296"/>
      <c r="CZ45" s="296"/>
      <c r="DA45" s="296"/>
      <c r="DB45" s="296"/>
      <c r="DC45" s="296"/>
      <c r="DD45" s="296"/>
      <c r="DE45" s="296"/>
      <c r="DF45" s="296"/>
      <c r="DG45" s="296"/>
      <c r="DH45" s="296"/>
      <c r="DI45" s="296"/>
      <c r="DJ45" s="296"/>
      <c r="DK45" s="296"/>
      <c r="DL45" s="296"/>
      <c r="DM45" s="296"/>
      <c r="DN45" s="296"/>
      <c r="DO45" s="296"/>
      <c r="DP45" s="296"/>
      <c r="DQ45" s="296"/>
      <c r="DR45" s="296"/>
      <c r="DS45" s="296"/>
      <c r="DT45" s="296"/>
      <c r="DU45" s="296"/>
      <c r="DV45" s="296"/>
      <c r="DW45" s="296"/>
      <c r="DX45" s="296"/>
      <c r="DY45" s="296"/>
      <c r="DZ45" s="296"/>
      <c r="EA45" s="296"/>
      <c r="EB45" s="296"/>
      <c r="EC45" s="296"/>
      <c r="ED45" s="296"/>
      <c r="EE45" s="296"/>
      <c r="EF45" s="296"/>
      <c r="EG45" s="296"/>
      <c r="EH45" s="296"/>
      <c r="EI45" s="296"/>
      <c r="EJ45" s="296"/>
      <c r="EK45" s="296"/>
      <c r="EL45" s="296"/>
      <c r="EM45" s="296"/>
      <c r="EN45" s="296"/>
      <c r="EO45" s="296"/>
      <c r="EP45" s="296"/>
      <c r="EQ45" s="296"/>
      <c r="ER45" s="296"/>
      <c r="ES45" s="296"/>
      <c r="ET45" s="296"/>
      <c r="EU45" s="312"/>
      <c r="EV45" s="296"/>
      <c r="EW45" s="296"/>
      <c r="EX45" s="296"/>
      <c r="EY45" s="296"/>
      <c r="EZ45" s="296"/>
      <c r="FA45" s="296"/>
      <c r="FB45" s="296"/>
      <c r="FC45" s="296"/>
      <c r="FD45" s="296"/>
      <c r="FE45" s="297"/>
      <c r="FF45" s="296"/>
      <c r="FG45" s="296"/>
      <c r="FH45" s="296"/>
      <c r="FI45" s="296"/>
      <c r="FJ45" s="296"/>
      <c r="FK45" s="296"/>
      <c r="FL45" s="296"/>
      <c r="FM45" s="296"/>
      <c r="FN45" s="296"/>
      <c r="FO45" s="296"/>
      <c r="FP45" s="296"/>
      <c r="FQ45" s="296"/>
      <c r="FR45" s="296"/>
      <c r="FS45" s="296"/>
      <c r="FT45" s="296"/>
      <c r="FU45" s="296"/>
      <c r="FV45" s="296"/>
      <c r="FW45" s="296"/>
      <c r="FX45" s="296"/>
      <c r="FY45" s="296"/>
      <c r="FZ45" s="296"/>
      <c r="GA45" s="296"/>
      <c r="GB45" s="296"/>
      <c r="GC45" s="296"/>
      <c r="GD45" s="296"/>
      <c r="GE45" s="296"/>
      <c r="GF45" s="296"/>
      <c r="GG45" s="296"/>
      <c r="GH45" s="296"/>
      <c r="GI45" s="296"/>
      <c r="GJ45" s="296"/>
      <c r="GK45" s="296"/>
      <c r="GL45" s="296"/>
      <c r="GM45" s="296"/>
      <c r="GN45" s="296"/>
      <c r="GO45" s="296"/>
      <c r="GP45" s="296"/>
      <c r="GQ45" s="296"/>
      <c r="GR45" s="296"/>
      <c r="GS45" s="296"/>
      <c r="GT45" s="296"/>
      <c r="GU45" s="296"/>
      <c r="GV45" s="296"/>
      <c r="GW45" s="296"/>
      <c r="GX45" s="296"/>
      <c r="GY45" s="296"/>
      <c r="GZ45" s="296"/>
      <c r="HA45" s="296"/>
      <c r="HB45" s="296"/>
      <c r="HC45" s="296"/>
      <c r="HD45" s="296"/>
      <c r="HE45" s="296"/>
      <c r="HF45" s="296"/>
      <c r="HG45" s="296"/>
      <c r="HH45" s="296"/>
      <c r="HI45" s="296"/>
    </row>
    <row r="46" spans="1:217" ht="15" customHeight="1">
      <c r="A46" s="150"/>
      <c r="B46" s="150"/>
      <c r="C46" s="347" t="str">
        <f>IF([3]MasterSheet!$A$1=1,[3]MasterSheet!C296,[3]MasterSheet!B296)</f>
        <v>Prava iz oblasti socijalne zaštite</v>
      </c>
      <c r="D46" s="319">
        <f>+'[3]Cental Budget_int'!D66+'[3]Local Government_int'!D60</f>
        <v>34330192.07</v>
      </c>
      <c r="E46" s="320">
        <f t="shared" si="8"/>
        <v>1.597570481176416</v>
      </c>
      <c r="F46" s="319">
        <f>+'[3]Cental Budget_int'!F66+'[3]Local Government_int'!F60</f>
        <v>39383527.090000004</v>
      </c>
      <c r="G46" s="320">
        <f t="shared" si="0"/>
        <v>1.4692604771497857</v>
      </c>
      <c r="H46" s="319">
        <f>+'[3]Cental Budget_int'!H66+'[3]Local Government_int'!H60</f>
        <v>45905462.160000004</v>
      </c>
      <c r="I46" s="320">
        <f t="shared" si="1"/>
        <v>1.4877321156339125</v>
      </c>
      <c r="J46" s="319">
        <f>+'[3]Cental Budget_int'!J66+'[3]Local Government_int'!J60</f>
        <v>47456540.490000002</v>
      </c>
      <c r="K46" s="320">
        <f t="shared" si="2"/>
        <v>1.5919671415632337</v>
      </c>
      <c r="L46" s="319">
        <f>+'[3]Cental Budget_int'!L66+'[3]Local Government_int'!L60</f>
        <v>51591720.359999999</v>
      </c>
      <c r="M46" s="320">
        <f t="shared" si="3"/>
        <v>1.6509350515199999</v>
      </c>
      <c r="N46" s="319">
        <f>+'[3]Cental Budget_int'!N66+'[3]Local Government_int'!N60</f>
        <v>60092767.540000007</v>
      </c>
      <c r="O46" s="320">
        <f t="shared" si="4"/>
        <v>1.8405135540581934</v>
      </c>
      <c r="P46" s="319">
        <f>+'[3]Cental Budget_int'!P66+'[3]Local Government_int'!P60</f>
        <v>65641911.829999998</v>
      </c>
      <c r="Q46" s="320">
        <f t="shared" si="5"/>
        <v>2.0635621449229804</v>
      </c>
      <c r="R46" s="319">
        <f>+'[3]Cental Budget_int'!R66+'[3]Local Government_int'!R60</f>
        <v>64473016.510000005</v>
      </c>
      <c r="S46" s="320">
        <f t="shared" si="9"/>
        <v>1.9176982900059492</v>
      </c>
      <c r="T46" s="319">
        <f>+'[3]Cental Budget_int'!T66+'[3]Local Government_int'!T60</f>
        <v>62469432.272500001</v>
      </c>
      <c r="U46" s="320">
        <f t="shared" si="10"/>
        <v>1.8065713951386679</v>
      </c>
      <c r="V46" s="319">
        <f>+'[3]Cental Budget_int'!V66+'[3]Local Government_int'!V60</f>
        <v>61653817.389999993</v>
      </c>
      <c r="W46" s="321">
        <f t="shared" si="11"/>
        <v>1.6868349491108068</v>
      </c>
      <c r="X46" s="319">
        <f>'Cental Budget'!X66+'Local Government_int'!X60</f>
        <v>115149477.89</v>
      </c>
      <c r="Y46" s="320">
        <f t="shared" si="12"/>
        <v>2.912080266299125</v>
      </c>
      <c r="Z46" s="319">
        <f>'Cental Budget'!Z66+'Local Government_int'!Z60</f>
        <v>99517402.480000004</v>
      </c>
      <c r="AA46" s="320">
        <f t="shared" si="13"/>
        <v>2.3490476213855778</v>
      </c>
      <c r="AB46" s="513"/>
      <c r="AC46" s="513"/>
      <c r="AD46" s="511"/>
      <c r="AE46" s="511"/>
      <c r="AF46" s="511"/>
      <c r="AG46" s="511"/>
      <c r="AH46" s="511"/>
      <c r="AI46" s="511"/>
      <c r="AJ46" s="511"/>
      <c r="AK46" s="511"/>
      <c r="AL46" s="511"/>
      <c r="AM46" s="511"/>
      <c r="AN46" s="511"/>
      <c r="AO46" s="511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6"/>
      <c r="BP46" s="296"/>
      <c r="BQ46" s="296"/>
      <c r="BR46" s="296"/>
      <c r="BS46" s="296"/>
      <c r="BT46" s="296"/>
      <c r="BU46" s="296"/>
      <c r="BV46" s="296"/>
      <c r="BW46" s="296"/>
      <c r="BX46" s="296"/>
      <c r="BY46" s="296"/>
      <c r="BZ46" s="296"/>
      <c r="CA46" s="296"/>
      <c r="CB46" s="296"/>
      <c r="CC46" s="296"/>
      <c r="CD46" s="296"/>
      <c r="CE46" s="296"/>
      <c r="CF46" s="296"/>
      <c r="CG46" s="296"/>
      <c r="CH46" s="296"/>
      <c r="CI46" s="296"/>
      <c r="CJ46" s="296"/>
      <c r="CK46" s="296"/>
      <c r="CL46" s="296"/>
      <c r="CM46" s="296"/>
      <c r="CN46" s="296"/>
      <c r="CO46" s="296"/>
      <c r="CP46" s="296"/>
      <c r="CQ46" s="296"/>
      <c r="CR46" s="296"/>
      <c r="CS46" s="296"/>
      <c r="CT46" s="296"/>
      <c r="CU46" s="296"/>
      <c r="CV46" s="296"/>
      <c r="CW46" s="296"/>
      <c r="CX46" s="296"/>
      <c r="CY46" s="296"/>
      <c r="CZ46" s="296"/>
      <c r="DA46" s="296"/>
      <c r="DB46" s="296"/>
      <c r="DC46" s="296"/>
      <c r="DD46" s="296"/>
      <c r="DE46" s="296"/>
      <c r="DF46" s="296"/>
      <c r="DG46" s="296"/>
      <c r="DH46" s="296"/>
      <c r="DI46" s="296"/>
      <c r="DJ46" s="296"/>
      <c r="DK46" s="296"/>
      <c r="DL46" s="296"/>
      <c r="DM46" s="296"/>
      <c r="DN46" s="296"/>
      <c r="DO46" s="296"/>
      <c r="DP46" s="296"/>
      <c r="DQ46" s="296"/>
      <c r="DR46" s="296"/>
      <c r="DS46" s="296"/>
      <c r="DT46" s="296"/>
      <c r="DU46" s="296"/>
      <c r="DV46" s="296"/>
      <c r="DW46" s="296"/>
      <c r="DX46" s="296"/>
      <c r="DY46" s="296"/>
      <c r="DZ46" s="296"/>
      <c r="EA46" s="296"/>
      <c r="EB46" s="296"/>
      <c r="EC46" s="296"/>
      <c r="ED46" s="296"/>
      <c r="EE46" s="296"/>
      <c r="EF46" s="296"/>
      <c r="EG46" s="296"/>
      <c r="EH46" s="296"/>
      <c r="EI46" s="296"/>
      <c r="EJ46" s="296"/>
      <c r="EK46" s="296"/>
      <c r="EL46" s="296"/>
      <c r="EM46" s="296"/>
      <c r="EN46" s="296"/>
      <c r="EO46" s="296"/>
      <c r="EP46" s="296"/>
      <c r="EQ46" s="296"/>
      <c r="ER46" s="296"/>
      <c r="ES46" s="296"/>
      <c r="ET46" s="296"/>
      <c r="EU46" s="296"/>
      <c r="EV46" s="296"/>
      <c r="EW46" s="296"/>
      <c r="EX46" s="296"/>
      <c r="EY46" s="296"/>
      <c r="EZ46" s="296"/>
      <c r="FA46" s="296"/>
      <c r="FB46" s="296"/>
      <c r="FC46" s="296"/>
      <c r="FD46" s="296"/>
      <c r="FE46" s="297"/>
      <c r="FF46" s="296"/>
      <c r="FG46" s="296"/>
      <c r="FH46" s="296"/>
      <c r="FI46" s="296"/>
      <c r="FJ46" s="296"/>
      <c r="FK46" s="296"/>
      <c r="FL46" s="296"/>
      <c r="FM46" s="296"/>
      <c r="FN46" s="296"/>
      <c r="FO46" s="296"/>
      <c r="FP46" s="296"/>
      <c r="FQ46" s="296"/>
      <c r="FR46" s="296"/>
      <c r="FS46" s="296"/>
      <c r="FT46" s="296"/>
      <c r="FU46" s="296"/>
      <c r="FV46" s="296"/>
      <c r="FW46" s="296"/>
      <c r="FX46" s="296"/>
      <c r="FY46" s="296"/>
      <c r="FZ46" s="296"/>
      <c r="GA46" s="296"/>
      <c r="GB46" s="296"/>
      <c r="GC46" s="296"/>
      <c r="GD46" s="296"/>
      <c r="GE46" s="296"/>
      <c r="GF46" s="296"/>
      <c r="GG46" s="296"/>
      <c r="GH46" s="296"/>
      <c r="GI46" s="296"/>
      <c r="GJ46" s="296"/>
      <c r="GK46" s="296"/>
      <c r="GL46" s="296"/>
      <c r="GM46" s="296"/>
      <c r="GN46" s="296"/>
      <c r="GO46" s="296"/>
      <c r="GP46" s="296"/>
      <c r="GQ46" s="296"/>
      <c r="GR46" s="296"/>
      <c r="GS46" s="296"/>
      <c r="GT46" s="296"/>
      <c r="GU46" s="296"/>
      <c r="GV46" s="296"/>
      <c r="GW46" s="296"/>
      <c r="GX46" s="296"/>
      <c r="GY46" s="296"/>
      <c r="GZ46" s="296"/>
      <c r="HA46" s="296"/>
      <c r="HB46" s="296"/>
      <c r="HC46" s="296"/>
      <c r="HD46" s="296"/>
      <c r="HE46" s="296"/>
      <c r="HF46" s="296"/>
      <c r="HG46" s="296"/>
      <c r="HH46" s="296"/>
      <c r="HI46" s="296"/>
    </row>
    <row r="47" spans="1:217" ht="15" customHeight="1">
      <c r="A47" s="150"/>
      <c r="B47" s="150"/>
      <c r="C47" s="347" t="str">
        <f>IF([3]MasterSheet!$A$1=1,[3]MasterSheet!C297,[3]MasterSheet!B297)</f>
        <v>Sredstva za tehnološke viškove</v>
      </c>
      <c r="D47" s="319">
        <f>+'[3]Cental Budget_int'!D67+'[3]Local Government_int'!D61</f>
        <v>9827053.3399999999</v>
      </c>
      <c r="E47" s="320">
        <f t="shared" si="8"/>
        <v>0.45730621899576529</v>
      </c>
      <c r="F47" s="319">
        <f>+'[3]Cental Budget_int'!F67+'[3]Local Government_int'!F61</f>
        <v>11489125.32</v>
      </c>
      <c r="G47" s="320">
        <f t="shared" si="0"/>
        <v>0.42861873978735315</v>
      </c>
      <c r="H47" s="319">
        <f>+'[3]Cental Budget_int'!H67+'[3]Local Government_int'!H61</f>
        <v>30282109.969999999</v>
      </c>
      <c r="I47" s="320">
        <f t="shared" si="1"/>
        <v>0.98140102313974587</v>
      </c>
      <c r="J47" s="319">
        <f>+'[3]Cental Budget_int'!J67+'[3]Local Government_int'!J61</f>
        <v>19963527</v>
      </c>
      <c r="K47" s="320">
        <f t="shared" si="2"/>
        <v>0.6696922844682992</v>
      </c>
      <c r="L47" s="319">
        <f>+'[3]Cental Budget_int'!L67+'[3]Local Government_int'!L61</f>
        <v>20513795.120000001</v>
      </c>
      <c r="M47" s="320">
        <f t="shared" si="3"/>
        <v>0.65644144384000003</v>
      </c>
      <c r="N47" s="319">
        <f>+'[3]Cental Budget_int'!N67+'[3]Local Government_int'!N61</f>
        <v>17323007.039999999</v>
      </c>
      <c r="O47" s="320">
        <f t="shared" si="4"/>
        <v>0.5305668312404288</v>
      </c>
      <c r="P47" s="319">
        <f>+'[3]Cental Budget_int'!P67+'[3]Local Government_int'!P61</f>
        <v>16130418.140000001</v>
      </c>
      <c r="Q47" s="320">
        <f t="shared" si="5"/>
        <v>0.50708639232945618</v>
      </c>
      <c r="R47" s="319">
        <f>+'[3]Cental Budget_int'!R67+'[3]Local Government_int'!R61</f>
        <v>13086355.520000001</v>
      </c>
      <c r="S47" s="320">
        <f t="shared" si="9"/>
        <v>0.38924317430101135</v>
      </c>
      <c r="T47" s="319">
        <f>+'[3]Cental Budget_int'!T67+'[3]Local Government_int'!T61</f>
        <v>22587777.399999999</v>
      </c>
      <c r="U47" s="320">
        <f t="shared" si="10"/>
        <v>0.65322240087914629</v>
      </c>
      <c r="V47" s="319">
        <f>+'[3]Cental Budget_int'!V67+'[3]Local Government_int'!V61</f>
        <v>16655316.650000002</v>
      </c>
      <c r="W47" s="321">
        <f t="shared" si="11"/>
        <v>0.45568581805745556</v>
      </c>
      <c r="X47" s="319">
        <f>'Cental Budget'!X67+'Local Government_int'!X61</f>
        <v>22568289.629999999</v>
      </c>
      <c r="Y47" s="320">
        <f t="shared" si="12"/>
        <v>0.57074223939102731</v>
      </c>
      <c r="Z47" s="319">
        <f>'Cental Budget'!Z67+'Local Government_int'!Z61</f>
        <v>12968450.790000001</v>
      </c>
      <c r="AA47" s="320">
        <f t="shared" si="13"/>
        <v>0.30611237554585152</v>
      </c>
      <c r="AB47" s="513"/>
      <c r="AC47" s="513"/>
      <c r="AD47" s="511"/>
      <c r="AE47" s="511"/>
      <c r="AF47" s="511"/>
      <c r="AG47" s="511"/>
      <c r="AH47" s="511"/>
      <c r="AI47" s="511"/>
      <c r="AJ47" s="511"/>
      <c r="AK47" s="511"/>
      <c r="AL47" s="511"/>
      <c r="AM47" s="511"/>
      <c r="AN47" s="511"/>
      <c r="AO47" s="511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6"/>
      <c r="BP47" s="296"/>
      <c r="BQ47" s="296"/>
      <c r="BR47" s="296"/>
      <c r="BS47" s="296"/>
      <c r="BT47" s="296"/>
      <c r="BU47" s="296"/>
      <c r="BV47" s="296"/>
      <c r="BW47" s="296"/>
      <c r="BX47" s="296"/>
      <c r="BY47" s="296"/>
      <c r="BZ47" s="296"/>
      <c r="CA47" s="296"/>
      <c r="CB47" s="296"/>
      <c r="CC47" s="296"/>
      <c r="CD47" s="296"/>
      <c r="CE47" s="296"/>
      <c r="CF47" s="296"/>
      <c r="CG47" s="296"/>
      <c r="CH47" s="296"/>
      <c r="CI47" s="296"/>
      <c r="CJ47" s="296"/>
      <c r="CK47" s="296"/>
      <c r="CL47" s="296"/>
      <c r="CM47" s="296"/>
      <c r="CN47" s="296"/>
      <c r="CO47" s="296"/>
      <c r="CP47" s="296"/>
      <c r="CQ47" s="296"/>
      <c r="CR47" s="296"/>
      <c r="CS47" s="296"/>
      <c r="CT47" s="296"/>
      <c r="CU47" s="296"/>
      <c r="CV47" s="296"/>
      <c r="CW47" s="296"/>
      <c r="CX47" s="296"/>
      <c r="CY47" s="296"/>
      <c r="CZ47" s="296"/>
      <c r="DA47" s="296"/>
      <c r="DB47" s="296"/>
      <c r="DC47" s="296"/>
      <c r="DD47" s="296"/>
      <c r="DE47" s="296"/>
      <c r="DF47" s="296"/>
      <c r="DG47" s="296"/>
      <c r="DH47" s="296"/>
      <c r="DI47" s="296"/>
      <c r="DJ47" s="296"/>
      <c r="DK47" s="296"/>
      <c r="DL47" s="296"/>
      <c r="DM47" s="296"/>
      <c r="DN47" s="296"/>
      <c r="DO47" s="296"/>
      <c r="DP47" s="296"/>
      <c r="DQ47" s="296"/>
      <c r="DR47" s="296"/>
      <c r="DS47" s="296"/>
      <c r="DT47" s="296"/>
      <c r="DU47" s="296"/>
      <c r="DV47" s="296"/>
      <c r="DW47" s="296"/>
      <c r="DX47" s="296"/>
      <c r="DY47" s="296"/>
      <c r="DZ47" s="296"/>
      <c r="EA47" s="296"/>
      <c r="EB47" s="296"/>
      <c r="EC47" s="296"/>
      <c r="ED47" s="296"/>
      <c r="EE47" s="296"/>
      <c r="EF47" s="296"/>
      <c r="EG47" s="296"/>
      <c r="EH47" s="296"/>
      <c r="EI47" s="296"/>
      <c r="EJ47" s="296"/>
      <c r="EK47" s="296"/>
      <c r="EL47" s="296"/>
      <c r="EM47" s="296"/>
      <c r="EN47" s="296"/>
      <c r="EO47" s="296"/>
      <c r="EP47" s="296"/>
      <c r="EQ47" s="296"/>
      <c r="ER47" s="296"/>
      <c r="ES47" s="296"/>
      <c r="ET47" s="296"/>
      <c r="EU47" s="296"/>
      <c r="EV47" s="296"/>
      <c r="EW47" s="296"/>
      <c r="EX47" s="296"/>
      <c r="EY47" s="296"/>
      <c r="EZ47" s="296"/>
      <c r="FA47" s="296"/>
      <c r="FB47" s="296"/>
      <c r="FC47" s="296"/>
      <c r="FD47" s="296"/>
      <c r="FE47" s="297"/>
      <c r="FF47" s="296"/>
      <c r="FG47" s="296"/>
      <c r="FH47" s="296"/>
      <c r="FI47" s="296"/>
      <c r="FJ47" s="296"/>
      <c r="FK47" s="296"/>
      <c r="FL47" s="296"/>
      <c r="FM47" s="296"/>
      <c r="FN47" s="296"/>
      <c r="FO47" s="296"/>
      <c r="FP47" s="296"/>
      <c r="FQ47" s="296"/>
      <c r="FR47" s="296"/>
      <c r="FS47" s="296"/>
      <c r="FT47" s="296"/>
      <c r="FU47" s="296"/>
      <c r="FV47" s="296"/>
      <c r="FW47" s="296"/>
      <c r="FX47" s="296"/>
      <c r="FY47" s="296"/>
      <c r="FZ47" s="296"/>
      <c r="GA47" s="296"/>
      <c r="GB47" s="296"/>
      <c r="GC47" s="296"/>
      <c r="GD47" s="296"/>
      <c r="GE47" s="296"/>
      <c r="GF47" s="296"/>
      <c r="GG47" s="296"/>
      <c r="GH47" s="296"/>
      <c r="GI47" s="296"/>
      <c r="GJ47" s="296"/>
      <c r="GK47" s="296"/>
      <c r="GL47" s="296"/>
      <c r="GM47" s="296"/>
      <c r="GN47" s="296"/>
      <c r="GO47" s="296"/>
      <c r="GP47" s="296"/>
      <c r="GQ47" s="296"/>
      <c r="GR47" s="296"/>
      <c r="GS47" s="296"/>
      <c r="GT47" s="296"/>
      <c r="GU47" s="296"/>
      <c r="GV47" s="296"/>
      <c r="GW47" s="296"/>
      <c r="GX47" s="296"/>
      <c r="GY47" s="296"/>
      <c r="GZ47" s="296"/>
      <c r="HA47" s="296"/>
      <c r="HB47" s="296"/>
      <c r="HC47" s="296"/>
      <c r="HD47" s="296"/>
      <c r="HE47" s="296"/>
      <c r="HF47" s="296"/>
      <c r="HG47" s="296"/>
      <c r="HH47" s="296"/>
      <c r="HI47" s="296"/>
    </row>
    <row r="48" spans="1:217" ht="26.25" customHeight="1">
      <c r="A48" s="150"/>
      <c r="B48" s="150"/>
      <c r="C48" s="347" t="str">
        <f>IF([3]MasterSheet!$A$1=1,[3]MasterSheet!C298,[3]MasterSheet!B298)</f>
        <v>Prava iz oblasti penzijskog i invalidskog osiguranja</v>
      </c>
      <c r="D48" s="319">
        <f>+'[3]Cental Budget_int'!D68+'[3]Local Government_int'!D62</f>
        <v>199416686.40000001</v>
      </c>
      <c r="E48" s="320">
        <f t="shared" si="8"/>
        <v>9.2799425938852451</v>
      </c>
      <c r="F48" s="319">
        <f>+'[3]Cental Budget_int'!F68+'[3]Local Government_int'!F62</f>
        <v>228365332.86000001</v>
      </c>
      <c r="G48" s="320">
        <f t="shared" si="0"/>
        <v>8.5195050498041418</v>
      </c>
      <c r="H48" s="319">
        <f>+'[3]Cental Budget_int'!H68+'[3]Local Government_int'!H62</f>
        <v>250935783.35999998</v>
      </c>
      <c r="I48" s="320">
        <f t="shared" si="1"/>
        <v>8.1324793673839775</v>
      </c>
      <c r="J48" s="319">
        <f>+'[3]Cental Budget_int'!J68+'[3]Local Government_int'!J62</f>
        <v>323500545</v>
      </c>
      <c r="K48" s="320">
        <f t="shared" si="2"/>
        <v>10.852081348540759</v>
      </c>
      <c r="L48" s="319">
        <f>+'[3]Cental Budget_int'!L68+'[3]Local Government_int'!L62</f>
        <v>330972340.54000008</v>
      </c>
      <c r="M48" s="320">
        <f t="shared" si="3"/>
        <v>10.591114897280002</v>
      </c>
      <c r="N48" s="319">
        <f>+'[3]Cental Budget_int'!N68+'[3]Local Government_int'!N62</f>
        <v>356875323.42000002</v>
      </c>
      <c r="O48" s="320">
        <f t="shared" si="4"/>
        <v>10.930331498315468</v>
      </c>
      <c r="P48" s="319">
        <f>+'[3]Cental Budget_int'!P68+'[3]Local Government_int'!P62</f>
        <v>378962096.58999997</v>
      </c>
      <c r="Q48" s="320">
        <f t="shared" si="5"/>
        <v>11.913300741590692</v>
      </c>
      <c r="R48" s="319">
        <f>+'[3]Cental Budget_int'!R68+'[3]Local Government_int'!R62</f>
        <v>383190248.31999987</v>
      </c>
      <c r="S48" s="320">
        <f t="shared" si="9"/>
        <v>11.397687338488991</v>
      </c>
      <c r="T48" s="319">
        <f>+'[3]Cental Budget_int'!T68+'[3]Local Government_int'!T62</f>
        <v>384390842.85000002</v>
      </c>
      <c r="U48" s="320">
        <f t="shared" si="10"/>
        <v>11.116308824720207</v>
      </c>
      <c r="V48" s="319">
        <f>+'[3]Cental Budget_int'!V68+'[3]Local Government_int'!V62</f>
        <v>387038896.73000014</v>
      </c>
      <c r="W48" s="321">
        <f t="shared" si="11"/>
        <v>10.589299500136802</v>
      </c>
      <c r="X48" s="319">
        <f>'Cental Budget'!X68+'Local Government_int'!X62</f>
        <v>390815475.43000001</v>
      </c>
      <c r="Y48" s="320">
        <f t="shared" si="12"/>
        <v>9.8835535741742966</v>
      </c>
      <c r="Z48" s="319">
        <f>'Cental Budget'!Z68+'Local Government_int'!Z62</f>
        <v>401263898.76999998</v>
      </c>
      <c r="AA48" s="320">
        <f t="shared" si="13"/>
        <v>9.4715897266611595</v>
      </c>
      <c r="AB48" s="513"/>
      <c r="AC48" s="513"/>
      <c r="AD48" s="511"/>
      <c r="AE48" s="511"/>
      <c r="AF48" s="511"/>
      <c r="AG48" s="511"/>
      <c r="AH48" s="511"/>
      <c r="AI48" s="511"/>
      <c r="AJ48" s="511"/>
      <c r="AK48" s="511"/>
      <c r="AL48" s="511"/>
      <c r="AM48" s="511"/>
      <c r="AN48" s="511"/>
      <c r="AO48" s="511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6"/>
      <c r="BO48" s="296"/>
      <c r="BP48" s="296"/>
      <c r="BQ48" s="296"/>
      <c r="BR48" s="296"/>
      <c r="BS48" s="296"/>
      <c r="BT48" s="296"/>
      <c r="BU48" s="296"/>
      <c r="BV48" s="296"/>
      <c r="BW48" s="296"/>
      <c r="BX48" s="296"/>
      <c r="BY48" s="296"/>
      <c r="BZ48" s="296"/>
      <c r="CA48" s="296"/>
      <c r="CB48" s="296"/>
      <c r="CC48" s="296"/>
      <c r="CD48" s="296"/>
      <c r="CE48" s="296"/>
      <c r="CF48" s="296"/>
      <c r="CG48" s="296"/>
      <c r="CH48" s="296"/>
      <c r="CI48" s="296"/>
      <c r="CJ48" s="296"/>
      <c r="CK48" s="296"/>
      <c r="CL48" s="296"/>
      <c r="CM48" s="296"/>
      <c r="CN48" s="296"/>
      <c r="CO48" s="296"/>
      <c r="CP48" s="296"/>
      <c r="CQ48" s="296"/>
      <c r="CR48" s="296"/>
      <c r="CS48" s="296"/>
      <c r="CT48" s="296"/>
      <c r="CU48" s="296"/>
      <c r="CV48" s="296"/>
      <c r="CW48" s="296"/>
      <c r="CX48" s="296"/>
      <c r="CY48" s="296"/>
      <c r="CZ48" s="296"/>
      <c r="DA48" s="296"/>
      <c r="DB48" s="296"/>
      <c r="DC48" s="296"/>
      <c r="DD48" s="296"/>
      <c r="DE48" s="296"/>
      <c r="DF48" s="296"/>
      <c r="DG48" s="296"/>
      <c r="DH48" s="296"/>
      <c r="DI48" s="296"/>
      <c r="DJ48" s="296"/>
      <c r="DK48" s="296"/>
      <c r="DL48" s="296"/>
      <c r="DM48" s="296"/>
      <c r="DN48" s="296"/>
      <c r="DO48" s="296"/>
      <c r="DP48" s="296"/>
      <c r="DQ48" s="296"/>
      <c r="DR48" s="296"/>
      <c r="DS48" s="296"/>
      <c r="DT48" s="296"/>
      <c r="DU48" s="296"/>
      <c r="DV48" s="296"/>
      <c r="DW48" s="296"/>
      <c r="DX48" s="296"/>
      <c r="DY48" s="296"/>
      <c r="DZ48" s="296"/>
      <c r="EA48" s="296"/>
      <c r="EB48" s="296"/>
      <c r="EC48" s="296"/>
      <c r="ED48" s="296"/>
      <c r="EE48" s="296"/>
      <c r="EF48" s="296"/>
      <c r="EG48" s="296"/>
      <c r="EH48" s="296"/>
      <c r="EI48" s="296"/>
      <c r="EJ48" s="296"/>
      <c r="EK48" s="296"/>
      <c r="EL48" s="296"/>
      <c r="EM48" s="296"/>
      <c r="EN48" s="296"/>
      <c r="EO48" s="296"/>
      <c r="EP48" s="296"/>
      <c r="EQ48" s="296"/>
      <c r="ER48" s="296"/>
      <c r="ES48" s="296"/>
      <c r="ET48" s="296"/>
      <c r="EU48" s="296"/>
      <c r="EV48" s="296"/>
      <c r="EW48" s="296"/>
      <c r="EX48" s="296"/>
      <c r="EY48" s="296"/>
      <c r="EZ48" s="296"/>
      <c r="FA48" s="296"/>
      <c r="FB48" s="296"/>
      <c r="FC48" s="296"/>
      <c r="FD48" s="296"/>
      <c r="FE48" s="297"/>
      <c r="FF48" s="296"/>
      <c r="FG48" s="296"/>
      <c r="FH48" s="296"/>
      <c r="FI48" s="296"/>
      <c r="FJ48" s="296"/>
      <c r="FK48" s="296"/>
      <c r="FL48" s="296"/>
      <c r="FM48" s="296"/>
      <c r="FN48" s="296"/>
      <c r="FO48" s="296"/>
      <c r="FP48" s="296"/>
      <c r="FQ48" s="296"/>
      <c r="FR48" s="296"/>
      <c r="FS48" s="296"/>
      <c r="FT48" s="296"/>
      <c r="FU48" s="296"/>
      <c r="FV48" s="296"/>
      <c r="FW48" s="296"/>
      <c r="FX48" s="296"/>
      <c r="FY48" s="296"/>
      <c r="FZ48" s="296"/>
      <c r="GA48" s="296"/>
      <c r="GB48" s="296"/>
      <c r="GC48" s="296"/>
      <c r="GD48" s="296"/>
      <c r="GE48" s="296"/>
      <c r="GF48" s="296"/>
      <c r="GG48" s="296"/>
      <c r="GH48" s="296"/>
      <c r="GI48" s="296"/>
      <c r="GJ48" s="296"/>
      <c r="GK48" s="296"/>
      <c r="GL48" s="296"/>
      <c r="GM48" s="296"/>
      <c r="GN48" s="296"/>
      <c r="GO48" s="296"/>
      <c r="GP48" s="296"/>
      <c r="GQ48" s="296"/>
      <c r="GR48" s="296"/>
      <c r="GS48" s="296"/>
      <c r="GT48" s="296"/>
      <c r="GU48" s="296"/>
      <c r="GV48" s="296"/>
      <c r="GW48" s="296"/>
      <c r="GX48" s="296"/>
      <c r="GY48" s="296"/>
      <c r="GZ48" s="296"/>
      <c r="HA48" s="296"/>
      <c r="HB48" s="296"/>
      <c r="HC48" s="296"/>
      <c r="HD48" s="296"/>
      <c r="HE48" s="296"/>
      <c r="HF48" s="296"/>
      <c r="HG48" s="296"/>
      <c r="HH48" s="296"/>
      <c r="HI48" s="296"/>
    </row>
    <row r="49" spans="1:217" ht="16.5" customHeight="1">
      <c r="A49" s="150"/>
      <c r="B49" s="150"/>
      <c r="C49" s="347" t="str">
        <f>IF([3]MasterSheet!$A$1=1,[3]MasterSheet!C299,[3]MasterSheet!B299)</f>
        <v>Ostala prava iz oblasti zdravstvene zaštite</v>
      </c>
      <c r="D49" s="319">
        <f>+'[3]Cental Budget_int'!D69+'[3]Local Government_int'!D63</f>
        <v>10828245</v>
      </c>
      <c r="E49" s="320">
        <f t="shared" si="8"/>
        <v>0.50389711014937877</v>
      </c>
      <c r="F49" s="319">
        <f>+'[3]Cental Budget_int'!F69+'[3]Local Government_int'!F63</f>
        <v>12762198</v>
      </c>
      <c r="G49" s="320">
        <f t="shared" si="0"/>
        <v>0.47611259093452718</v>
      </c>
      <c r="H49" s="319">
        <f>+'[3]Cental Budget_int'!H69+'[3]Local Government_int'!H63</f>
        <v>15724080</v>
      </c>
      <c r="I49" s="320">
        <f t="shared" si="1"/>
        <v>0.50959554057557688</v>
      </c>
      <c r="J49" s="319">
        <f>+'[3]Cental Budget_int'!J69+'[3]Local Government_int'!J63</f>
        <v>14442818</v>
      </c>
      <c r="K49" s="320">
        <f t="shared" si="2"/>
        <v>0.48449573968466958</v>
      </c>
      <c r="L49" s="319">
        <f>+'[3]Cental Budget_int'!L69+'[3]Local Government_int'!L63</f>
        <v>12638749.91</v>
      </c>
      <c r="M49" s="320">
        <f t="shared" si="3"/>
        <v>0.40443999712000006</v>
      </c>
      <c r="N49" s="319">
        <f>+'[3]Cental Budget_int'!N69+'[3]Local Government_int'!N63</f>
        <v>12978814.83</v>
      </c>
      <c r="O49" s="320">
        <f t="shared" si="4"/>
        <v>0.39751347105666157</v>
      </c>
      <c r="P49" s="319">
        <f>+'[3]Cental Budget_int'!P69+'[3]Local Government_int'!P63</f>
        <v>13497405.869999999</v>
      </c>
      <c r="Q49" s="320">
        <f t="shared" si="5"/>
        <v>0.42431329361835901</v>
      </c>
      <c r="R49" s="319">
        <f>+'[3]Cental Budget_int'!R69+'[3]Local Government_int'!R63</f>
        <v>14792096.089999998</v>
      </c>
      <c r="S49" s="320">
        <f t="shared" si="9"/>
        <v>0.43997906276026172</v>
      </c>
      <c r="T49" s="319">
        <f>+'[3]Cental Budget_int'!T69+'[3]Local Government_int'!T63</f>
        <v>15215135.74</v>
      </c>
      <c r="U49" s="320">
        <f t="shared" si="10"/>
        <v>0.44001086613262386</v>
      </c>
      <c r="V49" s="319">
        <f>+'[3]Cental Budget_int'!V69+'[3]Local Government_int'!V63</f>
        <v>14449999.999999998</v>
      </c>
      <c r="W49" s="321">
        <f t="shared" si="11"/>
        <v>0.39534883720930231</v>
      </c>
      <c r="X49" s="319">
        <f>'Cental Budget'!X69+'Local Government_int'!X63</f>
        <v>16279749.999999996</v>
      </c>
      <c r="Y49" s="320">
        <f t="shared" si="12"/>
        <v>0.41170780435992099</v>
      </c>
      <c r="Z49" s="319">
        <f>'Cental Budget'!Z69+'Local Government_int'!Z63</f>
        <v>16489379.109999999</v>
      </c>
      <c r="AA49" s="320">
        <f t="shared" si="13"/>
        <v>0.38922174224005662</v>
      </c>
      <c r="AB49" s="513"/>
      <c r="AC49" s="513"/>
      <c r="AD49" s="511"/>
      <c r="AE49" s="511"/>
      <c r="AF49" s="511"/>
      <c r="AG49" s="511"/>
      <c r="AH49" s="511"/>
      <c r="AI49" s="511"/>
      <c r="AJ49" s="511"/>
      <c r="AK49" s="511"/>
      <c r="AL49" s="511"/>
      <c r="AM49" s="511"/>
      <c r="AN49" s="511"/>
      <c r="AO49" s="511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6"/>
      <c r="BO49" s="296"/>
      <c r="BP49" s="296"/>
      <c r="BQ49" s="296"/>
      <c r="BR49" s="296"/>
      <c r="BS49" s="296"/>
      <c r="BT49" s="296"/>
      <c r="BU49" s="296"/>
      <c r="BV49" s="296"/>
      <c r="BW49" s="296"/>
      <c r="BX49" s="296"/>
      <c r="BY49" s="296"/>
      <c r="BZ49" s="296"/>
      <c r="CA49" s="296"/>
      <c r="CB49" s="296"/>
      <c r="CC49" s="296"/>
      <c r="CD49" s="296"/>
      <c r="CE49" s="296"/>
      <c r="CF49" s="296"/>
      <c r="CG49" s="296"/>
      <c r="CH49" s="296"/>
      <c r="CI49" s="296"/>
      <c r="CJ49" s="296"/>
      <c r="CK49" s="296"/>
      <c r="CL49" s="296"/>
      <c r="CM49" s="296"/>
      <c r="CN49" s="296"/>
      <c r="CO49" s="296"/>
      <c r="CP49" s="296"/>
      <c r="CQ49" s="296"/>
      <c r="CR49" s="296"/>
      <c r="CS49" s="296"/>
      <c r="CT49" s="296"/>
      <c r="CU49" s="296"/>
      <c r="CV49" s="296"/>
      <c r="CW49" s="296"/>
      <c r="CX49" s="296"/>
      <c r="CY49" s="296"/>
      <c r="CZ49" s="296"/>
      <c r="DA49" s="296"/>
      <c r="DB49" s="296"/>
      <c r="DC49" s="296"/>
      <c r="DD49" s="296"/>
      <c r="DE49" s="296"/>
      <c r="DF49" s="296"/>
      <c r="DG49" s="296"/>
      <c r="DH49" s="296"/>
      <c r="DI49" s="296"/>
      <c r="DJ49" s="296"/>
      <c r="DK49" s="296"/>
      <c r="DL49" s="296"/>
      <c r="DM49" s="296"/>
      <c r="DN49" s="296"/>
      <c r="DO49" s="296"/>
      <c r="DP49" s="296"/>
      <c r="DQ49" s="296"/>
      <c r="DR49" s="296"/>
      <c r="DS49" s="296"/>
      <c r="DT49" s="296"/>
      <c r="DU49" s="296"/>
      <c r="DV49" s="296"/>
      <c r="DW49" s="296"/>
      <c r="DX49" s="296"/>
      <c r="DY49" s="296"/>
      <c r="DZ49" s="296"/>
      <c r="EA49" s="296"/>
      <c r="EB49" s="296"/>
      <c r="EC49" s="296"/>
      <c r="ED49" s="296"/>
      <c r="EE49" s="296"/>
      <c r="EF49" s="296"/>
      <c r="EG49" s="296"/>
      <c r="EH49" s="296"/>
      <c r="EI49" s="296"/>
      <c r="EJ49" s="296"/>
      <c r="EK49" s="296"/>
      <c r="EL49" s="296"/>
      <c r="EM49" s="296"/>
      <c r="EN49" s="296"/>
      <c r="EO49" s="296"/>
      <c r="EP49" s="296"/>
      <c r="EQ49" s="296"/>
      <c r="ER49" s="296"/>
      <c r="ES49" s="296"/>
      <c r="ET49" s="296"/>
      <c r="EU49" s="296"/>
      <c r="EV49" s="296"/>
      <c r="EW49" s="296"/>
      <c r="EX49" s="296"/>
      <c r="EY49" s="296"/>
      <c r="EZ49" s="296"/>
      <c r="FA49" s="296"/>
      <c r="FB49" s="296"/>
      <c r="FC49" s="296"/>
      <c r="FD49" s="296"/>
      <c r="FE49" s="297"/>
      <c r="FF49" s="296"/>
      <c r="FG49" s="296"/>
      <c r="FH49" s="296"/>
      <c r="FI49" s="296"/>
      <c r="FJ49" s="296"/>
      <c r="FK49" s="296"/>
      <c r="FL49" s="296"/>
      <c r="FM49" s="296"/>
      <c r="FN49" s="296"/>
      <c r="FO49" s="296"/>
      <c r="FP49" s="296"/>
      <c r="FQ49" s="296"/>
      <c r="FR49" s="296"/>
      <c r="FS49" s="296"/>
      <c r="FT49" s="296"/>
      <c r="FU49" s="296"/>
      <c r="FV49" s="296"/>
      <c r="FW49" s="296"/>
      <c r="FX49" s="296"/>
      <c r="FY49" s="296"/>
      <c r="FZ49" s="296"/>
      <c r="GA49" s="296"/>
      <c r="GB49" s="296"/>
      <c r="GC49" s="296"/>
      <c r="GD49" s="296"/>
      <c r="GE49" s="296"/>
      <c r="GF49" s="296"/>
      <c r="GG49" s="296"/>
      <c r="GH49" s="296"/>
      <c r="GI49" s="296"/>
      <c r="GJ49" s="296"/>
      <c r="GK49" s="296"/>
      <c r="GL49" s="296"/>
      <c r="GM49" s="296"/>
      <c r="GN49" s="296"/>
      <c r="GO49" s="296"/>
      <c r="GP49" s="296"/>
      <c r="GQ49" s="296"/>
      <c r="GR49" s="296"/>
      <c r="GS49" s="296"/>
      <c r="GT49" s="296"/>
      <c r="GU49" s="296"/>
      <c r="GV49" s="296"/>
      <c r="GW49" s="296"/>
      <c r="GX49" s="296"/>
      <c r="GY49" s="296"/>
      <c r="GZ49" s="296"/>
      <c r="HA49" s="296"/>
      <c r="HB49" s="296"/>
      <c r="HC49" s="296"/>
      <c r="HD49" s="296"/>
      <c r="HE49" s="296"/>
      <c r="HF49" s="296"/>
      <c r="HG49" s="296"/>
      <c r="HH49" s="296"/>
      <c r="HI49" s="296"/>
    </row>
    <row r="50" spans="1:217" ht="30" customHeight="1">
      <c r="A50" s="150"/>
      <c r="B50" s="150"/>
      <c r="C50" s="347" t="str">
        <f>IF([3]MasterSheet!$A$1=1,[3]MasterSheet!C300,[3]MasterSheet!B300)</f>
        <v>Ostala prava iz oblasti zdravstvenog osiguranja</v>
      </c>
      <c r="D50" s="319">
        <f>+'[3]Cental Budget_int'!D70+'[3]Local Government_int'!D64</f>
        <v>5651577</v>
      </c>
      <c r="E50" s="320">
        <f t="shared" si="8"/>
        <v>0.26299860393689795</v>
      </c>
      <c r="F50" s="319">
        <f>+'[3]Cental Budget_int'!F70+'[3]Local Government_int'!F64</f>
        <v>6775917</v>
      </c>
      <c r="G50" s="320">
        <f t="shared" si="0"/>
        <v>0.25278556239507555</v>
      </c>
      <c r="H50" s="319">
        <f>+'[3]Cental Budget_int'!H70+'[3]Local Government_int'!H64</f>
        <v>7567643</v>
      </c>
      <c r="I50" s="320">
        <f t="shared" si="1"/>
        <v>0.24525677339901478</v>
      </c>
      <c r="J50" s="319">
        <f>+'[3]Cental Budget_int'!J70+'[3]Local Government_int'!J64</f>
        <v>7707976</v>
      </c>
      <c r="K50" s="320">
        <f t="shared" si="2"/>
        <v>0.258570144246897</v>
      </c>
      <c r="L50" s="319">
        <f>+'[3]Cental Budget_int'!L70+'[3]Local Government_int'!L64</f>
        <v>7871886.5700000003</v>
      </c>
      <c r="M50" s="320">
        <f t="shared" si="3"/>
        <v>0.25190037024</v>
      </c>
      <c r="N50" s="319">
        <f>+'[3]Cental Budget_int'!N70+'[3]Local Government_int'!N64</f>
        <v>8254170.3099999996</v>
      </c>
      <c r="O50" s="320">
        <f t="shared" si="4"/>
        <v>0.25280766646248087</v>
      </c>
      <c r="P50" s="319">
        <f>+'[3]Cental Budget_int'!P70+'[3]Local Government_int'!P64</f>
        <v>7855049.4100000001</v>
      </c>
      <c r="Q50" s="320">
        <f t="shared" si="5"/>
        <v>0.24693647940899088</v>
      </c>
      <c r="R50" s="319">
        <f>+'[3]Cental Budget_int'!R70+'[3]Local Government_int'!R64</f>
        <v>7862525.3600000013</v>
      </c>
      <c r="S50" s="320">
        <f t="shared" si="9"/>
        <v>0.23386452587745393</v>
      </c>
      <c r="T50" s="319">
        <f>+'[3]Cental Budget_int'!T70+'[3]Local Government_int'!T64</f>
        <v>8089340.1100000003</v>
      </c>
      <c r="U50" s="320">
        <f t="shared" si="10"/>
        <v>0.23393794239278176</v>
      </c>
      <c r="V50" s="319">
        <f>+'[3]Cental Budget_int'!V70+'[3]Local Government_int'!V64</f>
        <v>8061542.0699999994</v>
      </c>
      <c r="W50" s="321">
        <f t="shared" si="11"/>
        <v>0.22056202653898768</v>
      </c>
      <c r="X50" s="319">
        <f>'Cental Budget'!X70+'Local Government_int'!X64</f>
        <v>11264776.57</v>
      </c>
      <c r="Y50" s="320">
        <f t="shared" si="12"/>
        <v>0.28488130519447674</v>
      </c>
      <c r="Z50" s="319">
        <f>'Cental Budget'!Z70+'Local Government_int'!Z64</f>
        <v>8624286.790000001</v>
      </c>
      <c r="AA50" s="320">
        <f t="shared" si="13"/>
        <v>0.20357103245603686</v>
      </c>
      <c r="AB50" s="513"/>
      <c r="AC50" s="513"/>
      <c r="AD50" s="511"/>
      <c r="AE50" s="511"/>
      <c r="AF50" s="511"/>
      <c r="AG50" s="511"/>
      <c r="AH50" s="511"/>
      <c r="AI50" s="511"/>
      <c r="AJ50" s="511"/>
      <c r="AK50" s="511"/>
      <c r="AL50" s="511"/>
      <c r="AM50" s="511"/>
      <c r="AN50" s="511"/>
      <c r="AO50" s="511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6"/>
      <c r="BP50" s="296"/>
      <c r="BQ50" s="296"/>
      <c r="BR50" s="296"/>
      <c r="BS50" s="296"/>
      <c r="BT50" s="296"/>
      <c r="BU50" s="296"/>
      <c r="BV50" s="296"/>
      <c r="BW50" s="296"/>
      <c r="BX50" s="296"/>
      <c r="BY50" s="296"/>
      <c r="BZ50" s="296"/>
      <c r="CA50" s="296"/>
      <c r="CB50" s="296"/>
      <c r="CC50" s="296"/>
      <c r="CD50" s="296"/>
      <c r="CE50" s="296"/>
      <c r="CF50" s="296"/>
      <c r="CG50" s="296"/>
      <c r="CH50" s="296"/>
      <c r="CI50" s="296"/>
      <c r="CJ50" s="296"/>
      <c r="CK50" s="296"/>
      <c r="CL50" s="296"/>
      <c r="CM50" s="296"/>
      <c r="CN50" s="296"/>
      <c r="CO50" s="296"/>
      <c r="CP50" s="296"/>
      <c r="CQ50" s="296"/>
      <c r="CR50" s="296"/>
      <c r="CS50" s="296"/>
      <c r="CT50" s="296"/>
      <c r="CU50" s="296"/>
      <c r="CV50" s="296"/>
      <c r="CW50" s="296"/>
      <c r="CX50" s="296"/>
      <c r="CY50" s="296"/>
      <c r="CZ50" s="296"/>
      <c r="DA50" s="296"/>
      <c r="DB50" s="296"/>
      <c r="DC50" s="296"/>
      <c r="DD50" s="296"/>
      <c r="DE50" s="296"/>
      <c r="DF50" s="296"/>
      <c r="DG50" s="296"/>
      <c r="DH50" s="296"/>
      <c r="DI50" s="296"/>
      <c r="DJ50" s="296"/>
      <c r="DK50" s="296"/>
      <c r="DL50" s="296"/>
      <c r="DM50" s="296"/>
      <c r="DN50" s="296"/>
      <c r="DO50" s="296"/>
      <c r="DP50" s="296"/>
      <c r="DQ50" s="296"/>
      <c r="DR50" s="296"/>
      <c r="DS50" s="296"/>
      <c r="DT50" s="296"/>
      <c r="DU50" s="296"/>
      <c r="DV50" s="296"/>
      <c r="DW50" s="296"/>
      <c r="DX50" s="296"/>
      <c r="DY50" s="296"/>
      <c r="DZ50" s="296"/>
      <c r="EA50" s="296"/>
      <c r="EB50" s="296"/>
      <c r="EC50" s="296"/>
      <c r="ED50" s="296"/>
      <c r="EE50" s="296"/>
      <c r="EF50" s="296"/>
      <c r="EG50" s="296"/>
      <c r="EH50" s="296"/>
      <c r="EI50" s="296"/>
      <c r="EJ50" s="296"/>
      <c r="EK50" s="296"/>
      <c r="EL50" s="296"/>
      <c r="EM50" s="296"/>
      <c r="EN50" s="296"/>
      <c r="EO50" s="296"/>
      <c r="EP50" s="296"/>
      <c r="EQ50" s="296"/>
      <c r="ER50" s="296"/>
      <c r="ES50" s="296"/>
      <c r="ET50" s="296"/>
      <c r="EU50" s="296"/>
      <c r="EV50" s="296"/>
      <c r="EW50" s="296"/>
      <c r="EX50" s="296"/>
      <c r="EY50" s="296"/>
      <c r="EZ50" s="296"/>
      <c r="FA50" s="296"/>
      <c r="FB50" s="296"/>
      <c r="FC50" s="296"/>
      <c r="FD50" s="296"/>
      <c r="FE50" s="297"/>
      <c r="FF50" s="296"/>
      <c r="FG50" s="296"/>
      <c r="FH50" s="296"/>
      <c r="FI50" s="296"/>
      <c r="FJ50" s="296"/>
      <c r="FK50" s="296"/>
      <c r="FL50" s="296"/>
      <c r="FM50" s="296"/>
      <c r="FN50" s="296"/>
      <c r="FO50" s="296"/>
      <c r="FP50" s="296"/>
      <c r="FQ50" s="296"/>
      <c r="FR50" s="296"/>
      <c r="FS50" s="296"/>
      <c r="FT50" s="296"/>
      <c r="FU50" s="296"/>
      <c r="FV50" s="296"/>
      <c r="FW50" s="296"/>
      <c r="FX50" s="296"/>
      <c r="FY50" s="296"/>
      <c r="FZ50" s="296"/>
      <c r="GA50" s="296"/>
      <c r="GB50" s="296"/>
      <c r="GC50" s="296"/>
      <c r="GD50" s="296"/>
      <c r="GE50" s="296"/>
      <c r="GF50" s="296"/>
      <c r="GG50" s="296"/>
      <c r="GH50" s="296"/>
      <c r="GI50" s="296"/>
      <c r="GJ50" s="296"/>
      <c r="GK50" s="296"/>
      <c r="GL50" s="296"/>
      <c r="GM50" s="296"/>
      <c r="GN50" s="296"/>
      <c r="GO50" s="296"/>
      <c r="GP50" s="296"/>
      <c r="GQ50" s="296"/>
      <c r="GR50" s="296"/>
      <c r="GS50" s="296"/>
      <c r="GT50" s="296"/>
      <c r="GU50" s="296"/>
      <c r="GV50" s="296"/>
      <c r="GW50" s="296"/>
      <c r="GX50" s="296"/>
      <c r="GY50" s="296"/>
      <c r="GZ50" s="296"/>
      <c r="HA50" s="296"/>
      <c r="HB50" s="296"/>
      <c r="HC50" s="296"/>
      <c r="HD50" s="296"/>
      <c r="HE50" s="296"/>
      <c r="HF50" s="296"/>
      <c r="HG50" s="296"/>
      <c r="HH50" s="296"/>
      <c r="HI50" s="296"/>
    </row>
    <row r="51" spans="1:217" ht="15" customHeight="1" thickBot="1">
      <c r="A51" s="150"/>
      <c r="B51" s="150"/>
      <c r="C51" s="348" t="str">
        <f>IF([3]MasterSheet!$A$1=1,[3]MasterSheet!C301,[3]MasterSheet!B301)</f>
        <v>Transferi instit. pojed. NVO i javnom sektoru</v>
      </c>
      <c r="D51" s="327">
        <v>58051126.109999999</v>
      </c>
      <c r="E51" s="328">
        <f t="shared" si="8"/>
        <v>2.7014345064916934</v>
      </c>
      <c r="F51" s="327">
        <v>81160839.179999992</v>
      </c>
      <c r="G51" s="328">
        <f t="shared" si="0"/>
        <v>3.0278246289871289</v>
      </c>
      <c r="H51" s="327">
        <v>237979077.30000001</v>
      </c>
      <c r="I51" s="328">
        <f t="shared" si="1"/>
        <v>7.7125705632616031</v>
      </c>
      <c r="J51" s="327">
        <v>233968241.81999999</v>
      </c>
      <c r="K51" s="328">
        <f t="shared" si="2"/>
        <v>7.8486495075478029</v>
      </c>
      <c r="L51" s="327">
        <v>201843276.85000002</v>
      </c>
      <c r="M51" s="328">
        <f t="shared" si="3"/>
        <v>6.458984859200001</v>
      </c>
      <c r="N51" s="327">
        <v>112817813.70999999</v>
      </c>
      <c r="O51" s="328">
        <f t="shared" si="4"/>
        <v>3.4553694857580397</v>
      </c>
      <c r="P51" s="327">
        <v>63605735.049999997</v>
      </c>
      <c r="Q51" s="328">
        <f t="shared" si="5"/>
        <v>1.9995515576862621</v>
      </c>
      <c r="R51" s="327">
        <v>122038341.09</v>
      </c>
      <c r="S51" s="328">
        <f t="shared" si="9"/>
        <v>3.6299328105294468</v>
      </c>
      <c r="T51" s="327">
        <v>134538376.56999999</v>
      </c>
      <c r="U51" s="328">
        <f t="shared" si="10"/>
        <v>3.8907538265999597</v>
      </c>
      <c r="V51" s="327">
        <v>174040857.18000007</v>
      </c>
      <c r="W51" s="329">
        <f t="shared" si="11"/>
        <v>4.7617197586867324</v>
      </c>
      <c r="X51" s="327">
        <v>213172214.00999999</v>
      </c>
      <c r="Y51" s="328">
        <f t="shared" si="12"/>
        <v>5.3910326743715542</v>
      </c>
      <c r="Z51" s="327">
        <v>212760459.06</v>
      </c>
      <c r="AA51" s="328">
        <f t="shared" si="13"/>
        <v>5.0220809408710023</v>
      </c>
      <c r="AB51" s="513"/>
      <c r="AC51" s="513"/>
      <c r="AD51" s="511"/>
      <c r="AE51" s="511"/>
      <c r="AF51" s="511"/>
      <c r="AG51" s="511"/>
      <c r="AH51" s="511"/>
      <c r="AI51" s="511"/>
      <c r="AJ51" s="511"/>
      <c r="AK51" s="511"/>
      <c r="AL51" s="511"/>
      <c r="AM51" s="511"/>
      <c r="AN51" s="511"/>
      <c r="AO51" s="511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6"/>
      <c r="BP51" s="296"/>
      <c r="BQ51" s="296"/>
      <c r="BR51" s="296"/>
      <c r="BS51" s="296"/>
      <c r="BT51" s="296"/>
      <c r="BU51" s="296"/>
      <c r="BV51" s="296"/>
      <c r="BW51" s="296"/>
      <c r="BX51" s="296"/>
      <c r="BY51" s="296"/>
      <c r="BZ51" s="296"/>
      <c r="CA51" s="296"/>
      <c r="CB51" s="296"/>
      <c r="CC51" s="296"/>
      <c r="CD51" s="296"/>
      <c r="CE51" s="296"/>
      <c r="CF51" s="296"/>
      <c r="CG51" s="296"/>
      <c r="CH51" s="296"/>
      <c r="CI51" s="296"/>
      <c r="CJ51" s="296"/>
      <c r="CK51" s="296"/>
      <c r="CL51" s="296"/>
      <c r="CM51" s="296"/>
      <c r="CN51" s="296"/>
      <c r="CO51" s="296"/>
      <c r="CP51" s="296"/>
      <c r="CQ51" s="296"/>
      <c r="CR51" s="296"/>
      <c r="CS51" s="296"/>
      <c r="CT51" s="296"/>
      <c r="CU51" s="296"/>
      <c r="CV51" s="296"/>
      <c r="CW51" s="296"/>
      <c r="CX51" s="296"/>
      <c r="CY51" s="296"/>
      <c r="CZ51" s="296"/>
      <c r="DA51" s="296"/>
      <c r="DB51" s="296"/>
      <c r="DC51" s="296"/>
      <c r="DD51" s="296"/>
      <c r="DE51" s="296"/>
      <c r="DF51" s="296"/>
      <c r="DG51" s="296"/>
      <c r="DH51" s="296"/>
      <c r="DI51" s="296"/>
      <c r="DJ51" s="296"/>
      <c r="DK51" s="296"/>
      <c r="DL51" s="296"/>
      <c r="DM51" s="296"/>
      <c r="DN51" s="296"/>
      <c r="DO51" s="296"/>
      <c r="DP51" s="296"/>
      <c r="DQ51" s="296"/>
      <c r="DR51" s="296"/>
      <c r="DS51" s="296"/>
      <c r="DT51" s="296"/>
      <c r="DU51" s="296"/>
      <c r="DV51" s="296"/>
      <c r="DW51" s="296"/>
      <c r="DX51" s="296"/>
      <c r="DY51" s="296"/>
      <c r="DZ51" s="296"/>
      <c r="EA51" s="296"/>
      <c r="EB51" s="296"/>
      <c r="EC51" s="296"/>
      <c r="ED51" s="296"/>
      <c r="EE51" s="296"/>
      <c r="EF51" s="296"/>
      <c r="EG51" s="296"/>
      <c r="EH51" s="296"/>
      <c r="EI51" s="296"/>
      <c r="EJ51" s="296"/>
      <c r="EK51" s="296"/>
      <c r="EL51" s="296"/>
      <c r="EM51" s="296"/>
      <c r="EN51" s="296"/>
      <c r="EO51" s="296"/>
      <c r="EP51" s="296"/>
      <c r="EQ51" s="296"/>
      <c r="ER51" s="296"/>
      <c r="ES51" s="296"/>
      <c r="ET51" s="296"/>
      <c r="EU51" s="312"/>
      <c r="EV51" s="296"/>
      <c r="EW51" s="312"/>
      <c r="EX51" s="296"/>
      <c r="EY51" s="296"/>
      <c r="EZ51" s="296"/>
      <c r="FA51" s="296"/>
      <c r="FB51" s="296"/>
      <c r="FC51" s="296"/>
      <c r="FD51" s="296"/>
      <c r="FE51" s="297"/>
      <c r="FF51" s="296"/>
      <c r="FG51" s="296"/>
      <c r="FH51" s="296"/>
      <c r="FI51" s="296"/>
      <c r="FJ51" s="296"/>
      <c r="FK51" s="296"/>
      <c r="FL51" s="296"/>
      <c r="FM51" s="296"/>
      <c r="FN51" s="296"/>
      <c r="FO51" s="296"/>
      <c r="FP51" s="296"/>
      <c r="FQ51" s="296"/>
      <c r="FR51" s="296"/>
      <c r="FS51" s="296"/>
      <c r="FT51" s="296"/>
      <c r="FU51" s="296"/>
      <c r="FV51" s="296"/>
      <c r="FW51" s="296"/>
      <c r="FX51" s="296"/>
      <c r="FY51" s="296"/>
      <c r="FZ51" s="296"/>
      <c r="GA51" s="296"/>
      <c r="GB51" s="296"/>
      <c r="GC51" s="296"/>
      <c r="GD51" s="296"/>
      <c r="GE51" s="296"/>
      <c r="GF51" s="296"/>
      <c r="GG51" s="296"/>
      <c r="GH51" s="296"/>
      <c r="GI51" s="296"/>
      <c r="GJ51" s="296"/>
      <c r="GK51" s="296"/>
      <c r="GL51" s="296"/>
      <c r="GM51" s="296"/>
      <c r="GN51" s="296"/>
      <c r="GO51" s="296"/>
      <c r="GP51" s="296"/>
      <c r="GQ51" s="296"/>
      <c r="GR51" s="296"/>
      <c r="GS51" s="296"/>
      <c r="GT51" s="296"/>
      <c r="GU51" s="296"/>
      <c r="GV51" s="296"/>
      <c r="GW51" s="296"/>
      <c r="GX51" s="296"/>
      <c r="GY51" s="296"/>
      <c r="GZ51" s="296"/>
      <c r="HA51" s="296"/>
      <c r="HB51" s="296"/>
      <c r="HC51" s="296"/>
      <c r="HD51" s="296"/>
      <c r="HE51" s="296"/>
      <c r="HF51" s="296"/>
      <c r="HG51" s="296"/>
      <c r="HH51" s="296"/>
      <c r="HI51" s="296"/>
    </row>
    <row r="52" spans="1:217" s="346" customFormat="1" ht="15" customHeight="1" thickTop="1" thickBot="1">
      <c r="A52" s="150"/>
      <c r="B52" s="150"/>
      <c r="C52" s="351" t="str">
        <f>IF([3]MasterSheet!$A$1=1,[3]MasterSheet!C306,[3]MasterSheet!B306)</f>
        <v>Kapitalni budžet</v>
      </c>
      <c r="D52" s="352">
        <f>SUM(D53:D54)</f>
        <v>56911483.659999996</v>
      </c>
      <c r="E52" s="353">
        <f t="shared" ref="E52:E69" si="14">+D52/$D$9*100</f>
        <v>2.6484007473591138</v>
      </c>
      <c r="F52" s="352">
        <f>SUM(F53:F54)</f>
        <v>187361387.42000002</v>
      </c>
      <c r="G52" s="353">
        <f t="shared" ref="G52:G69" si="15">+F52/$F$9*100</f>
        <v>6.9897924797612392</v>
      </c>
      <c r="H52" s="352">
        <f>SUM(H53:H54)</f>
        <v>239771968.49999994</v>
      </c>
      <c r="I52" s="353">
        <f t="shared" ref="I52:I69" si="16">+H52/$H$9*100</f>
        <v>7.7706756708581777</v>
      </c>
      <c r="J52" s="352">
        <f>SUM(J53:J54)</f>
        <v>224699856.63999999</v>
      </c>
      <c r="K52" s="353">
        <f t="shared" ref="K52:K69" si="17">+J52/$J$9*100</f>
        <v>7.5377342046293192</v>
      </c>
      <c r="L52" s="352">
        <f>SUM(L53:L54)</f>
        <v>146400368.81</v>
      </c>
      <c r="M52" s="353">
        <f t="shared" ref="M52:M69" si="18">+L52/$L$9*100</f>
        <v>4.6848118019200005</v>
      </c>
      <c r="N52" s="352">
        <f>SUM(N53:N54)</f>
        <v>118584862.46000001</v>
      </c>
      <c r="O52" s="353">
        <f t="shared" ref="O52:O69" si="19">+N52/$N$9*100</f>
        <v>3.6320019130168455</v>
      </c>
      <c r="P52" s="352">
        <f>SUM(P53:P54)</f>
        <v>107054678.06999999</v>
      </c>
      <c r="Q52" s="353">
        <f t="shared" ref="Q52:Q71" si="20">+P52/P$9*100</f>
        <v>3.3654409955988682</v>
      </c>
      <c r="R52" s="352">
        <f>SUM(R53:R54)</f>
        <v>124386769.61000001</v>
      </c>
      <c r="S52" s="353">
        <f t="shared" si="9"/>
        <v>3.699784937834623</v>
      </c>
      <c r="T52" s="352">
        <f>SUM(T53:T54)</f>
        <v>117106492.81</v>
      </c>
      <c r="U52" s="353">
        <f t="shared" si="10"/>
        <v>3.386636189884034</v>
      </c>
      <c r="V52" s="352">
        <f>SUM(V53:V54)</f>
        <v>268135951.47</v>
      </c>
      <c r="W52" s="354">
        <f t="shared" si="11"/>
        <v>7.3361409430916558</v>
      </c>
      <c r="X52" s="352">
        <f>SUM(X53:X54)</f>
        <v>105855270.84</v>
      </c>
      <c r="Y52" s="353">
        <f t="shared" ref="Y52:Y62" si="21">+X52/X$9*100</f>
        <v>2.6770338081027769</v>
      </c>
      <c r="Z52" s="352">
        <f>SUM(Z53:Z54)</f>
        <v>298000403.07999998</v>
      </c>
      <c r="AA52" s="353">
        <f t="shared" ref="AA52:AA71" si="22">+Z52/Z$9*100</f>
        <v>7.0341178586097008</v>
      </c>
      <c r="AB52" s="513"/>
      <c r="AC52" s="513"/>
      <c r="AD52" s="511"/>
      <c r="AE52" s="511"/>
      <c r="AF52" s="511"/>
      <c r="AG52" s="511"/>
      <c r="AH52" s="511"/>
      <c r="AI52" s="511"/>
      <c r="AJ52" s="511"/>
      <c r="AK52" s="511"/>
      <c r="AL52" s="511"/>
      <c r="AM52" s="511"/>
      <c r="AN52" s="511"/>
      <c r="AO52" s="511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6"/>
      <c r="BP52" s="296"/>
      <c r="BQ52" s="296"/>
      <c r="BR52" s="296"/>
      <c r="BS52" s="296"/>
      <c r="BT52" s="296"/>
      <c r="BU52" s="296"/>
      <c r="BV52" s="296"/>
      <c r="BW52" s="296"/>
      <c r="BX52" s="296"/>
      <c r="BY52" s="296"/>
      <c r="BZ52" s="296"/>
      <c r="CA52" s="296"/>
      <c r="CB52" s="296"/>
      <c r="CC52" s="296"/>
      <c r="CD52" s="296"/>
      <c r="CE52" s="296"/>
      <c r="CF52" s="296"/>
      <c r="CG52" s="296"/>
      <c r="CH52" s="296"/>
      <c r="CI52" s="296"/>
      <c r="CJ52" s="296"/>
      <c r="CK52" s="296"/>
      <c r="CL52" s="296"/>
      <c r="CM52" s="296"/>
      <c r="CN52" s="296"/>
      <c r="CO52" s="296"/>
      <c r="CP52" s="296"/>
      <c r="CQ52" s="296"/>
      <c r="CR52" s="296"/>
      <c r="CS52" s="296"/>
      <c r="CT52" s="296"/>
      <c r="CU52" s="296"/>
      <c r="CV52" s="296"/>
      <c r="CW52" s="296"/>
      <c r="CX52" s="296"/>
      <c r="CY52" s="296"/>
      <c r="CZ52" s="296"/>
      <c r="DA52" s="296"/>
      <c r="DB52" s="296"/>
      <c r="DC52" s="296"/>
      <c r="DD52" s="296"/>
      <c r="DE52" s="296"/>
      <c r="DF52" s="296"/>
      <c r="DG52" s="296"/>
      <c r="DH52" s="296"/>
      <c r="DI52" s="296"/>
      <c r="DJ52" s="296"/>
      <c r="DK52" s="296"/>
      <c r="DL52" s="296"/>
      <c r="DM52" s="296"/>
      <c r="DN52" s="296"/>
      <c r="DO52" s="296"/>
      <c r="DP52" s="296"/>
      <c r="DQ52" s="296"/>
      <c r="DR52" s="296"/>
      <c r="DS52" s="296"/>
      <c r="DT52" s="296"/>
      <c r="DU52" s="296"/>
      <c r="DV52" s="296"/>
      <c r="DW52" s="296"/>
      <c r="DX52" s="296"/>
      <c r="DY52" s="296"/>
      <c r="DZ52" s="296"/>
      <c r="EA52" s="296"/>
      <c r="EB52" s="296"/>
      <c r="EC52" s="296"/>
      <c r="ED52" s="296"/>
      <c r="EE52" s="296"/>
      <c r="EF52" s="296"/>
      <c r="EG52" s="296"/>
      <c r="EH52" s="296"/>
      <c r="EI52" s="296"/>
      <c r="EJ52" s="296"/>
      <c r="EK52" s="296"/>
      <c r="EL52" s="296"/>
      <c r="EM52" s="296"/>
      <c r="EN52" s="296"/>
      <c r="EO52" s="296"/>
      <c r="EP52" s="296"/>
      <c r="EQ52" s="296"/>
      <c r="ER52" s="296"/>
      <c r="ES52" s="296"/>
      <c r="ET52" s="296"/>
      <c r="EU52" s="296"/>
      <c r="EV52" s="296"/>
      <c r="EW52" s="296"/>
      <c r="EX52" s="296"/>
      <c r="EY52" s="296"/>
      <c r="EZ52" s="296"/>
      <c r="FA52" s="296"/>
      <c r="FB52" s="296"/>
      <c r="FC52" s="296"/>
      <c r="FD52" s="296"/>
      <c r="FE52" s="297"/>
      <c r="FF52" s="296"/>
      <c r="FG52" s="296"/>
      <c r="FH52" s="296"/>
      <c r="FI52" s="296"/>
      <c r="FJ52" s="296"/>
      <c r="FK52" s="296"/>
      <c r="FL52" s="296"/>
      <c r="FM52" s="296"/>
      <c r="FN52" s="296"/>
      <c r="FO52" s="296"/>
      <c r="FP52" s="296"/>
      <c r="FQ52" s="296"/>
      <c r="FR52" s="296"/>
      <c r="FS52" s="296"/>
      <c r="FT52" s="296"/>
      <c r="FU52" s="296"/>
      <c r="FV52" s="296"/>
      <c r="FW52" s="296"/>
      <c r="FX52" s="296"/>
      <c r="FY52" s="296"/>
      <c r="FZ52" s="296"/>
      <c r="GA52" s="296"/>
      <c r="GB52" s="296"/>
      <c r="GC52" s="296"/>
      <c r="GD52" s="296"/>
      <c r="GE52" s="296"/>
      <c r="GF52" s="296"/>
      <c r="GG52" s="296"/>
      <c r="GH52" s="296"/>
      <c r="GI52" s="296"/>
      <c r="GJ52" s="296"/>
      <c r="GK52" s="296"/>
      <c r="GL52" s="296"/>
      <c r="GM52" s="296"/>
      <c r="GN52" s="296"/>
      <c r="GO52" s="296"/>
      <c r="GP52" s="296"/>
      <c r="GQ52" s="296"/>
      <c r="GR52" s="296"/>
      <c r="GS52" s="296"/>
      <c r="GT52" s="296"/>
      <c r="GU52" s="296"/>
      <c r="GV52" s="296"/>
      <c r="GW52" s="296"/>
      <c r="GX52" s="296"/>
      <c r="GY52" s="296"/>
      <c r="GZ52" s="296"/>
      <c r="HA52" s="296"/>
      <c r="HB52" s="296"/>
      <c r="HC52" s="296"/>
      <c r="HD52" s="296"/>
      <c r="HE52" s="296"/>
      <c r="HF52" s="296"/>
      <c r="HG52" s="296"/>
      <c r="HH52" s="296"/>
      <c r="HI52" s="296"/>
    </row>
    <row r="53" spans="1:217" ht="15" customHeight="1" thickTop="1">
      <c r="A53" s="150"/>
      <c r="B53" s="150"/>
      <c r="C53" s="355" t="str">
        <f>IF([3]MasterSheet!$A$1=1,[3]MasterSheet!C307,[3]MasterSheet!B307)</f>
        <v>Kapitalni budžet CG</v>
      </c>
      <c r="D53" s="356">
        <f>+'[3]Cental Budget_int'!D78</f>
        <v>0</v>
      </c>
      <c r="E53" s="357">
        <f t="shared" si="14"/>
        <v>0</v>
      </c>
      <c r="F53" s="356">
        <f>+'[3]Cental Budget_int'!F78</f>
        <v>82459238.990000024</v>
      </c>
      <c r="G53" s="357">
        <f t="shared" si="15"/>
        <v>3.076263346017535</v>
      </c>
      <c r="H53" s="356">
        <f>+'[3]Cental Budget_int'!H78</f>
        <v>73370859.459999993</v>
      </c>
      <c r="I53" s="357">
        <f t="shared" si="16"/>
        <v>2.3778474027741763</v>
      </c>
      <c r="J53" s="356">
        <f>+'[3]Cental Budget_int'!J78</f>
        <v>112364696.64</v>
      </c>
      <c r="K53" s="357">
        <f t="shared" si="17"/>
        <v>3.7693625172760821</v>
      </c>
      <c r="L53" s="356">
        <f>+'[3]Cental Budget_int'!L78</f>
        <v>63250368.810000002</v>
      </c>
      <c r="M53" s="357">
        <f t="shared" si="18"/>
        <v>2.02401180192</v>
      </c>
      <c r="N53" s="356">
        <f>+'[3]Cental Budget_int'!N78</f>
        <v>67115187.969999999</v>
      </c>
      <c r="O53" s="357">
        <f t="shared" si="19"/>
        <v>2.0555953436447165</v>
      </c>
      <c r="P53" s="356">
        <f>+'[3]Cental Budget_int'!P78</f>
        <v>58737973</v>
      </c>
      <c r="Q53" s="357">
        <f t="shared" si="20"/>
        <v>1.8465254008173533</v>
      </c>
      <c r="R53" s="356">
        <f>+'[3]Cental Budget_int'!R78</f>
        <v>77219227.430000007</v>
      </c>
      <c r="S53" s="357">
        <f t="shared" si="9"/>
        <v>2.2968241353361099</v>
      </c>
      <c r="T53" s="356">
        <f>+'[3]Cental Budget_int'!T78</f>
        <v>67725837.019999996</v>
      </c>
      <c r="U53" s="357">
        <f t="shared" si="10"/>
        <v>1.9585828687931981</v>
      </c>
      <c r="V53" s="356">
        <f>+'[3]Cental Budget_int'!V78</f>
        <v>228003108.56999999</v>
      </c>
      <c r="W53" s="358">
        <f t="shared" si="11"/>
        <v>6.2381151455540351</v>
      </c>
      <c r="X53" s="356">
        <f>'Cental Budget'!X78</f>
        <v>64819445</v>
      </c>
      <c r="Y53" s="357">
        <f t="shared" si="21"/>
        <v>1.6392556016387636</v>
      </c>
      <c r="Z53" s="356">
        <f>'Cental Budget'!Z78</f>
        <v>251876566.97</v>
      </c>
      <c r="AA53" s="357">
        <f t="shared" si="22"/>
        <v>5.9453928235571816</v>
      </c>
      <c r="AB53" s="513"/>
      <c r="AC53" s="513"/>
      <c r="AD53" s="511"/>
      <c r="AE53" s="511"/>
      <c r="AF53" s="511"/>
      <c r="AG53" s="511"/>
      <c r="AH53" s="511"/>
      <c r="AI53" s="511"/>
      <c r="AJ53" s="511"/>
      <c r="AK53" s="511"/>
      <c r="AL53" s="511"/>
      <c r="AM53" s="511"/>
      <c r="AN53" s="511"/>
      <c r="AO53" s="511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6"/>
      <c r="BP53" s="296"/>
      <c r="BQ53" s="296"/>
      <c r="BR53" s="296"/>
      <c r="BS53" s="296"/>
      <c r="BT53" s="296"/>
      <c r="BU53" s="296"/>
      <c r="BV53" s="296"/>
      <c r="BW53" s="296"/>
      <c r="BX53" s="296"/>
      <c r="BY53" s="296"/>
      <c r="BZ53" s="296"/>
      <c r="CA53" s="296"/>
      <c r="CB53" s="296"/>
      <c r="CC53" s="296"/>
      <c r="CD53" s="296"/>
      <c r="CE53" s="296"/>
      <c r="CF53" s="296"/>
      <c r="CG53" s="296"/>
      <c r="CH53" s="296"/>
      <c r="CI53" s="296"/>
      <c r="CJ53" s="296"/>
      <c r="CK53" s="296"/>
      <c r="CL53" s="296"/>
      <c r="CM53" s="296"/>
      <c r="CN53" s="296"/>
      <c r="CO53" s="296"/>
      <c r="CP53" s="296"/>
      <c r="CQ53" s="296"/>
      <c r="CR53" s="296"/>
      <c r="CS53" s="296"/>
      <c r="CT53" s="296"/>
      <c r="CU53" s="296"/>
      <c r="CV53" s="296"/>
      <c r="CW53" s="296"/>
      <c r="CX53" s="296"/>
      <c r="CY53" s="296"/>
      <c r="CZ53" s="296"/>
      <c r="DA53" s="296"/>
      <c r="DB53" s="296"/>
      <c r="DC53" s="296"/>
      <c r="DD53" s="296"/>
      <c r="DE53" s="296"/>
      <c r="DF53" s="296"/>
      <c r="DG53" s="296"/>
      <c r="DH53" s="296"/>
      <c r="DI53" s="296"/>
      <c r="DJ53" s="296"/>
      <c r="DK53" s="296"/>
      <c r="DL53" s="296"/>
      <c r="DM53" s="296"/>
      <c r="DN53" s="296"/>
      <c r="DO53" s="296"/>
      <c r="DP53" s="296"/>
      <c r="DQ53" s="296"/>
      <c r="DR53" s="296"/>
      <c r="DS53" s="296"/>
      <c r="DT53" s="296"/>
      <c r="DU53" s="296"/>
      <c r="DV53" s="296"/>
      <c r="DW53" s="296"/>
      <c r="DX53" s="296"/>
      <c r="DY53" s="296"/>
      <c r="DZ53" s="296"/>
      <c r="EA53" s="296"/>
      <c r="EB53" s="296"/>
      <c r="EC53" s="296"/>
      <c r="ED53" s="296"/>
      <c r="EE53" s="296"/>
      <c r="EF53" s="296"/>
      <c r="EG53" s="296"/>
      <c r="EH53" s="296"/>
      <c r="EI53" s="296"/>
      <c r="EJ53" s="296"/>
      <c r="EK53" s="296"/>
      <c r="EL53" s="296"/>
      <c r="EM53" s="296"/>
      <c r="EN53" s="296"/>
      <c r="EO53" s="296"/>
      <c r="EP53" s="296"/>
      <c r="EQ53" s="296"/>
      <c r="ER53" s="296"/>
      <c r="ES53" s="296"/>
      <c r="ET53" s="296"/>
      <c r="EU53" s="296"/>
      <c r="EV53" s="296"/>
      <c r="EW53" s="296"/>
      <c r="EX53" s="296"/>
      <c r="EY53" s="296"/>
      <c r="EZ53" s="296"/>
      <c r="FA53" s="296"/>
      <c r="FB53" s="296"/>
      <c r="FC53" s="296"/>
      <c r="FD53" s="296"/>
      <c r="FE53" s="297"/>
      <c r="FF53" s="296"/>
      <c r="FG53" s="296"/>
      <c r="FH53" s="296"/>
      <c r="FI53" s="296"/>
      <c r="FJ53" s="296"/>
      <c r="FK53" s="296"/>
      <c r="FL53" s="296"/>
      <c r="FM53" s="296"/>
      <c r="FN53" s="296"/>
      <c r="FO53" s="296"/>
      <c r="FP53" s="296"/>
      <c r="FQ53" s="296"/>
      <c r="FR53" s="296"/>
      <c r="FS53" s="296"/>
      <c r="FT53" s="296"/>
      <c r="FU53" s="296"/>
      <c r="FV53" s="296"/>
      <c r="FW53" s="296"/>
      <c r="FX53" s="296"/>
      <c r="FY53" s="296"/>
      <c r="FZ53" s="296"/>
      <c r="GA53" s="296"/>
      <c r="GB53" s="296"/>
      <c r="GC53" s="296"/>
      <c r="GD53" s="296"/>
      <c r="GE53" s="296"/>
      <c r="GF53" s="296"/>
      <c r="GG53" s="296"/>
      <c r="GH53" s="296"/>
      <c r="GI53" s="296"/>
      <c r="GJ53" s="296"/>
      <c r="GK53" s="296"/>
      <c r="GL53" s="296"/>
      <c r="GM53" s="296"/>
      <c r="GN53" s="296"/>
      <c r="GO53" s="296"/>
      <c r="GP53" s="296"/>
      <c r="GQ53" s="296"/>
      <c r="GR53" s="296"/>
      <c r="GS53" s="296"/>
      <c r="GT53" s="296"/>
      <c r="GU53" s="296"/>
      <c r="GV53" s="296"/>
      <c r="GW53" s="296"/>
      <c r="GX53" s="296"/>
      <c r="GY53" s="296"/>
      <c r="GZ53" s="296"/>
      <c r="HA53" s="296"/>
      <c r="HB53" s="296"/>
      <c r="HC53" s="296"/>
      <c r="HD53" s="296"/>
      <c r="HE53" s="296"/>
      <c r="HF53" s="296"/>
      <c r="HG53" s="296"/>
      <c r="HH53" s="296"/>
      <c r="HI53" s="296"/>
    </row>
    <row r="54" spans="1:217" ht="15" customHeight="1">
      <c r="A54" s="150"/>
      <c r="B54" s="150"/>
      <c r="C54" s="359" t="str">
        <f>IF([3]MasterSheet!$A$1=1,[3]MasterSheet!C308,[3]MasterSheet!B308)</f>
        <v>Kapitalni budžet lokalne samouprave</v>
      </c>
      <c r="D54" s="360">
        <f>+'[3]Local Government_int'!D71</f>
        <v>56911483.659999996</v>
      </c>
      <c r="E54" s="320">
        <f t="shared" si="14"/>
        <v>2.6484007473591138</v>
      </c>
      <c r="F54" s="360">
        <f>+'[3]Local Government_int'!F71</f>
        <v>104902148.42999999</v>
      </c>
      <c r="G54" s="320">
        <f t="shared" si="15"/>
        <v>3.9135291337437037</v>
      </c>
      <c r="H54" s="360">
        <f>+'[3]Local Government_int'!H71</f>
        <v>166401109.03999996</v>
      </c>
      <c r="I54" s="320">
        <f t="shared" si="16"/>
        <v>5.3928282680840018</v>
      </c>
      <c r="J54" s="360">
        <f>+'[3]Local Government_int'!J71</f>
        <v>112335160</v>
      </c>
      <c r="K54" s="320">
        <f t="shared" si="17"/>
        <v>3.7683716873532371</v>
      </c>
      <c r="L54" s="360">
        <f>+'[3]Local Government_int'!L71</f>
        <v>83150000</v>
      </c>
      <c r="M54" s="320">
        <f t="shared" si="18"/>
        <v>2.6608000000000001</v>
      </c>
      <c r="N54" s="360">
        <f>+'[3]Local Government_int'!N71</f>
        <v>51469674.490000002</v>
      </c>
      <c r="O54" s="320">
        <f t="shared" si="19"/>
        <v>1.5764065693721285</v>
      </c>
      <c r="P54" s="360">
        <f>+'[3]Local Government_int'!P71</f>
        <v>48316705.07</v>
      </c>
      <c r="Q54" s="320">
        <f t="shared" si="20"/>
        <v>1.5189155947815152</v>
      </c>
      <c r="R54" s="360">
        <f>+'[3]Local Government_int'!R71</f>
        <v>47167542.18</v>
      </c>
      <c r="S54" s="320">
        <f t="shared" si="9"/>
        <v>1.4029608024985127</v>
      </c>
      <c r="T54" s="360">
        <f>+'[3]Local Government_int'!T71</f>
        <v>49380655.789999999</v>
      </c>
      <c r="U54" s="320">
        <f t="shared" si="10"/>
        <v>1.4280533210908355</v>
      </c>
      <c r="V54" s="360">
        <f>+'[3]Local Government_int'!V71</f>
        <v>40132842.900000006</v>
      </c>
      <c r="W54" s="321">
        <f t="shared" si="11"/>
        <v>1.0980257975376198</v>
      </c>
      <c r="X54" s="360">
        <f>'Local Government_int'!X71</f>
        <v>41035825.840000004</v>
      </c>
      <c r="Y54" s="320">
        <f t="shared" si="21"/>
        <v>1.0377782064640131</v>
      </c>
      <c r="Z54" s="360">
        <f>'Local Government_int'!Z71</f>
        <v>46123836.109999999</v>
      </c>
      <c r="AA54" s="320">
        <f t="shared" si="22"/>
        <v>1.0887250350525197</v>
      </c>
      <c r="AB54" s="513"/>
      <c r="AC54" s="513"/>
      <c r="AD54" s="511"/>
      <c r="AE54" s="511"/>
      <c r="AF54" s="511"/>
      <c r="AG54" s="511"/>
      <c r="AH54" s="511"/>
      <c r="AI54" s="511"/>
      <c r="AJ54" s="511"/>
      <c r="AK54" s="511"/>
      <c r="AL54" s="511"/>
      <c r="AM54" s="511"/>
      <c r="AN54" s="511"/>
      <c r="AO54" s="511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6"/>
      <c r="BP54" s="296"/>
      <c r="BQ54" s="296"/>
      <c r="BR54" s="296"/>
      <c r="BS54" s="296"/>
      <c r="BT54" s="296"/>
      <c r="BU54" s="296"/>
      <c r="BV54" s="296"/>
      <c r="BW54" s="296"/>
      <c r="BX54" s="296"/>
      <c r="BY54" s="296"/>
      <c r="BZ54" s="296"/>
      <c r="CA54" s="296"/>
      <c r="CB54" s="296"/>
      <c r="CC54" s="296"/>
      <c r="CD54" s="296"/>
      <c r="CE54" s="296"/>
      <c r="CF54" s="296"/>
      <c r="CG54" s="296"/>
      <c r="CH54" s="296"/>
      <c r="CI54" s="296"/>
      <c r="CJ54" s="296"/>
      <c r="CK54" s="296"/>
      <c r="CL54" s="296"/>
      <c r="CM54" s="296"/>
      <c r="CN54" s="296"/>
      <c r="CO54" s="296"/>
      <c r="CP54" s="296"/>
      <c r="CQ54" s="296"/>
      <c r="CR54" s="296"/>
      <c r="CS54" s="296"/>
      <c r="CT54" s="296"/>
      <c r="CU54" s="296"/>
      <c r="CV54" s="296"/>
      <c r="CW54" s="296"/>
      <c r="CX54" s="296"/>
      <c r="CY54" s="296"/>
      <c r="CZ54" s="296"/>
      <c r="DA54" s="296"/>
      <c r="DB54" s="296"/>
      <c r="DC54" s="296"/>
      <c r="DD54" s="296"/>
      <c r="DE54" s="296"/>
      <c r="DF54" s="296"/>
      <c r="DG54" s="296"/>
      <c r="DH54" s="296"/>
      <c r="DI54" s="296"/>
      <c r="DJ54" s="296"/>
      <c r="DK54" s="296"/>
      <c r="DL54" s="296"/>
      <c r="DM54" s="296"/>
      <c r="DN54" s="296"/>
      <c r="DO54" s="296"/>
      <c r="DP54" s="296"/>
      <c r="DQ54" s="296"/>
      <c r="DR54" s="296"/>
      <c r="DS54" s="296"/>
      <c r="DT54" s="296"/>
      <c r="DU54" s="296"/>
      <c r="DV54" s="296"/>
      <c r="DW54" s="296"/>
      <c r="DX54" s="296"/>
      <c r="DY54" s="296"/>
      <c r="DZ54" s="296"/>
      <c r="EA54" s="296"/>
      <c r="EB54" s="296"/>
      <c r="EC54" s="296"/>
      <c r="ED54" s="296"/>
      <c r="EE54" s="296"/>
      <c r="EF54" s="296"/>
      <c r="EG54" s="296"/>
      <c r="EH54" s="296"/>
      <c r="EI54" s="296"/>
      <c r="EJ54" s="296"/>
      <c r="EK54" s="296"/>
      <c r="EL54" s="296"/>
      <c r="EM54" s="296"/>
      <c r="EN54" s="296"/>
      <c r="EO54" s="296"/>
      <c r="EP54" s="296"/>
      <c r="EQ54" s="296"/>
      <c r="ER54" s="296"/>
      <c r="ES54" s="296"/>
      <c r="ET54" s="296"/>
      <c r="EU54" s="296"/>
      <c r="EV54" s="296"/>
      <c r="EW54" s="296"/>
      <c r="EX54" s="296"/>
      <c r="EY54" s="296"/>
      <c r="EZ54" s="296"/>
      <c r="FA54" s="296"/>
      <c r="FB54" s="296"/>
      <c r="FC54" s="296"/>
      <c r="FD54" s="296"/>
      <c r="FE54" s="297"/>
      <c r="FF54" s="296"/>
      <c r="FG54" s="296"/>
      <c r="FH54" s="296"/>
      <c r="FI54" s="296"/>
      <c r="FJ54" s="296"/>
      <c r="FK54" s="296"/>
      <c r="FL54" s="296"/>
      <c r="FM54" s="296"/>
      <c r="FN54" s="296"/>
      <c r="FO54" s="296"/>
      <c r="FP54" s="296"/>
      <c r="FQ54" s="296"/>
      <c r="FR54" s="296"/>
      <c r="FS54" s="296"/>
      <c r="FT54" s="296"/>
      <c r="FU54" s="296"/>
      <c r="FV54" s="296"/>
      <c r="FW54" s="296"/>
      <c r="FX54" s="296"/>
      <c r="FY54" s="296"/>
      <c r="FZ54" s="296"/>
      <c r="GA54" s="296"/>
      <c r="GB54" s="296"/>
      <c r="GC54" s="296"/>
      <c r="GD54" s="296"/>
      <c r="GE54" s="296"/>
      <c r="GF54" s="296"/>
      <c r="GG54" s="296"/>
      <c r="GH54" s="296"/>
      <c r="GI54" s="296"/>
      <c r="GJ54" s="296"/>
      <c r="GK54" s="296"/>
      <c r="GL54" s="296"/>
      <c r="GM54" s="296"/>
      <c r="GN54" s="296"/>
      <c r="GO54" s="296"/>
      <c r="GP54" s="296"/>
      <c r="GQ54" s="296"/>
      <c r="GR54" s="296"/>
      <c r="GS54" s="296"/>
      <c r="GT54" s="296"/>
      <c r="GU54" s="296"/>
      <c r="GV54" s="296"/>
      <c r="GW54" s="296"/>
      <c r="GX54" s="296"/>
      <c r="GY54" s="296"/>
      <c r="GZ54" s="296"/>
      <c r="HA54" s="296"/>
      <c r="HB54" s="296"/>
      <c r="HC54" s="296"/>
      <c r="HD54" s="296"/>
      <c r="HE54" s="296"/>
      <c r="HF54" s="296"/>
      <c r="HG54" s="296"/>
      <c r="HH54" s="296"/>
      <c r="HI54" s="296"/>
    </row>
    <row r="55" spans="1:217" ht="15" customHeight="1">
      <c r="A55" s="150"/>
      <c r="B55" s="150"/>
      <c r="C55" s="348" t="str">
        <f>IF([3]MasterSheet!$A$1=1,[3]MasterSheet!C309,[3]MasterSheet!B309)</f>
        <v>Pozajmice i krediti</v>
      </c>
      <c r="D55" s="327">
        <f>+'[3]Cental Budget_int'!D79+'[3]Local Government_int'!D72</f>
        <v>16541430.840000002</v>
      </c>
      <c r="E55" s="328">
        <f t="shared" si="14"/>
        <v>0.76976270836241811</v>
      </c>
      <c r="F55" s="327">
        <f>+'[3]Cental Budget_int'!F79+'[3]Local Government_int'!F72</f>
        <v>9569648.0299999993</v>
      </c>
      <c r="G55" s="328">
        <f t="shared" si="15"/>
        <v>0.35700981272150717</v>
      </c>
      <c r="H55" s="327">
        <f>+'[3]Cental Budget_int'!H79+'[3]Local Government_int'!H72</f>
        <v>63513658.890000001</v>
      </c>
      <c r="I55" s="328">
        <f t="shared" si="16"/>
        <v>2.0583892562224526</v>
      </c>
      <c r="J55" s="327">
        <f>+'[3]Cental Budget_int'!J79+'[3]Local Government_int'!J72</f>
        <v>18262431</v>
      </c>
      <c r="K55" s="328">
        <f t="shared" si="17"/>
        <v>0.61262767527675277</v>
      </c>
      <c r="L55" s="327">
        <f>+'[3]Cental Budget_int'!L79+'[3]Local Government_int'!L72</f>
        <v>5044638.38</v>
      </c>
      <c r="M55" s="328">
        <f t="shared" si="18"/>
        <v>0.16142842816</v>
      </c>
      <c r="N55" s="327">
        <f>+'[3]Cental Budget_int'!N79+'[3]Local Government_int'!N72</f>
        <v>4233950.1899999995</v>
      </c>
      <c r="O55" s="328">
        <f t="shared" si="19"/>
        <v>0.12967688177641651</v>
      </c>
      <c r="P55" s="327">
        <f>+'[3]Cental Budget_int'!P79+'[3]Local Government_int'!P72</f>
        <v>2964872.96</v>
      </c>
      <c r="Q55" s="328">
        <f t="shared" si="20"/>
        <v>9.3205688777114118E-2</v>
      </c>
      <c r="R55" s="327">
        <f>+'[3]Cental Budget_int'!R79+'[3]Local Government_int'!R72</f>
        <v>4129219.65</v>
      </c>
      <c r="S55" s="328">
        <f t="shared" si="9"/>
        <v>0.12282033462224866</v>
      </c>
      <c r="T55" s="327">
        <f>+'[3]Cental Budget_int'!T79+'[3]Local Government_int'!T72</f>
        <v>3761315.8200000003</v>
      </c>
      <c r="U55" s="328">
        <f t="shared" si="10"/>
        <v>0.10877456895803812</v>
      </c>
      <c r="V55" s="327">
        <f>+'[3]Cental Budget_int'!V79+'[3]Local Government_int'!V72</f>
        <v>4699224.2699999996</v>
      </c>
      <c r="W55" s="329">
        <f t="shared" si="11"/>
        <v>0.12856974746922023</v>
      </c>
      <c r="X55" s="327">
        <f>'Cental Budget'!X79+'Local Government_int'!X72</f>
        <v>3541751.9299999997</v>
      </c>
      <c r="Y55" s="328">
        <f t="shared" si="21"/>
        <v>8.9569367507966208E-2</v>
      </c>
      <c r="Z55" s="327">
        <f>'Cental Budget'!Z79+'Local Government_int'!Z72</f>
        <v>7199890.96</v>
      </c>
      <c r="AA55" s="328">
        <f t="shared" si="22"/>
        <v>0.1699490371769149</v>
      </c>
      <c r="AB55" s="513"/>
      <c r="AC55" s="513"/>
      <c r="AD55" s="511"/>
      <c r="AE55" s="511"/>
      <c r="AF55" s="511"/>
      <c r="AG55" s="511"/>
      <c r="AH55" s="511"/>
      <c r="AI55" s="511"/>
      <c r="AJ55" s="511"/>
      <c r="AK55" s="511"/>
      <c r="AL55" s="511"/>
      <c r="AM55" s="511"/>
      <c r="AN55" s="511"/>
      <c r="AO55" s="511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6"/>
      <c r="BO55" s="296"/>
      <c r="BP55" s="296"/>
      <c r="BQ55" s="296"/>
      <c r="BR55" s="296"/>
      <c r="BS55" s="296"/>
      <c r="BT55" s="296"/>
      <c r="BU55" s="296"/>
      <c r="BV55" s="296"/>
      <c r="BW55" s="296"/>
      <c r="BX55" s="296"/>
      <c r="BY55" s="296"/>
      <c r="BZ55" s="296"/>
      <c r="CA55" s="296"/>
      <c r="CB55" s="296"/>
      <c r="CC55" s="296"/>
      <c r="CD55" s="296"/>
      <c r="CE55" s="296"/>
      <c r="CF55" s="296"/>
      <c r="CG55" s="296"/>
      <c r="CH55" s="296"/>
      <c r="CI55" s="296"/>
      <c r="CJ55" s="296"/>
      <c r="CK55" s="296"/>
      <c r="CL55" s="296"/>
      <c r="CM55" s="296"/>
      <c r="CN55" s="296"/>
      <c r="CO55" s="296"/>
      <c r="CP55" s="296"/>
      <c r="CQ55" s="296"/>
      <c r="CR55" s="296"/>
      <c r="CS55" s="296"/>
      <c r="CT55" s="296"/>
      <c r="CU55" s="296"/>
      <c r="CV55" s="296"/>
      <c r="CW55" s="296"/>
      <c r="CX55" s="296"/>
      <c r="CY55" s="296"/>
      <c r="CZ55" s="296"/>
      <c r="DA55" s="296"/>
      <c r="DB55" s="296"/>
      <c r="DC55" s="296"/>
      <c r="DD55" s="296"/>
      <c r="DE55" s="296"/>
      <c r="DF55" s="296"/>
      <c r="DG55" s="296"/>
      <c r="DH55" s="296"/>
      <c r="DI55" s="296"/>
      <c r="DJ55" s="296"/>
      <c r="DK55" s="296"/>
      <c r="DL55" s="296"/>
      <c r="DM55" s="296"/>
      <c r="DN55" s="296"/>
      <c r="DO55" s="296"/>
      <c r="DP55" s="296"/>
      <c r="DQ55" s="296"/>
      <c r="DR55" s="296"/>
      <c r="DS55" s="296"/>
      <c r="DT55" s="296"/>
      <c r="DU55" s="296"/>
      <c r="DV55" s="296"/>
      <c r="DW55" s="296"/>
      <c r="DX55" s="296"/>
      <c r="DY55" s="296"/>
      <c r="DZ55" s="296"/>
      <c r="EA55" s="296"/>
      <c r="EB55" s="296"/>
      <c r="EC55" s="296"/>
      <c r="ED55" s="296"/>
      <c r="EE55" s="296"/>
      <c r="EF55" s="296"/>
      <c r="EG55" s="296"/>
      <c r="EH55" s="296"/>
      <c r="EI55" s="296"/>
      <c r="EJ55" s="296"/>
      <c r="EK55" s="296"/>
      <c r="EL55" s="296"/>
      <c r="EM55" s="296"/>
      <c r="EN55" s="296"/>
      <c r="EO55" s="296"/>
      <c r="EP55" s="296"/>
      <c r="EQ55" s="296"/>
      <c r="ER55" s="296"/>
      <c r="ES55" s="296"/>
      <c r="ET55" s="296"/>
      <c r="EU55" s="296"/>
      <c r="EV55" s="296"/>
      <c r="EW55" s="296"/>
      <c r="EX55" s="296"/>
      <c r="EY55" s="296"/>
      <c r="EZ55" s="296"/>
      <c r="FA55" s="296"/>
      <c r="FB55" s="296"/>
      <c r="FC55" s="296"/>
      <c r="FD55" s="296"/>
      <c r="FE55" s="297"/>
      <c r="FF55" s="296"/>
      <c r="FG55" s="296"/>
      <c r="FH55" s="296"/>
      <c r="FI55" s="296"/>
      <c r="FJ55" s="296"/>
      <c r="FK55" s="296"/>
      <c r="FL55" s="296"/>
      <c r="FM55" s="296"/>
      <c r="FN55" s="296"/>
      <c r="FO55" s="296"/>
      <c r="FP55" s="296"/>
      <c r="FQ55" s="296"/>
      <c r="FR55" s="296"/>
      <c r="FS55" s="296"/>
      <c r="FT55" s="296"/>
      <c r="FU55" s="296"/>
      <c r="FV55" s="296"/>
      <c r="FW55" s="296"/>
      <c r="FX55" s="296"/>
      <c r="FY55" s="296"/>
      <c r="FZ55" s="296"/>
      <c r="GA55" s="296"/>
      <c r="GB55" s="296"/>
      <c r="GC55" s="296"/>
      <c r="GD55" s="296"/>
      <c r="GE55" s="296"/>
      <c r="GF55" s="296"/>
      <c r="GG55" s="296"/>
      <c r="GH55" s="296"/>
      <c r="GI55" s="296"/>
      <c r="GJ55" s="296"/>
      <c r="GK55" s="296"/>
      <c r="GL55" s="296"/>
      <c r="GM55" s="296"/>
      <c r="GN55" s="296"/>
      <c r="GO55" s="296"/>
      <c r="GP55" s="296"/>
      <c r="GQ55" s="296"/>
      <c r="GR55" s="296"/>
      <c r="GS55" s="296"/>
      <c r="GT55" s="296"/>
      <c r="GU55" s="296"/>
      <c r="GV55" s="296"/>
      <c r="GW55" s="296"/>
      <c r="GX55" s="296"/>
      <c r="GY55" s="296"/>
      <c r="GZ55" s="296"/>
      <c r="HA55" s="296"/>
      <c r="HB55" s="296"/>
      <c r="HC55" s="296"/>
      <c r="HD55" s="296"/>
      <c r="HE55" s="296"/>
      <c r="HF55" s="296"/>
      <c r="HG55" s="296"/>
      <c r="HH55" s="296"/>
      <c r="HI55" s="296"/>
    </row>
    <row r="56" spans="1:217" ht="15" hidden="1" customHeight="1">
      <c r="A56" s="150"/>
      <c r="B56" s="150"/>
      <c r="C56" s="348" t="str">
        <f>IF([3]MasterSheet!$A$1=1,[3]MasterSheet!C311,[3]MasterSheet!B311)</f>
        <v>Otplata obaveza iz prethodnog perioda</v>
      </c>
      <c r="D56" s="327"/>
      <c r="E56" s="328">
        <f t="shared" si="14"/>
        <v>0</v>
      </c>
      <c r="F56" s="327"/>
      <c r="G56" s="328">
        <f t="shared" si="15"/>
        <v>0</v>
      </c>
      <c r="H56" s="327"/>
      <c r="I56" s="328">
        <f t="shared" si="16"/>
        <v>0</v>
      </c>
      <c r="J56" s="327"/>
      <c r="K56" s="328">
        <f t="shared" si="17"/>
        <v>0</v>
      </c>
      <c r="L56" s="327"/>
      <c r="M56" s="328">
        <f t="shared" si="18"/>
        <v>0</v>
      </c>
      <c r="N56" s="327"/>
      <c r="O56" s="328">
        <f t="shared" si="19"/>
        <v>0</v>
      </c>
      <c r="P56" s="327"/>
      <c r="Q56" s="328">
        <f t="shared" si="20"/>
        <v>0</v>
      </c>
      <c r="R56" s="327"/>
      <c r="S56" s="328">
        <f t="shared" si="9"/>
        <v>0</v>
      </c>
      <c r="T56" s="327"/>
      <c r="U56" s="328">
        <f t="shared" si="10"/>
        <v>0</v>
      </c>
      <c r="V56" s="327"/>
      <c r="W56" s="329">
        <f t="shared" si="11"/>
        <v>0</v>
      </c>
      <c r="X56" s="327"/>
      <c r="Y56" s="328">
        <f t="shared" si="21"/>
        <v>0</v>
      </c>
      <c r="Z56" s="327"/>
      <c r="AA56" s="328">
        <f t="shared" si="22"/>
        <v>0</v>
      </c>
      <c r="AB56" s="513"/>
      <c r="AC56" s="513"/>
      <c r="AD56" s="511"/>
      <c r="AE56" s="511"/>
      <c r="AF56" s="511"/>
      <c r="AG56" s="511"/>
      <c r="AH56" s="511"/>
      <c r="AI56" s="511"/>
      <c r="AJ56" s="511"/>
      <c r="AK56" s="511"/>
      <c r="AL56" s="511"/>
      <c r="AM56" s="511"/>
      <c r="AN56" s="511"/>
      <c r="AO56" s="511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6"/>
      <c r="BO56" s="296"/>
      <c r="BP56" s="296"/>
      <c r="BQ56" s="296"/>
      <c r="BR56" s="296"/>
      <c r="BS56" s="296"/>
      <c r="BT56" s="296"/>
      <c r="BU56" s="296"/>
      <c r="BV56" s="296"/>
      <c r="BW56" s="296"/>
      <c r="BX56" s="296"/>
      <c r="BY56" s="296"/>
      <c r="BZ56" s="296"/>
      <c r="CA56" s="296"/>
      <c r="CB56" s="296"/>
      <c r="CC56" s="296"/>
      <c r="CD56" s="296"/>
      <c r="CE56" s="296"/>
      <c r="CF56" s="296"/>
      <c r="CG56" s="296"/>
      <c r="CH56" s="296"/>
      <c r="CI56" s="296"/>
      <c r="CJ56" s="296"/>
      <c r="CK56" s="296"/>
      <c r="CL56" s="296"/>
      <c r="CM56" s="296"/>
      <c r="CN56" s="296"/>
      <c r="CO56" s="296"/>
      <c r="CP56" s="296"/>
      <c r="CQ56" s="296"/>
      <c r="CR56" s="296"/>
      <c r="CS56" s="296"/>
      <c r="CT56" s="296"/>
      <c r="CU56" s="296"/>
      <c r="CV56" s="296"/>
      <c r="CW56" s="296"/>
      <c r="CX56" s="296"/>
      <c r="CY56" s="296"/>
      <c r="CZ56" s="296"/>
      <c r="DA56" s="296"/>
      <c r="DB56" s="296"/>
      <c r="DC56" s="296"/>
      <c r="DD56" s="296"/>
      <c r="DE56" s="296"/>
      <c r="DF56" s="296"/>
      <c r="DG56" s="296"/>
      <c r="DH56" s="296"/>
      <c r="DI56" s="296"/>
      <c r="DJ56" s="296"/>
      <c r="DK56" s="296"/>
      <c r="DL56" s="296"/>
      <c r="DM56" s="296"/>
      <c r="DN56" s="296"/>
      <c r="DO56" s="296"/>
      <c r="DP56" s="296"/>
      <c r="DQ56" s="296"/>
      <c r="DR56" s="296"/>
      <c r="DS56" s="296"/>
      <c r="DT56" s="296"/>
      <c r="DU56" s="296"/>
      <c r="DV56" s="296"/>
      <c r="DW56" s="296"/>
      <c r="DX56" s="296"/>
      <c r="DY56" s="296"/>
      <c r="DZ56" s="296"/>
      <c r="EA56" s="296"/>
      <c r="EB56" s="296"/>
      <c r="EC56" s="296"/>
      <c r="ED56" s="296"/>
      <c r="EE56" s="296"/>
      <c r="EF56" s="296"/>
      <c r="EG56" s="296"/>
      <c r="EH56" s="296"/>
      <c r="EI56" s="296"/>
      <c r="EJ56" s="296"/>
      <c r="EK56" s="296"/>
      <c r="EL56" s="296"/>
      <c r="EM56" s="296"/>
      <c r="EN56" s="296"/>
      <c r="EO56" s="296"/>
      <c r="EP56" s="296"/>
      <c r="EQ56" s="296"/>
      <c r="ER56" s="296"/>
      <c r="ES56" s="296"/>
      <c r="ET56" s="296"/>
      <c r="EU56" s="296"/>
      <c r="EV56" s="296"/>
      <c r="EW56" s="296"/>
      <c r="EX56" s="296"/>
      <c r="EY56" s="296"/>
      <c r="EZ56" s="296"/>
      <c r="FA56" s="296"/>
      <c r="FB56" s="296"/>
      <c r="FC56" s="296"/>
      <c r="FD56" s="296"/>
      <c r="FE56" s="297"/>
      <c r="FF56" s="296"/>
      <c r="FG56" s="296"/>
      <c r="FH56" s="296"/>
      <c r="FI56" s="296"/>
      <c r="FJ56" s="296"/>
      <c r="FK56" s="296"/>
      <c r="FL56" s="296"/>
      <c r="FM56" s="296"/>
      <c r="FN56" s="296"/>
      <c r="FO56" s="296"/>
      <c r="FP56" s="296"/>
      <c r="FQ56" s="296"/>
      <c r="FR56" s="296"/>
      <c r="FS56" s="296"/>
      <c r="FT56" s="296"/>
      <c r="FU56" s="296"/>
      <c r="FV56" s="296"/>
      <c r="FW56" s="296"/>
      <c r="FX56" s="296"/>
      <c r="FY56" s="296"/>
      <c r="FZ56" s="296"/>
      <c r="GA56" s="296"/>
      <c r="GB56" s="296"/>
      <c r="GC56" s="296"/>
      <c r="GD56" s="296"/>
      <c r="GE56" s="296"/>
      <c r="GF56" s="296"/>
      <c r="GG56" s="296"/>
      <c r="GH56" s="296"/>
      <c r="GI56" s="296"/>
      <c r="GJ56" s="296"/>
      <c r="GK56" s="296"/>
      <c r="GL56" s="296"/>
      <c r="GM56" s="296"/>
      <c r="GN56" s="296"/>
      <c r="GO56" s="296"/>
      <c r="GP56" s="296"/>
      <c r="GQ56" s="296"/>
      <c r="GR56" s="296"/>
      <c r="GS56" s="296"/>
      <c r="GT56" s="296"/>
      <c r="GU56" s="296"/>
      <c r="GV56" s="296"/>
      <c r="GW56" s="296"/>
      <c r="GX56" s="296"/>
      <c r="GY56" s="296"/>
      <c r="GZ56" s="296"/>
      <c r="HA56" s="296"/>
      <c r="HB56" s="296"/>
      <c r="HC56" s="296"/>
      <c r="HD56" s="296"/>
      <c r="HE56" s="296"/>
      <c r="HF56" s="296"/>
      <c r="HG56" s="296"/>
      <c r="HH56" s="296"/>
      <c r="HI56" s="296"/>
    </row>
    <row r="57" spans="1:217" ht="15" customHeight="1" thickBot="1">
      <c r="A57" s="150"/>
      <c r="B57" s="150"/>
      <c r="C57" s="361" t="str">
        <f>IF([3]MasterSheet!$A$1=1,[3]MasterSheet!C312,[3]MasterSheet!B312)</f>
        <v>Rezerve</v>
      </c>
      <c r="D57" s="362">
        <f>+'[3]Cental Budget_int'!D80+'[3]Local Government_int'!D74</f>
        <v>32087326.02</v>
      </c>
      <c r="E57" s="363">
        <f t="shared" si="14"/>
        <v>1.4931977300013961</v>
      </c>
      <c r="F57" s="362">
        <f>+'[3]Cental Budget_int'!F80+'[3]Local Government_int'!F74</f>
        <v>18948782.990000002</v>
      </c>
      <c r="G57" s="363">
        <f t="shared" si="15"/>
        <v>0.70691225480320852</v>
      </c>
      <c r="H57" s="362">
        <f>+'[3]Cental Budget_int'!H80+'[3]Local Government_int'!H74</f>
        <v>19338060.239999998</v>
      </c>
      <c r="I57" s="363">
        <f t="shared" si="16"/>
        <v>0.62671960850401853</v>
      </c>
      <c r="J57" s="362">
        <f>+'[3]Cental Budget_int'!J80+'[3]Local Government_int'!J74</f>
        <v>14515250.59</v>
      </c>
      <c r="K57" s="363">
        <f t="shared" si="17"/>
        <v>0.48692554813820865</v>
      </c>
      <c r="L57" s="362">
        <f>+'[3]Cental Budget_int'!L80+'[3]Local Government_int'!L74</f>
        <v>15839952.310000001</v>
      </c>
      <c r="M57" s="363">
        <f t="shared" si="18"/>
        <v>0.50687847392000007</v>
      </c>
      <c r="N57" s="362">
        <f>+'[3]Cental Budget_int'!N80+'[3]Local Government_int'!N74</f>
        <v>14085755.789999999</v>
      </c>
      <c r="O57" s="363">
        <f t="shared" si="19"/>
        <v>0.43141671638591117</v>
      </c>
      <c r="P57" s="362">
        <f>+'[3]Cental Budget_int'!P80+'[3]Local Government_int'!P74</f>
        <v>21536009.560000002</v>
      </c>
      <c r="Q57" s="363">
        <f t="shared" si="20"/>
        <v>0.67702010562716131</v>
      </c>
      <c r="R57" s="362">
        <f>+'[3]Cental Budget_int'!R80+'[3]Local Government_int'!R74</f>
        <v>15943054.059999999</v>
      </c>
      <c r="S57" s="363">
        <f t="shared" si="9"/>
        <v>0.47421338667459839</v>
      </c>
      <c r="T57" s="362">
        <f>+'[3]Cental Budget_int'!T80+'[3]Local Government_int'!T74</f>
        <v>15997463.290000001</v>
      </c>
      <c r="U57" s="363">
        <f t="shared" si="10"/>
        <v>0.46263522050955785</v>
      </c>
      <c r="V57" s="362">
        <f>+'[3]Cental Budget_int'!V80+'[3]Local Government_int'!V74</f>
        <v>18527677.710000001</v>
      </c>
      <c r="W57" s="364">
        <f t="shared" si="11"/>
        <v>0.50691320683994534</v>
      </c>
      <c r="X57" s="362">
        <f>'Cental Budget'!X80+'Local Government_int'!X74</f>
        <v>20839243.77</v>
      </c>
      <c r="Y57" s="363">
        <f t="shared" si="21"/>
        <v>0.52701542081837027</v>
      </c>
      <c r="Z57" s="362">
        <f>'Cental Budget'!Z80+'Local Government_int'!Z74</f>
        <v>21680036.399999999</v>
      </c>
      <c r="AA57" s="363">
        <f t="shared" si="22"/>
        <v>0.51174404343207835</v>
      </c>
      <c r="AB57" s="513"/>
      <c r="AC57" s="513"/>
      <c r="AD57" s="511"/>
      <c r="AE57" s="511"/>
      <c r="AF57" s="511"/>
      <c r="AG57" s="511"/>
      <c r="AH57" s="511"/>
      <c r="AI57" s="511"/>
      <c r="AJ57" s="511"/>
      <c r="AK57" s="511"/>
      <c r="AL57" s="511"/>
      <c r="AM57" s="511"/>
      <c r="AN57" s="511"/>
      <c r="AO57" s="511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6"/>
      <c r="BP57" s="296"/>
      <c r="BQ57" s="296"/>
      <c r="BR57" s="296"/>
      <c r="BS57" s="296"/>
      <c r="BT57" s="296"/>
      <c r="BU57" s="296"/>
      <c r="BV57" s="296"/>
      <c r="BW57" s="296"/>
      <c r="BX57" s="296"/>
      <c r="BY57" s="296"/>
      <c r="BZ57" s="296"/>
      <c r="CA57" s="296"/>
      <c r="CB57" s="296"/>
      <c r="CC57" s="296"/>
      <c r="CD57" s="296"/>
      <c r="CE57" s="296"/>
      <c r="CF57" s="296"/>
      <c r="CG57" s="296"/>
      <c r="CH57" s="296"/>
      <c r="CI57" s="296"/>
      <c r="CJ57" s="296"/>
      <c r="CK57" s="296"/>
      <c r="CL57" s="296"/>
      <c r="CM57" s="296"/>
      <c r="CN57" s="296"/>
      <c r="CO57" s="296"/>
      <c r="CP57" s="296"/>
      <c r="CQ57" s="296"/>
      <c r="CR57" s="296"/>
      <c r="CS57" s="296"/>
      <c r="CT57" s="296"/>
      <c r="CU57" s="296"/>
      <c r="CV57" s="296"/>
      <c r="CW57" s="296"/>
      <c r="CX57" s="296"/>
      <c r="CY57" s="296"/>
      <c r="CZ57" s="296"/>
      <c r="DA57" s="296"/>
      <c r="DB57" s="296"/>
      <c r="DC57" s="296"/>
      <c r="DD57" s="296"/>
      <c r="DE57" s="296"/>
      <c r="DF57" s="296"/>
      <c r="DG57" s="296"/>
      <c r="DH57" s="296"/>
      <c r="DI57" s="296"/>
      <c r="DJ57" s="296"/>
      <c r="DK57" s="296"/>
      <c r="DL57" s="296"/>
      <c r="DM57" s="296"/>
      <c r="DN57" s="296"/>
      <c r="DO57" s="296"/>
      <c r="DP57" s="296"/>
      <c r="DQ57" s="296"/>
      <c r="DR57" s="296"/>
      <c r="DS57" s="296"/>
      <c r="DT57" s="296"/>
      <c r="DU57" s="296"/>
      <c r="DV57" s="296"/>
      <c r="DW57" s="296"/>
      <c r="DX57" s="296"/>
      <c r="DY57" s="296"/>
      <c r="DZ57" s="296"/>
      <c r="EA57" s="296"/>
      <c r="EB57" s="296"/>
      <c r="EC57" s="296"/>
      <c r="ED57" s="296"/>
      <c r="EE57" s="296"/>
      <c r="EF57" s="296"/>
      <c r="EG57" s="296"/>
      <c r="EH57" s="296"/>
      <c r="EI57" s="296"/>
      <c r="EJ57" s="296"/>
      <c r="EK57" s="296"/>
      <c r="EL57" s="296"/>
      <c r="EM57" s="296"/>
      <c r="EN57" s="296"/>
      <c r="EO57" s="296"/>
      <c r="EP57" s="296"/>
      <c r="EQ57" s="296"/>
      <c r="ER57" s="296"/>
      <c r="ES57" s="296"/>
      <c r="ET57" s="296"/>
      <c r="EU57" s="296"/>
      <c r="EV57" s="296"/>
      <c r="EW57" s="296"/>
      <c r="EX57" s="296"/>
      <c r="EY57" s="296"/>
      <c r="EZ57" s="296"/>
      <c r="FA57" s="296"/>
      <c r="FB57" s="296"/>
      <c r="FC57" s="296"/>
      <c r="FD57" s="296"/>
      <c r="FE57" s="297"/>
      <c r="FF57" s="296"/>
      <c r="FG57" s="296"/>
      <c r="FH57" s="296"/>
      <c r="FI57" s="296"/>
      <c r="FJ57" s="296"/>
      <c r="FK57" s="296"/>
      <c r="FL57" s="296"/>
      <c r="FM57" s="296"/>
      <c r="FN57" s="296"/>
      <c r="FO57" s="296"/>
      <c r="FP57" s="296"/>
      <c r="FQ57" s="296"/>
      <c r="FR57" s="296"/>
      <c r="FS57" s="296"/>
      <c r="FT57" s="296"/>
      <c r="FU57" s="296"/>
      <c r="FV57" s="296"/>
      <c r="FW57" s="296"/>
      <c r="FX57" s="296"/>
      <c r="FY57" s="296"/>
      <c r="FZ57" s="296"/>
      <c r="GA57" s="296"/>
      <c r="GB57" s="296"/>
      <c r="GC57" s="296"/>
      <c r="GD57" s="296"/>
      <c r="GE57" s="296"/>
      <c r="GF57" s="296"/>
      <c r="GG57" s="296"/>
      <c r="GH57" s="296"/>
      <c r="GI57" s="296"/>
      <c r="GJ57" s="296"/>
      <c r="GK57" s="296"/>
      <c r="GL57" s="296"/>
      <c r="GM57" s="296"/>
      <c r="GN57" s="296"/>
      <c r="GO57" s="296"/>
      <c r="GP57" s="296"/>
      <c r="GQ57" s="296"/>
      <c r="GR57" s="296"/>
      <c r="GS57" s="296"/>
      <c r="GT57" s="296"/>
      <c r="GU57" s="296"/>
      <c r="GV57" s="296"/>
      <c r="GW57" s="296"/>
      <c r="GX57" s="296"/>
      <c r="GY57" s="296"/>
      <c r="GZ57" s="296"/>
      <c r="HA57" s="296"/>
      <c r="HB57" s="296"/>
      <c r="HC57" s="296"/>
      <c r="HD57" s="296"/>
      <c r="HE57" s="296"/>
      <c r="HF57" s="296"/>
      <c r="HG57" s="296"/>
      <c r="HH57" s="296"/>
      <c r="HI57" s="296"/>
    </row>
    <row r="58" spans="1:217" ht="15" customHeight="1" thickTop="1" thickBot="1">
      <c r="A58" s="150"/>
      <c r="B58" s="150"/>
      <c r="C58" s="365" t="str">
        <f>IF([3]MasterSheet!$A$1=1,[3]MasterSheet!C320,[3]MasterSheet!B320)</f>
        <v>Otplata garancija</v>
      </c>
      <c r="D58" s="366">
        <f>+'[3]Cental Budget_int'!D81+'[3]Local Government_int'!D75</f>
        <v>1050939.44</v>
      </c>
      <c r="E58" s="367">
        <f t="shared" si="14"/>
        <v>4.8905925822513845E-2</v>
      </c>
      <c r="F58" s="366">
        <f>+'[3]Cental Budget_int'!F81+'[3]Local Government_int'!F75</f>
        <v>0</v>
      </c>
      <c r="G58" s="368">
        <f t="shared" si="15"/>
        <v>0</v>
      </c>
      <c r="H58" s="366">
        <f>+'[3]Cental Budget_int'!H81+'[3]Local Government_int'!H75</f>
        <v>50207</v>
      </c>
      <c r="I58" s="368">
        <f t="shared" si="16"/>
        <v>1.6271389681099299E-3</v>
      </c>
      <c r="J58" s="366">
        <f>+'[3]Cental Budget_int'!J81+'[3]Local Government_int'!J75</f>
        <v>1769094</v>
      </c>
      <c r="K58" s="367">
        <f t="shared" si="17"/>
        <v>5.9345655820194562E-2</v>
      </c>
      <c r="L58" s="366">
        <f>+'[3]Cental Budget_int'!L81+'[3]Local Government_int'!L75</f>
        <v>0</v>
      </c>
      <c r="M58" s="368">
        <f t="shared" si="18"/>
        <v>0</v>
      </c>
      <c r="N58" s="366">
        <f>+'[3]Cental Budget_int'!N81+'[3]Local Government_int'!N75</f>
        <v>34112641.390000001</v>
      </c>
      <c r="O58" s="367">
        <f t="shared" si="19"/>
        <v>1.0447975923430322</v>
      </c>
      <c r="P58" s="366">
        <f>+'[3]Cental Budget_int'!P81+'[3]Local Government_int'!P75</f>
        <v>24719832.629999999</v>
      </c>
      <c r="Q58" s="367">
        <f t="shared" si="20"/>
        <v>0.77710885350518699</v>
      </c>
      <c r="R58" s="366">
        <f>+'[3]Cental Budget_int'!R81+'[3]Local Government_int'!R75</f>
        <v>107230592.5</v>
      </c>
      <c r="S58" s="367">
        <f t="shared" si="9"/>
        <v>3.1894881766805474</v>
      </c>
      <c r="T58" s="366">
        <f>+'[3]Cental Budget_int'!T81+'[3]Local Government_int'!T75</f>
        <v>15258930.949999999</v>
      </c>
      <c r="U58" s="367">
        <f t="shared" si="10"/>
        <v>0.44127739234795682</v>
      </c>
      <c r="V58" s="366">
        <f>+'[3]Cental Budget_int'!V81+'[3]Local Government_int'!V75</f>
        <v>0</v>
      </c>
      <c r="W58" s="369">
        <f t="shared" si="11"/>
        <v>0</v>
      </c>
      <c r="X58" s="366">
        <f>'Cental Budget'!X81+'Local Government_int'!X75</f>
        <v>0</v>
      </c>
      <c r="Y58" s="367">
        <f t="shared" si="21"/>
        <v>0</v>
      </c>
      <c r="Z58" s="366">
        <f>'Cental Budget'!Z81+'Local Government_int'!Z75</f>
        <v>0</v>
      </c>
      <c r="AA58" s="367">
        <f t="shared" si="22"/>
        <v>0</v>
      </c>
      <c r="AB58" s="513"/>
      <c r="AC58" s="513"/>
      <c r="AD58" s="511"/>
      <c r="AE58" s="511"/>
      <c r="AF58" s="511"/>
      <c r="AG58" s="511"/>
      <c r="AH58" s="511"/>
      <c r="AI58" s="511"/>
      <c r="AJ58" s="511"/>
      <c r="AK58" s="511"/>
      <c r="AL58" s="511"/>
      <c r="AM58" s="511"/>
      <c r="AN58" s="511"/>
      <c r="AO58" s="511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6"/>
      <c r="BO58" s="296"/>
      <c r="BP58" s="296"/>
      <c r="BQ58" s="296"/>
      <c r="BR58" s="296"/>
      <c r="BS58" s="296"/>
      <c r="BT58" s="296"/>
      <c r="BU58" s="296"/>
      <c r="BV58" s="296"/>
      <c r="BW58" s="296"/>
      <c r="BX58" s="296"/>
      <c r="BY58" s="296"/>
      <c r="BZ58" s="296"/>
      <c r="CA58" s="296"/>
      <c r="CB58" s="296"/>
      <c r="CC58" s="296"/>
      <c r="CD58" s="296"/>
      <c r="CE58" s="296"/>
      <c r="CF58" s="296"/>
      <c r="CG58" s="296"/>
      <c r="CH58" s="296"/>
      <c r="CI58" s="296"/>
      <c r="CJ58" s="296"/>
      <c r="CK58" s="296"/>
      <c r="CL58" s="296"/>
      <c r="CM58" s="296"/>
      <c r="CN58" s="296"/>
      <c r="CO58" s="296"/>
      <c r="CP58" s="296"/>
      <c r="CQ58" s="296"/>
      <c r="CR58" s="296"/>
      <c r="CS58" s="296"/>
      <c r="CT58" s="296"/>
      <c r="CU58" s="296"/>
      <c r="CV58" s="296"/>
      <c r="CW58" s="296"/>
      <c r="CX58" s="296"/>
      <c r="CY58" s="296"/>
      <c r="CZ58" s="296"/>
      <c r="DA58" s="296"/>
      <c r="DB58" s="296"/>
      <c r="DC58" s="296"/>
      <c r="DD58" s="296"/>
      <c r="DE58" s="296"/>
      <c r="DF58" s="296"/>
      <c r="DG58" s="296"/>
      <c r="DH58" s="296"/>
      <c r="DI58" s="296"/>
      <c r="DJ58" s="296"/>
      <c r="DK58" s="296"/>
      <c r="DL58" s="296"/>
      <c r="DM58" s="296"/>
      <c r="DN58" s="296"/>
      <c r="DO58" s="296"/>
      <c r="DP58" s="296"/>
      <c r="DQ58" s="296"/>
      <c r="DR58" s="296"/>
      <c r="DS58" s="296"/>
      <c r="DT58" s="296"/>
      <c r="DU58" s="296"/>
      <c r="DV58" s="296"/>
      <c r="DW58" s="296"/>
      <c r="DX58" s="296"/>
      <c r="DY58" s="296"/>
      <c r="DZ58" s="296"/>
      <c r="EA58" s="296"/>
      <c r="EB58" s="296"/>
      <c r="EC58" s="296"/>
      <c r="ED58" s="296"/>
      <c r="EE58" s="296"/>
      <c r="EF58" s="296"/>
      <c r="EG58" s="296"/>
      <c r="EH58" s="296"/>
      <c r="EI58" s="296"/>
      <c r="EJ58" s="296"/>
      <c r="EK58" s="296"/>
      <c r="EL58" s="296"/>
      <c r="EM58" s="296"/>
      <c r="EN58" s="296"/>
      <c r="EO58" s="296"/>
      <c r="EP58" s="296"/>
      <c r="EQ58" s="296"/>
      <c r="ER58" s="296"/>
      <c r="ES58" s="296"/>
      <c r="ET58" s="296"/>
      <c r="EU58" s="296"/>
      <c r="EV58" s="296"/>
      <c r="EW58" s="296"/>
      <c r="EX58" s="296"/>
      <c r="EY58" s="296"/>
      <c r="EZ58" s="296"/>
      <c r="FA58" s="296"/>
      <c r="FB58" s="296"/>
      <c r="FC58" s="296"/>
      <c r="FD58" s="296"/>
      <c r="FE58" s="297"/>
      <c r="FF58" s="296"/>
      <c r="FG58" s="296"/>
      <c r="FH58" s="296"/>
      <c r="FI58" s="296"/>
      <c r="FJ58" s="296"/>
      <c r="FK58" s="296"/>
      <c r="FL58" s="296"/>
      <c r="FM58" s="296"/>
      <c r="FN58" s="296"/>
      <c r="FO58" s="296"/>
      <c r="FP58" s="296"/>
      <c r="FQ58" s="296"/>
      <c r="FR58" s="296"/>
      <c r="FS58" s="296"/>
      <c r="FT58" s="296"/>
      <c r="FU58" s="296"/>
      <c r="FV58" s="296"/>
      <c r="FW58" s="296"/>
      <c r="FX58" s="296"/>
      <c r="FY58" s="296"/>
      <c r="FZ58" s="296"/>
      <c r="GA58" s="296"/>
      <c r="GB58" s="296"/>
      <c r="GC58" s="296"/>
      <c r="GD58" s="296"/>
      <c r="GE58" s="296"/>
      <c r="GF58" s="296"/>
      <c r="GG58" s="296"/>
      <c r="GH58" s="296"/>
      <c r="GI58" s="296"/>
      <c r="GJ58" s="296"/>
      <c r="GK58" s="296"/>
      <c r="GL58" s="296"/>
      <c r="GM58" s="296"/>
      <c r="GN58" s="296"/>
      <c r="GO58" s="296"/>
      <c r="GP58" s="296"/>
      <c r="GQ58" s="296"/>
      <c r="GR58" s="296"/>
      <c r="GS58" s="296"/>
      <c r="GT58" s="296"/>
      <c r="GU58" s="296"/>
      <c r="GV58" s="296"/>
      <c r="GW58" s="296"/>
      <c r="GX58" s="296"/>
      <c r="GY58" s="296"/>
      <c r="GZ58" s="296"/>
      <c r="HA58" s="296"/>
      <c r="HB58" s="296"/>
      <c r="HC58" s="296"/>
      <c r="HD58" s="296"/>
      <c r="HE58" s="296"/>
      <c r="HF58" s="296"/>
      <c r="HG58" s="296"/>
      <c r="HH58" s="296"/>
      <c r="HI58" s="296"/>
    </row>
    <row r="59" spans="1:217" ht="15" customHeight="1" thickTop="1" thickBot="1">
      <c r="A59" s="150"/>
      <c r="B59" s="150"/>
      <c r="C59" s="370" t="str">
        <f>IF([3]MasterSheet!$A$1=1,[3]MasterSheet!C313,[3]MasterSheet!B313)</f>
        <v>Neto povećanje obaveza</v>
      </c>
      <c r="D59" s="371">
        <f>+'[3]Cental Budget_int'!D83+'[3]Local Government_int'!D76</f>
        <v>0</v>
      </c>
      <c r="E59" s="372">
        <f t="shared" si="14"/>
        <v>0</v>
      </c>
      <c r="F59" s="371">
        <f>+'[3]Cental Budget_int'!F83+'[3]Local Government_int'!F76</f>
        <v>0</v>
      </c>
      <c r="G59" s="372">
        <f t="shared" si="15"/>
        <v>0</v>
      </c>
      <c r="H59" s="371">
        <f>+'[3]Cental Budget_int'!H83+'[3]Local Government_int'!H76</f>
        <v>0</v>
      </c>
      <c r="I59" s="372">
        <f t="shared" si="16"/>
        <v>0</v>
      </c>
      <c r="J59" s="371">
        <f>+'[3]Cental Budget_int'!J83+'[3]Local Government_int'!J76</f>
        <v>0</v>
      </c>
      <c r="K59" s="372">
        <f t="shared" si="17"/>
        <v>0</v>
      </c>
      <c r="L59" s="371">
        <f>+'[3]Cental Budget_int'!L83+'[3]Local Government_int'!L76</f>
        <v>0</v>
      </c>
      <c r="M59" s="372">
        <f t="shared" si="18"/>
        <v>0</v>
      </c>
      <c r="N59" s="371">
        <f>+'[3]Cental Budget_int'!N83+'[3]Local Government_int'!N76</f>
        <v>-4851519.62</v>
      </c>
      <c r="O59" s="372">
        <f t="shared" si="19"/>
        <v>-0.14859171883614089</v>
      </c>
      <c r="P59" s="371">
        <f>+'[3]Cental Budget_int'!P83+'[3]Local Government_int'!P76</f>
        <v>11275907.500000015</v>
      </c>
      <c r="Q59" s="372">
        <f t="shared" si="20"/>
        <v>0.35447681546683479</v>
      </c>
      <c r="R59" s="371">
        <f>+'[3]Cental Budget_int'!R83+'[3]Local Government_int'!R76</f>
        <v>21868962.477300003</v>
      </c>
      <c r="S59" s="372">
        <f t="shared" si="9"/>
        <v>0.65047479111540762</v>
      </c>
      <c r="T59" s="371">
        <f>+'[3]Cental Budget_int'!T83+'[3]Local Government_int'!T76</f>
        <v>6513211.9100000113</v>
      </c>
      <c r="U59" s="372">
        <f t="shared" si="10"/>
        <v>0.18835743977558667</v>
      </c>
      <c r="V59" s="371">
        <f>+'[3]Cental Budget_int'!V83+'[3]Local Government_int'!V76</f>
        <v>-37660103.760000005</v>
      </c>
      <c r="W59" s="373">
        <f t="shared" si="11"/>
        <v>-1.030372195896033</v>
      </c>
      <c r="X59" s="371">
        <f>'Cental Budget'!X83+'Local Government_int'!X76</f>
        <v>-30120611.559999999</v>
      </c>
      <c r="Y59" s="372">
        <f t="shared" si="21"/>
        <v>-0.76173717970765253</v>
      </c>
      <c r="Z59" s="371">
        <f>'Cental Budget'!Z83+'Local Government_int'!Z76</f>
        <v>15942231.74</v>
      </c>
      <c r="AA59" s="372">
        <f t="shared" si="22"/>
        <v>0.37630666210315122</v>
      </c>
      <c r="AB59" s="513"/>
      <c r="AC59" s="513"/>
      <c r="AD59" s="511"/>
      <c r="AE59" s="511"/>
      <c r="AF59" s="511"/>
      <c r="AG59" s="511"/>
      <c r="AH59" s="511"/>
      <c r="AI59" s="511"/>
      <c r="AJ59" s="511"/>
      <c r="AK59" s="511"/>
      <c r="AL59" s="511"/>
      <c r="AM59" s="511"/>
      <c r="AN59" s="511"/>
      <c r="AO59" s="511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6"/>
      <c r="BO59" s="296"/>
      <c r="BP59" s="296"/>
      <c r="BQ59" s="296"/>
      <c r="BR59" s="296"/>
      <c r="BS59" s="296"/>
      <c r="BT59" s="296"/>
      <c r="BU59" s="296"/>
      <c r="BV59" s="296"/>
      <c r="BW59" s="296"/>
      <c r="BX59" s="296"/>
      <c r="BY59" s="296"/>
      <c r="BZ59" s="296"/>
      <c r="CA59" s="296"/>
      <c r="CB59" s="296"/>
      <c r="CC59" s="296"/>
      <c r="CD59" s="296"/>
      <c r="CE59" s="296"/>
      <c r="CF59" s="296"/>
      <c r="CG59" s="296"/>
      <c r="CH59" s="296"/>
      <c r="CI59" s="296"/>
      <c r="CJ59" s="296"/>
      <c r="CK59" s="296"/>
      <c r="CL59" s="296"/>
      <c r="CM59" s="296"/>
      <c r="CN59" s="296"/>
      <c r="CO59" s="296"/>
      <c r="CP59" s="296"/>
      <c r="CQ59" s="296"/>
      <c r="CR59" s="296"/>
      <c r="CS59" s="296"/>
      <c r="CT59" s="296"/>
      <c r="CU59" s="296"/>
      <c r="CV59" s="296"/>
      <c r="CW59" s="296"/>
      <c r="CX59" s="296"/>
      <c r="CY59" s="296"/>
      <c r="CZ59" s="296"/>
      <c r="DA59" s="296"/>
      <c r="DB59" s="296"/>
      <c r="DC59" s="296"/>
      <c r="DD59" s="296"/>
      <c r="DE59" s="296"/>
      <c r="DF59" s="296"/>
      <c r="DG59" s="296"/>
      <c r="DH59" s="296"/>
      <c r="DI59" s="296"/>
      <c r="DJ59" s="296"/>
      <c r="DK59" s="296"/>
      <c r="DL59" s="296"/>
      <c r="DM59" s="296"/>
      <c r="DN59" s="296"/>
      <c r="DO59" s="296"/>
      <c r="DP59" s="296"/>
      <c r="DQ59" s="296"/>
      <c r="DR59" s="296"/>
      <c r="DS59" s="296"/>
      <c r="DT59" s="296"/>
      <c r="DU59" s="296"/>
      <c r="DV59" s="296"/>
      <c r="DW59" s="296"/>
      <c r="DX59" s="296"/>
      <c r="DY59" s="296"/>
      <c r="DZ59" s="296"/>
      <c r="EA59" s="296"/>
      <c r="EB59" s="296"/>
      <c r="EC59" s="296"/>
      <c r="ED59" s="296"/>
      <c r="EE59" s="296"/>
      <c r="EF59" s="296"/>
      <c r="EG59" s="296"/>
      <c r="EH59" s="296"/>
      <c r="EI59" s="296"/>
      <c r="EJ59" s="296"/>
      <c r="EK59" s="296"/>
      <c r="EL59" s="296"/>
      <c r="EM59" s="296"/>
      <c r="EN59" s="296"/>
      <c r="EO59" s="296"/>
      <c r="EP59" s="296"/>
      <c r="EQ59" s="296"/>
      <c r="ER59" s="296"/>
      <c r="ES59" s="296"/>
      <c r="ET59" s="296"/>
      <c r="EU59" s="296"/>
      <c r="EV59" s="296"/>
      <c r="EW59" s="296"/>
      <c r="EX59" s="296"/>
      <c r="EY59" s="296"/>
      <c r="EZ59" s="296"/>
      <c r="FA59" s="296"/>
      <c r="FB59" s="296"/>
      <c r="FC59" s="296"/>
      <c r="FD59" s="296"/>
      <c r="FE59" s="297"/>
      <c r="FF59" s="296"/>
      <c r="FG59" s="296"/>
      <c r="FH59" s="296"/>
      <c r="FI59" s="296"/>
      <c r="FJ59" s="296"/>
      <c r="FK59" s="296"/>
      <c r="FL59" s="296"/>
      <c r="FM59" s="296"/>
      <c r="FN59" s="296"/>
      <c r="FO59" s="296"/>
      <c r="FP59" s="296"/>
      <c r="FQ59" s="296"/>
      <c r="FR59" s="296"/>
      <c r="FS59" s="296"/>
      <c r="FT59" s="296"/>
      <c r="FU59" s="296"/>
      <c r="FV59" s="296"/>
      <c r="FW59" s="296"/>
      <c r="FX59" s="296"/>
      <c r="FY59" s="296"/>
      <c r="FZ59" s="296"/>
      <c r="GA59" s="296"/>
      <c r="GB59" s="296"/>
      <c r="GC59" s="296"/>
      <c r="GD59" s="296"/>
      <c r="GE59" s="296"/>
      <c r="GF59" s="296"/>
      <c r="GG59" s="296"/>
      <c r="GH59" s="296"/>
      <c r="GI59" s="296"/>
      <c r="GJ59" s="296"/>
      <c r="GK59" s="296"/>
      <c r="GL59" s="296"/>
      <c r="GM59" s="296"/>
      <c r="GN59" s="296"/>
      <c r="GO59" s="296"/>
      <c r="GP59" s="296"/>
      <c r="GQ59" s="296"/>
      <c r="GR59" s="296"/>
      <c r="GS59" s="296"/>
      <c r="GT59" s="296"/>
      <c r="GU59" s="296"/>
      <c r="GV59" s="296"/>
      <c r="GW59" s="296"/>
      <c r="GX59" s="296"/>
      <c r="GY59" s="296"/>
      <c r="GZ59" s="296"/>
      <c r="HA59" s="296"/>
      <c r="HB59" s="296"/>
      <c r="HC59" s="296"/>
      <c r="HD59" s="296"/>
      <c r="HE59" s="296"/>
      <c r="HF59" s="296"/>
      <c r="HG59" s="296"/>
      <c r="HH59" s="296"/>
      <c r="HI59" s="296"/>
    </row>
    <row r="60" spans="1:217" ht="15" customHeight="1" thickTop="1" thickBot="1">
      <c r="A60" s="150"/>
      <c r="B60" s="150"/>
      <c r="C60" s="370" t="s">
        <v>115</v>
      </c>
      <c r="D60" s="371">
        <f>'[3]Cental Budget_int'!D82+'[3]Local Government_int'!D73</f>
        <v>0</v>
      </c>
      <c r="E60" s="372">
        <f t="shared" si="14"/>
        <v>0</v>
      </c>
      <c r="F60" s="371">
        <f>'[3]Cental Budget_int'!F82+'[3]Local Government_int'!F73</f>
        <v>0</v>
      </c>
      <c r="G60" s="372">
        <f t="shared" si="15"/>
        <v>0</v>
      </c>
      <c r="H60" s="371">
        <f>'[3]Cental Budget_int'!H82+'[3]Local Government_int'!H73</f>
        <v>0</v>
      </c>
      <c r="I60" s="372">
        <f t="shared" si="16"/>
        <v>0</v>
      </c>
      <c r="J60" s="371">
        <f>'[3]Cental Budget_int'!J82+'[3]Local Government_int'!J73</f>
        <v>29123695</v>
      </c>
      <c r="K60" s="372">
        <f t="shared" si="17"/>
        <v>0.97697735659174767</v>
      </c>
      <c r="L60" s="371">
        <f>'[3]Cental Budget_int'!L82+'[3]Local Government_int'!L73</f>
        <v>29801619</v>
      </c>
      <c r="M60" s="372">
        <f t="shared" si="18"/>
        <v>0.95365180800000005</v>
      </c>
      <c r="N60" s="371">
        <f>'[3]Cental Budget_int'!N82+'[3]Local Government_int'!N73</f>
        <v>29193709</v>
      </c>
      <c r="O60" s="372">
        <f t="shared" si="19"/>
        <v>0.89414116385911169</v>
      </c>
      <c r="P60" s="371">
        <f>'[3]Cental Budget_int'!P82+'[3]Local Government_int'!P73</f>
        <v>33114247</v>
      </c>
      <c r="Q60" s="372">
        <f t="shared" si="20"/>
        <v>1.0410011631562401</v>
      </c>
      <c r="R60" s="371">
        <f>'[3]Cental Budget_int'!R82+'[3]Local Government_int'!R73</f>
        <v>60543190.100000001</v>
      </c>
      <c r="S60" s="372">
        <f t="shared" si="9"/>
        <v>1.800808747769185</v>
      </c>
      <c r="T60" s="371">
        <f>'[3]Cental Budget_int'!T82+'[3]Local Government_int'!T73</f>
        <v>105780962.19999999</v>
      </c>
      <c r="U60" s="372">
        <f t="shared" si="10"/>
        <v>3.0591099279909768</v>
      </c>
      <c r="V60" s="371">
        <f>'[3]Cental Budget_int'!V82+'[3]Local Government_int'!V73</f>
        <v>124526647.39999995</v>
      </c>
      <c r="W60" s="373">
        <f t="shared" si="11"/>
        <v>3.4070218166894648</v>
      </c>
      <c r="X60" s="371">
        <f>'Cental Budget'!X82+'Local Government_int'!X73</f>
        <v>108632309.99000001</v>
      </c>
      <c r="Y60" s="372">
        <f t="shared" si="21"/>
        <v>2.7472639216529262</v>
      </c>
      <c r="Z60" s="371">
        <f>'Cental Budget'!Z82+'Local Government_int'!Z73</f>
        <v>71895733.290000007</v>
      </c>
      <c r="AA60" s="372">
        <f t="shared" si="22"/>
        <v>1.6970549578661633</v>
      </c>
      <c r="AB60" s="513"/>
      <c r="AC60" s="513"/>
      <c r="AD60" s="511"/>
      <c r="AE60" s="511"/>
      <c r="AF60" s="511"/>
      <c r="AG60" s="511"/>
      <c r="AH60" s="511"/>
      <c r="AI60" s="511"/>
      <c r="AJ60" s="511"/>
      <c r="AK60" s="511"/>
      <c r="AL60" s="511"/>
      <c r="AM60" s="511"/>
      <c r="AN60" s="511"/>
      <c r="AO60" s="511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6"/>
      <c r="BO60" s="296"/>
      <c r="BP60" s="296"/>
      <c r="BQ60" s="296"/>
      <c r="BR60" s="296"/>
      <c r="BS60" s="296"/>
      <c r="BT60" s="296"/>
      <c r="BU60" s="296"/>
      <c r="BV60" s="296"/>
      <c r="BW60" s="296"/>
      <c r="BX60" s="296"/>
      <c r="BY60" s="296"/>
      <c r="BZ60" s="296"/>
      <c r="CA60" s="296"/>
      <c r="CB60" s="296"/>
      <c r="CC60" s="296"/>
      <c r="CD60" s="296"/>
      <c r="CE60" s="296"/>
      <c r="CF60" s="296"/>
      <c r="CG60" s="296"/>
      <c r="CH60" s="296"/>
      <c r="CI60" s="296"/>
      <c r="CJ60" s="296"/>
      <c r="CK60" s="296"/>
      <c r="CL60" s="296"/>
      <c r="CM60" s="296"/>
      <c r="CN60" s="296"/>
      <c r="CO60" s="296"/>
      <c r="CP60" s="296"/>
      <c r="CQ60" s="296"/>
      <c r="CR60" s="296"/>
      <c r="CS60" s="296"/>
      <c r="CT60" s="296"/>
      <c r="CU60" s="296"/>
      <c r="CV60" s="296"/>
      <c r="CW60" s="296"/>
      <c r="CX60" s="296"/>
      <c r="CY60" s="296"/>
      <c r="CZ60" s="296"/>
      <c r="DA60" s="296"/>
      <c r="DB60" s="296"/>
      <c r="DC60" s="296"/>
      <c r="DD60" s="296"/>
      <c r="DE60" s="296"/>
      <c r="DF60" s="296"/>
      <c r="DG60" s="296"/>
      <c r="DH60" s="296"/>
      <c r="DI60" s="296"/>
      <c r="DJ60" s="296"/>
      <c r="DK60" s="296"/>
      <c r="DL60" s="296"/>
      <c r="DM60" s="296"/>
      <c r="DN60" s="296"/>
      <c r="DO60" s="296"/>
      <c r="DP60" s="296"/>
      <c r="DQ60" s="296"/>
      <c r="DR60" s="296"/>
      <c r="DS60" s="296"/>
      <c r="DT60" s="296"/>
      <c r="DU60" s="296"/>
      <c r="DV60" s="296"/>
      <c r="DW60" s="296"/>
      <c r="DX60" s="296"/>
      <c r="DY60" s="296"/>
      <c r="DZ60" s="296"/>
      <c r="EA60" s="296"/>
      <c r="EB60" s="296"/>
      <c r="EC60" s="296"/>
      <c r="ED60" s="296"/>
      <c r="EE60" s="296"/>
      <c r="EF60" s="296"/>
      <c r="EG60" s="296"/>
      <c r="EH60" s="296"/>
      <c r="EI60" s="296"/>
      <c r="EJ60" s="296"/>
      <c r="EK60" s="296"/>
      <c r="EL60" s="296"/>
      <c r="EM60" s="296"/>
      <c r="EN60" s="296"/>
      <c r="EO60" s="296"/>
      <c r="EP60" s="296"/>
      <c r="EQ60" s="296"/>
      <c r="ER60" s="296"/>
      <c r="ES60" s="296"/>
      <c r="ET60" s="296"/>
      <c r="EU60" s="296"/>
      <c r="EV60" s="296"/>
      <c r="EW60" s="296"/>
      <c r="EX60" s="296"/>
      <c r="EY60" s="296"/>
      <c r="EZ60" s="296"/>
      <c r="FA60" s="296"/>
      <c r="FB60" s="296"/>
      <c r="FC60" s="296"/>
      <c r="FD60" s="296"/>
      <c r="FE60" s="297"/>
      <c r="FF60" s="296"/>
      <c r="FG60" s="296"/>
      <c r="FH60" s="296"/>
      <c r="FI60" s="296"/>
      <c r="FJ60" s="296"/>
      <c r="FK60" s="296"/>
      <c r="FL60" s="296"/>
      <c r="FM60" s="296"/>
      <c r="FN60" s="296"/>
      <c r="FO60" s="296"/>
      <c r="FP60" s="296"/>
      <c r="FQ60" s="296"/>
      <c r="FR60" s="296"/>
      <c r="FS60" s="296"/>
      <c r="FT60" s="296"/>
      <c r="FU60" s="296"/>
      <c r="FV60" s="296"/>
      <c r="FW60" s="296"/>
      <c r="FX60" s="296"/>
      <c r="FY60" s="296"/>
      <c r="FZ60" s="296"/>
      <c r="GA60" s="296"/>
      <c r="GB60" s="296"/>
      <c r="GC60" s="296"/>
      <c r="GD60" s="296"/>
      <c r="GE60" s="296"/>
      <c r="GF60" s="296"/>
      <c r="GG60" s="296"/>
      <c r="GH60" s="296"/>
      <c r="GI60" s="296"/>
      <c r="GJ60" s="296"/>
      <c r="GK60" s="296"/>
      <c r="GL60" s="296"/>
      <c r="GM60" s="296"/>
      <c r="GN60" s="296"/>
      <c r="GO60" s="296"/>
      <c r="GP60" s="296"/>
      <c r="GQ60" s="296"/>
      <c r="GR60" s="296"/>
      <c r="GS60" s="296"/>
      <c r="GT60" s="296"/>
      <c r="GU60" s="296"/>
      <c r="GV60" s="296"/>
      <c r="GW60" s="296"/>
      <c r="GX60" s="296"/>
      <c r="GY60" s="296"/>
      <c r="GZ60" s="296"/>
      <c r="HA60" s="296"/>
      <c r="HB60" s="296"/>
      <c r="HC60" s="296"/>
      <c r="HD60" s="296"/>
      <c r="HE60" s="296"/>
      <c r="HF60" s="296"/>
      <c r="HG60" s="296"/>
      <c r="HH60" s="296"/>
      <c r="HI60" s="296"/>
    </row>
    <row r="61" spans="1:217" s="376" customFormat="1" ht="15" customHeight="1" thickTop="1" thickBot="1">
      <c r="A61" s="374"/>
      <c r="B61" s="150"/>
      <c r="C61" s="375" t="str">
        <f>IF([3]MasterSheet!$A$1=1,[3]MasterSheet!C314,[3]MasterSheet!B314)</f>
        <v>Suficit/deficit</v>
      </c>
      <c r="D61" s="309">
        <f>D13-D33</f>
        <v>70050045.030199766</v>
      </c>
      <c r="E61" s="310">
        <f t="shared" si="14"/>
        <v>3.2598094387919296</v>
      </c>
      <c r="F61" s="309">
        <f>F13-F33</f>
        <v>164616856.88000011</v>
      </c>
      <c r="G61" s="310">
        <f t="shared" si="15"/>
        <v>6.1412742727103193</v>
      </c>
      <c r="H61" s="309">
        <f>'[3]Cental Budget_int'!H84+'[3]Local Government_int'!H77</f>
        <v>-16998020.220000207</v>
      </c>
      <c r="I61" s="310">
        <f t="shared" si="16"/>
        <v>-0.55088216943220791</v>
      </c>
      <c r="J61" s="309">
        <f>'[3]Cental Budget_int'!J84+'[3]Local Government_int'!J77</f>
        <v>-168501200.38449982</v>
      </c>
      <c r="K61" s="310">
        <f t="shared" si="17"/>
        <v>-5.6525058834116004</v>
      </c>
      <c r="L61" s="309">
        <f>'[3]Cental Budget_int'!L84+'[3]Local Government_int'!L77</f>
        <v>-118309444.8139997</v>
      </c>
      <c r="M61" s="310">
        <f t="shared" si="18"/>
        <v>-3.78590223404799</v>
      </c>
      <c r="N61" s="309">
        <f>N13-N33</f>
        <v>-176177624.71000028</v>
      </c>
      <c r="O61" s="310">
        <f t="shared" si="19"/>
        <v>-5.395945626646256</v>
      </c>
      <c r="P61" s="309">
        <f>P13-P33</f>
        <v>-176129872.54666662</v>
      </c>
      <c r="Q61" s="310">
        <f t="shared" si="20"/>
        <v>-5.536934063082886</v>
      </c>
      <c r="R61" s="309">
        <f>R13-R33</f>
        <v>-154644125.24999976</v>
      </c>
      <c r="S61" s="310">
        <f t="shared" si="9"/>
        <v>-4.5997657718619802</v>
      </c>
      <c r="T61" s="309">
        <f>T13-T33</f>
        <v>-100956641.13249993</v>
      </c>
      <c r="U61" s="310">
        <f t="shared" si="10"/>
        <v>-2.9195940059718306</v>
      </c>
      <c r="V61" s="309">
        <f>V13-V33</f>
        <v>-302739384.88499999</v>
      </c>
      <c r="W61" s="311">
        <f t="shared" si="11"/>
        <v>-8.2828833073871397</v>
      </c>
      <c r="X61" s="309">
        <f>X13-X33</f>
        <v>-142206735.08999991</v>
      </c>
      <c r="Y61" s="310">
        <f t="shared" si="21"/>
        <v>-3.5963465451924512</v>
      </c>
      <c r="Z61" s="309">
        <f>Z13-Z33</f>
        <v>-227069922.63999987</v>
      </c>
      <c r="AA61" s="310">
        <f t="shared" si="22"/>
        <v>-5.359847105865688</v>
      </c>
      <c r="AB61" s="513"/>
      <c r="AC61" s="513"/>
      <c r="AD61" s="511"/>
      <c r="AE61" s="511"/>
      <c r="AF61" s="511"/>
      <c r="AG61" s="511"/>
      <c r="AH61" s="511"/>
      <c r="AI61" s="511"/>
      <c r="AJ61" s="511"/>
      <c r="AK61" s="511"/>
      <c r="AL61" s="511"/>
      <c r="AM61" s="511"/>
      <c r="AN61" s="511"/>
      <c r="AO61" s="511"/>
      <c r="AP61" s="377"/>
      <c r="AQ61" s="377"/>
      <c r="AR61" s="377"/>
      <c r="AS61" s="377"/>
      <c r="AT61" s="377"/>
      <c r="AU61" s="377"/>
      <c r="AV61" s="377"/>
      <c r="AW61" s="377"/>
      <c r="AX61" s="377"/>
      <c r="AY61" s="377"/>
      <c r="AZ61" s="377"/>
      <c r="BA61" s="377"/>
      <c r="BB61" s="377"/>
      <c r="BC61" s="377"/>
      <c r="BD61" s="377"/>
      <c r="BE61" s="377"/>
      <c r="BF61" s="377"/>
      <c r="BG61" s="377"/>
      <c r="BH61" s="377"/>
      <c r="BI61" s="377"/>
      <c r="BJ61" s="377"/>
      <c r="BK61" s="377"/>
      <c r="BL61" s="377"/>
      <c r="BM61" s="377"/>
      <c r="BN61" s="377"/>
      <c r="BO61" s="377"/>
      <c r="BP61" s="377"/>
      <c r="BQ61" s="377"/>
      <c r="BR61" s="377"/>
      <c r="BS61" s="377"/>
      <c r="BT61" s="377"/>
      <c r="BU61" s="377"/>
      <c r="BV61" s="377"/>
      <c r="BW61" s="377"/>
      <c r="BX61" s="377"/>
      <c r="BY61" s="377"/>
      <c r="BZ61" s="377"/>
      <c r="CA61" s="377"/>
      <c r="CB61" s="377"/>
      <c r="CC61" s="377"/>
      <c r="CD61" s="377"/>
      <c r="CE61" s="377"/>
      <c r="CF61" s="377"/>
      <c r="CG61" s="377"/>
      <c r="CH61" s="377"/>
      <c r="CI61" s="377"/>
      <c r="CJ61" s="377"/>
      <c r="CK61" s="377"/>
      <c r="CL61" s="377"/>
      <c r="CM61" s="377"/>
      <c r="CN61" s="377"/>
      <c r="CO61" s="377"/>
      <c r="CP61" s="377"/>
      <c r="CQ61" s="377"/>
      <c r="CR61" s="377"/>
      <c r="CS61" s="377"/>
      <c r="CT61" s="377"/>
      <c r="CU61" s="377"/>
      <c r="CV61" s="377"/>
      <c r="CW61" s="377"/>
      <c r="CX61" s="377"/>
      <c r="CY61" s="377"/>
      <c r="CZ61" s="377"/>
      <c r="DA61" s="377"/>
      <c r="DB61" s="377"/>
      <c r="DC61" s="377"/>
      <c r="DD61" s="377"/>
      <c r="DE61" s="377"/>
      <c r="DF61" s="377"/>
      <c r="DG61" s="377"/>
      <c r="DH61" s="377"/>
      <c r="DI61" s="377"/>
      <c r="DJ61" s="377"/>
      <c r="DK61" s="377"/>
      <c r="DL61" s="377"/>
      <c r="DM61" s="377"/>
      <c r="DN61" s="377"/>
      <c r="DO61" s="377"/>
      <c r="DP61" s="377"/>
      <c r="DQ61" s="377"/>
      <c r="DR61" s="377"/>
      <c r="DS61" s="377"/>
      <c r="DT61" s="377"/>
      <c r="DU61" s="377"/>
      <c r="DV61" s="377"/>
      <c r="DW61" s="377"/>
      <c r="DX61" s="377"/>
      <c r="DY61" s="377"/>
      <c r="DZ61" s="377"/>
      <c r="EA61" s="377"/>
      <c r="EB61" s="377"/>
      <c r="EC61" s="377"/>
      <c r="ED61" s="377"/>
      <c r="EE61" s="377"/>
      <c r="EF61" s="377"/>
      <c r="EG61" s="377"/>
      <c r="EH61" s="377"/>
      <c r="EI61" s="377"/>
      <c r="EJ61" s="377"/>
      <c r="EK61" s="377"/>
      <c r="EL61" s="377"/>
      <c r="EM61" s="377"/>
      <c r="EN61" s="377"/>
      <c r="EO61" s="377"/>
      <c r="EP61" s="377"/>
      <c r="EQ61" s="377"/>
      <c r="ER61" s="377"/>
      <c r="ES61" s="377"/>
      <c r="ET61" s="377"/>
      <c r="EU61" s="377"/>
      <c r="EV61" s="377"/>
      <c r="EW61" s="377"/>
      <c r="EX61" s="377"/>
      <c r="EY61" s="377"/>
      <c r="EZ61" s="377"/>
      <c r="FA61" s="377"/>
      <c r="FB61" s="377"/>
      <c r="FC61" s="377"/>
      <c r="FD61" s="377"/>
      <c r="FE61" s="297"/>
      <c r="FF61" s="377"/>
      <c r="FG61" s="377"/>
      <c r="FH61" s="377"/>
      <c r="FI61" s="377"/>
      <c r="FJ61" s="377"/>
      <c r="FK61" s="377"/>
      <c r="FL61" s="377"/>
      <c r="FM61" s="377"/>
      <c r="FN61" s="377"/>
      <c r="FO61" s="377"/>
      <c r="FP61" s="377"/>
      <c r="FQ61" s="377"/>
      <c r="FR61" s="377"/>
      <c r="FS61" s="377"/>
      <c r="FT61" s="377"/>
      <c r="FU61" s="377"/>
      <c r="FV61" s="377"/>
      <c r="FW61" s="377"/>
      <c r="FX61" s="377"/>
      <c r="FY61" s="377"/>
      <c r="FZ61" s="377"/>
      <c r="GA61" s="377"/>
      <c r="GB61" s="377"/>
      <c r="GC61" s="377"/>
      <c r="GD61" s="377"/>
      <c r="GE61" s="377"/>
      <c r="GF61" s="377"/>
      <c r="GG61" s="377"/>
      <c r="GH61" s="377"/>
      <c r="GI61" s="377"/>
      <c r="GJ61" s="377"/>
      <c r="GK61" s="377"/>
      <c r="GL61" s="377"/>
      <c r="GM61" s="377"/>
      <c r="GN61" s="377"/>
      <c r="GO61" s="377"/>
      <c r="GP61" s="377"/>
      <c r="GQ61" s="377"/>
      <c r="GR61" s="377"/>
      <c r="GS61" s="377"/>
      <c r="GT61" s="377"/>
      <c r="GU61" s="377"/>
      <c r="GV61" s="377"/>
      <c r="GW61" s="377"/>
      <c r="GX61" s="377"/>
      <c r="GY61" s="377"/>
      <c r="GZ61" s="377"/>
      <c r="HA61" s="377"/>
      <c r="HB61" s="377"/>
      <c r="HC61" s="377"/>
      <c r="HD61" s="377"/>
      <c r="HE61" s="377"/>
      <c r="HF61" s="377"/>
      <c r="HG61" s="377"/>
      <c r="HH61" s="377"/>
      <c r="HI61" s="377"/>
    </row>
    <row r="62" spans="1:217" s="376" customFormat="1" ht="15" customHeight="1" thickTop="1" thickBot="1">
      <c r="A62" s="374"/>
      <c r="B62" s="150"/>
      <c r="C62" s="375" t="s">
        <v>394</v>
      </c>
      <c r="D62" s="309"/>
      <c r="E62" s="310"/>
      <c r="F62" s="309"/>
      <c r="G62" s="310"/>
      <c r="H62" s="309"/>
      <c r="I62" s="310"/>
      <c r="J62" s="309"/>
      <c r="K62" s="310"/>
      <c r="L62" s="309"/>
      <c r="M62" s="310"/>
      <c r="N62" s="309"/>
      <c r="O62" s="310"/>
      <c r="P62" s="309"/>
      <c r="Q62" s="310"/>
      <c r="R62" s="309">
        <f>R61-R59</f>
        <v>-176513087.72729975</v>
      </c>
      <c r="S62" s="310">
        <f t="shared" si="9"/>
        <v>-5.2502405629773863</v>
      </c>
      <c r="T62" s="309">
        <f>T61-T59</f>
        <v>-107469853.04249994</v>
      </c>
      <c r="U62" s="310">
        <f t="shared" si="10"/>
        <v>-3.1079514457474171</v>
      </c>
      <c r="V62" s="309">
        <f>V61-V59</f>
        <v>-265079281.125</v>
      </c>
      <c r="W62" s="311">
        <f t="shared" si="11"/>
        <v>-7.2525111114911081</v>
      </c>
      <c r="X62" s="309">
        <f>X61-X59</f>
        <v>-112086123.52999991</v>
      </c>
      <c r="Y62" s="310">
        <f t="shared" si="21"/>
        <v>-2.8346093654847988</v>
      </c>
      <c r="Z62" s="309">
        <f>Z61-Z59</f>
        <v>-243012154.37999988</v>
      </c>
      <c r="AA62" s="310">
        <f t="shared" si="22"/>
        <v>-5.7361537679688395</v>
      </c>
      <c r="AB62" s="513"/>
      <c r="AC62" s="513"/>
      <c r="AD62" s="511"/>
      <c r="AE62" s="511"/>
      <c r="AF62" s="511"/>
      <c r="AG62" s="511"/>
      <c r="AH62" s="511"/>
      <c r="AI62" s="511"/>
      <c r="AJ62" s="511"/>
      <c r="AK62" s="511"/>
      <c r="AL62" s="511"/>
      <c r="AM62" s="511"/>
      <c r="AN62" s="511"/>
      <c r="AO62" s="511"/>
      <c r="AP62" s="377"/>
      <c r="AQ62" s="377"/>
      <c r="AR62" s="377"/>
      <c r="AS62" s="377"/>
      <c r="AT62" s="377"/>
      <c r="AU62" s="377"/>
      <c r="AV62" s="377"/>
      <c r="AW62" s="377"/>
      <c r="AX62" s="377"/>
      <c r="AY62" s="377"/>
      <c r="AZ62" s="377"/>
      <c r="BA62" s="377"/>
      <c r="BB62" s="377"/>
      <c r="BC62" s="377"/>
      <c r="BD62" s="377"/>
      <c r="BE62" s="377"/>
      <c r="BF62" s="377"/>
      <c r="BG62" s="377"/>
      <c r="BH62" s="377"/>
      <c r="BI62" s="377"/>
      <c r="BJ62" s="377"/>
      <c r="BK62" s="377"/>
      <c r="BL62" s="377"/>
      <c r="BM62" s="377"/>
      <c r="BN62" s="377"/>
      <c r="BO62" s="377"/>
      <c r="BP62" s="377"/>
      <c r="BQ62" s="377"/>
      <c r="BR62" s="377"/>
      <c r="BS62" s="377"/>
      <c r="BT62" s="377"/>
      <c r="BU62" s="377"/>
      <c r="BV62" s="377"/>
      <c r="BW62" s="377"/>
      <c r="BX62" s="377"/>
      <c r="BY62" s="377"/>
      <c r="BZ62" s="377"/>
      <c r="CA62" s="377"/>
      <c r="CB62" s="377"/>
      <c r="CC62" s="377"/>
      <c r="CD62" s="377"/>
      <c r="CE62" s="377"/>
      <c r="CF62" s="377"/>
      <c r="CG62" s="377"/>
      <c r="CH62" s="377"/>
      <c r="CI62" s="377"/>
      <c r="CJ62" s="377"/>
      <c r="CK62" s="377"/>
      <c r="CL62" s="377"/>
      <c r="CM62" s="377"/>
      <c r="CN62" s="377"/>
      <c r="CO62" s="377"/>
      <c r="CP62" s="377"/>
      <c r="CQ62" s="377"/>
      <c r="CR62" s="377"/>
      <c r="CS62" s="377"/>
      <c r="CT62" s="377"/>
      <c r="CU62" s="377"/>
      <c r="CV62" s="377"/>
      <c r="CW62" s="377"/>
      <c r="CX62" s="377"/>
      <c r="CY62" s="377"/>
      <c r="CZ62" s="377"/>
      <c r="DA62" s="377"/>
      <c r="DB62" s="377"/>
      <c r="DC62" s="377"/>
      <c r="DD62" s="377"/>
      <c r="DE62" s="377"/>
      <c r="DF62" s="377"/>
      <c r="DG62" s="377"/>
      <c r="DH62" s="377"/>
      <c r="DI62" s="377"/>
      <c r="DJ62" s="377"/>
      <c r="DK62" s="377"/>
      <c r="DL62" s="377"/>
      <c r="DM62" s="377"/>
      <c r="DN62" s="377"/>
      <c r="DO62" s="377"/>
      <c r="DP62" s="377"/>
      <c r="DQ62" s="377"/>
      <c r="DR62" s="377"/>
      <c r="DS62" s="377"/>
      <c r="DT62" s="377"/>
      <c r="DU62" s="377"/>
      <c r="DV62" s="377"/>
      <c r="DW62" s="377"/>
      <c r="DX62" s="377"/>
      <c r="DY62" s="377"/>
      <c r="DZ62" s="377"/>
      <c r="EA62" s="377"/>
      <c r="EB62" s="377"/>
      <c r="EC62" s="377"/>
      <c r="ED62" s="377"/>
      <c r="EE62" s="377"/>
      <c r="EF62" s="377"/>
      <c r="EG62" s="377"/>
      <c r="EH62" s="377"/>
      <c r="EI62" s="377"/>
      <c r="EJ62" s="377"/>
      <c r="EK62" s="377"/>
      <c r="EL62" s="377"/>
      <c r="EM62" s="377"/>
      <c r="EN62" s="377"/>
      <c r="EO62" s="377"/>
      <c r="EP62" s="377"/>
      <c r="EQ62" s="377"/>
      <c r="ER62" s="377"/>
      <c r="ES62" s="377"/>
      <c r="ET62" s="377"/>
      <c r="EU62" s="377"/>
      <c r="EV62" s="377"/>
      <c r="EW62" s="377"/>
      <c r="EX62" s="377"/>
      <c r="EY62" s="377"/>
      <c r="EZ62" s="377"/>
      <c r="FA62" s="377"/>
      <c r="FB62" s="377"/>
      <c r="FC62" s="377"/>
      <c r="FD62" s="377"/>
      <c r="FE62" s="297"/>
      <c r="FF62" s="377"/>
      <c r="FG62" s="377"/>
      <c r="FH62" s="377"/>
      <c r="FI62" s="377"/>
      <c r="FJ62" s="377"/>
      <c r="FK62" s="377"/>
      <c r="FL62" s="377"/>
      <c r="FM62" s="377"/>
      <c r="FN62" s="377"/>
      <c r="FO62" s="377"/>
      <c r="FP62" s="377"/>
      <c r="FQ62" s="377"/>
      <c r="FR62" s="377"/>
      <c r="FS62" s="377"/>
      <c r="FT62" s="377"/>
      <c r="FU62" s="377"/>
      <c r="FV62" s="377"/>
      <c r="FW62" s="377"/>
      <c r="FX62" s="377"/>
      <c r="FY62" s="377"/>
      <c r="FZ62" s="377"/>
      <c r="GA62" s="377"/>
      <c r="GB62" s="377"/>
      <c r="GC62" s="377"/>
      <c r="GD62" s="377"/>
      <c r="GE62" s="377"/>
      <c r="GF62" s="377"/>
      <c r="GG62" s="377"/>
      <c r="GH62" s="377"/>
      <c r="GI62" s="377"/>
      <c r="GJ62" s="377"/>
      <c r="GK62" s="377"/>
      <c r="GL62" s="377"/>
      <c r="GM62" s="377"/>
      <c r="GN62" s="377"/>
      <c r="GO62" s="377"/>
      <c r="GP62" s="377"/>
      <c r="GQ62" s="377"/>
      <c r="GR62" s="377"/>
      <c r="GS62" s="377"/>
      <c r="GT62" s="377"/>
      <c r="GU62" s="377"/>
      <c r="GV62" s="377"/>
      <c r="GW62" s="377"/>
      <c r="GX62" s="377"/>
      <c r="GY62" s="377"/>
      <c r="GZ62" s="377"/>
      <c r="HA62" s="377"/>
      <c r="HB62" s="377"/>
      <c r="HC62" s="377"/>
      <c r="HD62" s="377"/>
      <c r="HE62" s="377"/>
      <c r="HF62" s="377"/>
      <c r="HG62" s="377"/>
      <c r="HH62" s="377"/>
      <c r="HI62" s="377"/>
    </row>
    <row r="63" spans="1:217" s="376" customFormat="1" ht="15" customHeight="1" thickTop="1" thickBot="1">
      <c r="A63" s="374"/>
      <c r="B63" s="150"/>
      <c r="C63" s="375" t="str">
        <f>IF([3]MasterSheet!$A$1=1,[3]MasterSheet!C315,[3]MasterSheet!B315)</f>
        <v>Primarni deficit</v>
      </c>
      <c r="D63" s="309">
        <f>D61-D40</f>
        <v>46195381.530199766</v>
      </c>
      <c r="E63" s="310">
        <f t="shared" si="14"/>
        <v>2.149722254651206</v>
      </c>
      <c r="F63" s="309">
        <f>F61-F40</f>
        <v>136681753.7100001</v>
      </c>
      <c r="G63" s="310">
        <f t="shared" si="15"/>
        <v>5.0991141096810333</v>
      </c>
      <c r="H63" s="309">
        <f>'[3]Cental Budget_int'!H86+'[3]Local Government_int'!H79</f>
        <v>-38256315.840000212</v>
      </c>
      <c r="I63" s="310">
        <f t="shared" si="16"/>
        <v>-1.2398339331086405</v>
      </c>
      <c r="J63" s="309">
        <f>'[3]Cental Budget_int'!J86+'[3]Local Government_int'!J79</f>
        <v>-142978462.34449983</v>
      </c>
      <c r="K63" s="310">
        <f t="shared" si="17"/>
        <v>-4.7963254728111311</v>
      </c>
      <c r="L63" s="309">
        <f>'[3]Cental Budget_int'!L86+'[3]Local Government_int'!L79</f>
        <v>-86903166.343999699</v>
      </c>
      <c r="M63" s="310">
        <f t="shared" si="18"/>
        <v>-2.7809013230079902</v>
      </c>
      <c r="N63" s="309">
        <f>'[3]Cental Budget_int'!N86+'[3]Local Government_int'!N79</f>
        <v>-128574358.9999999</v>
      </c>
      <c r="O63" s="310">
        <f t="shared" si="19"/>
        <v>-3.9379589280244995</v>
      </c>
      <c r="P63" s="309">
        <f>P61+P40</f>
        <v>-116409555.80666661</v>
      </c>
      <c r="Q63" s="310">
        <f t="shared" si="20"/>
        <v>-3.6595270608823207</v>
      </c>
      <c r="R63" s="309">
        <f>R62+R40</f>
        <v>-105243020.12729974</v>
      </c>
      <c r="S63" s="310">
        <f t="shared" si="9"/>
        <v>-3.1303694267489508</v>
      </c>
      <c r="T63" s="309">
        <f>T62+T40</f>
        <v>-28568064.592499942</v>
      </c>
      <c r="U63" s="310">
        <f t="shared" si="10"/>
        <v>-0.82616803818791584</v>
      </c>
      <c r="V63" s="309">
        <f>V62+V40</f>
        <v>-178833709.07500002</v>
      </c>
      <c r="W63" s="311">
        <f t="shared" si="11"/>
        <v>-4.8928511374829009</v>
      </c>
      <c r="X63" s="309">
        <f>X62+X40</f>
        <v>-26410115.799999908</v>
      </c>
      <c r="Y63" s="310">
        <f t="shared" ref="Y63:Y71" si="23">+X63/X$9*100</f>
        <v>-0.66790035405391501</v>
      </c>
      <c r="Z63" s="309">
        <f>Z62+Z40</f>
        <v>-140498101.52999985</v>
      </c>
      <c r="AA63" s="310">
        <f t="shared" si="22"/>
        <v>-3.3163720413076794</v>
      </c>
      <c r="AB63" s="513"/>
      <c r="AC63" s="513"/>
      <c r="AD63" s="511"/>
      <c r="AE63" s="511"/>
      <c r="AF63" s="511"/>
      <c r="AG63" s="511"/>
      <c r="AH63" s="511"/>
      <c r="AI63" s="511"/>
      <c r="AJ63" s="511"/>
      <c r="AK63" s="511"/>
      <c r="AL63" s="511"/>
      <c r="AM63" s="511"/>
      <c r="AN63" s="511"/>
      <c r="AO63" s="511"/>
      <c r="AP63" s="377"/>
      <c r="AQ63" s="377"/>
      <c r="AR63" s="377"/>
      <c r="AS63" s="377"/>
      <c r="AT63" s="377"/>
      <c r="AU63" s="377"/>
      <c r="AV63" s="377"/>
      <c r="AW63" s="377"/>
      <c r="AX63" s="377"/>
      <c r="AY63" s="377"/>
      <c r="AZ63" s="377"/>
      <c r="BA63" s="377"/>
      <c r="BB63" s="377"/>
      <c r="BC63" s="377"/>
      <c r="BD63" s="377"/>
      <c r="BE63" s="377"/>
      <c r="BF63" s="377"/>
      <c r="BG63" s="377"/>
      <c r="BH63" s="377"/>
      <c r="BI63" s="377"/>
      <c r="BJ63" s="377"/>
      <c r="BK63" s="377"/>
      <c r="BL63" s="377"/>
      <c r="BM63" s="377"/>
      <c r="BN63" s="377"/>
      <c r="BO63" s="377"/>
      <c r="BP63" s="377"/>
      <c r="BQ63" s="377"/>
      <c r="BR63" s="377"/>
      <c r="BS63" s="377"/>
      <c r="BT63" s="377"/>
      <c r="BU63" s="377"/>
      <c r="BV63" s="377"/>
      <c r="BW63" s="377"/>
      <c r="BX63" s="377"/>
      <c r="BY63" s="377"/>
      <c r="BZ63" s="377"/>
      <c r="CA63" s="377"/>
      <c r="CB63" s="377"/>
      <c r="CC63" s="377"/>
      <c r="CD63" s="377"/>
      <c r="CE63" s="377"/>
      <c r="CF63" s="377"/>
      <c r="CG63" s="377"/>
      <c r="CH63" s="377"/>
      <c r="CI63" s="377"/>
      <c r="CJ63" s="377"/>
      <c r="CK63" s="377"/>
      <c r="CL63" s="377"/>
      <c r="CM63" s="377"/>
      <c r="CN63" s="377"/>
      <c r="CO63" s="377"/>
      <c r="CP63" s="377"/>
      <c r="CQ63" s="377"/>
      <c r="CR63" s="377"/>
      <c r="CS63" s="377"/>
      <c r="CT63" s="377"/>
      <c r="CU63" s="377"/>
      <c r="CV63" s="377"/>
      <c r="CW63" s="377"/>
      <c r="CX63" s="377"/>
      <c r="CY63" s="377"/>
      <c r="CZ63" s="377"/>
      <c r="DA63" s="377"/>
      <c r="DB63" s="377"/>
      <c r="DC63" s="377"/>
      <c r="DD63" s="377"/>
      <c r="DE63" s="377"/>
      <c r="DF63" s="377"/>
      <c r="DG63" s="377"/>
      <c r="DH63" s="377"/>
      <c r="DI63" s="377"/>
      <c r="DJ63" s="377"/>
      <c r="DK63" s="377"/>
      <c r="DL63" s="377"/>
      <c r="DM63" s="377"/>
      <c r="DN63" s="377"/>
      <c r="DO63" s="377"/>
      <c r="DP63" s="377"/>
      <c r="DQ63" s="377"/>
      <c r="DR63" s="377"/>
      <c r="DS63" s="377"/>
      <c r="DT63" s="377"/>
      <c r="DU63" s="377"/>
      <c r="DV63" s="377"/>
      <c r="DW63" s="377"/>
      <c r="DX63" s="377"/>
      <c r="DY63" s="377"/>
      <c r="DZ63" s="377"/>
      <c r="EA63" s="377"/>
      <c r="EB63" s="377"/>
      <c r="EC63" s="377"/>
      <c r="ED63" s="377"/>
      <c r="EE63" s="377"/>
      <c r="EF63" s="377"/>
      <c r="EG63" s="377"/>
      <c r="EH63" s="377"/>
      <c r="EI63" s="377"/>
      <c r="EJ63" s="377"/>
      <c r="EK63" s="377"/>
      <c r="EL63" s="377"/>
      <c r="EM63" s="377"/>
      <c r="EN63" s="377"/>
      <c r="EO63" s="377"/>
      <c r="EP63" s="377"/>
      <c r="EQ63" s="377"/>
      <c r="ER63" s="377"/>
      <c r="ES63" s="377"/>
      <c r="ET63" s="377"/>
      <c r="EU63" s="377"/>
      <c r="EV63" s="377"/>
      <c r="EW63" s="377"/>
      <c r="EX63" s="377"/>
      <c r="EY63" s="377"/>
      <c r="EZ63" s="377"/>
      <c r="FA63" s="377"/>
      <c r="FB63" s="377"/>
      <c r="FC63" s="377"/>
      <c r="FD63" s="377"/>
      <c r="FE63" s="297"/>
      <c r="FF63" s="377"/>
      <c r="FG63" s="377"/>
      <c r="FH63" s="377"/>
      <c r="FI63" s="377"/>
      <c r="FJ63" s="377"/>
      <c r="FK63" s="377"/>
      <c r="FL63" s="377"/>
      <c r="FM63" s="377"/>
      <c r="FN63" s="377"/>
      <c r="FO63" s="377"/>
      <c r="FP63" s="377"/>
      <c r="FQ63" s="377"/>
      <c r="FR63" s="377"/>
      <c r="FS63" s="377"/>
      <c r="FT63" s="377"/>
      <c r="FU63" s="377"/>
      <c r="FV63" s="377"/>
      <c r="FW63" s="377"/>
      <c r="FX63" s="377"/>
      <c r="FY63" s="377"/>
      <c r="FZ63" s="377"/>
      <c r="GA63" s="377"/>
      <c r="GB63" s="377"/>
      <c r="GC63" s="377"/>
      <c r="GD63" s="377"/>
      <c r="GE63" s="377"/>
      <c r="GF63" s="377"/>
      <c r="GG63" s="377"/>
      <c r="GH63" s="377"/>
      <c r="GI63" s="377"/>
      <c r="GJ63" s="377"/>
      <c r="GK63" s="377"/>
      <c r="GL63" s="377"/>
      <c r="GM63" s="377"/>
      <c r="GN63" s="377"/>
      <c r="GO63" s="377"/>
      <c r="GP63" s="377"/>
      <c r="GQ63" s="377"/>
      <c r="GR63" s="377"/>
      <c r="GS63" s="377"/>
      <c r="GT63" s="377"/>
      <c r="GU63" s="377"/>
      <c r="GV63" s="377"/>
      <c r="GW63" s="377"/>
      <c r="GX63" s="377"/>
      <c r="GY63" s="377"/>
      <c r="GZ63" s="377"/>
      <c r="HA63" s="377"/>
      <c r="HB63" s="377"/>
      <c r="HC63" s="377"/>
      <c r="HD63" s="377"/>
      <c r="HE63" s="377"/>
      <c r="HF63" s="377"/>
      <c r="HG63" s="377"/>
      <c r="HH63" s="377"/>
      <c r="HI63" s="377"/>
    </row>
    <row r="64" spans="1:217" ht="15" customHeight="1" thickTop="1" thickBot="1">
      <c r="A64" s="150"/>
      <c r="B64" s="150"/>
      <c r="C64" s="378" t="str">
        <f>IF([3]MasterSheet!$A$1=1,[3]MasterSheet!C316,[3]MasterSheet!B316)</f>
        <v>Otplata duga</v>
      </c>
      <c r="D64" s="379">
        <f>SUM(D65:D67)</f>
        <v>121275304.05</v>
      </c>
      <c r="E64" s="380">
        <f t="shared" si="14"/>
        <v>5.6435992391456091</v>
      </c>
      <c r="F64" s="379">
        <f>SUM(F65:F67)</f>
        <v>182479329.23000002</v>
      </c>
      <c r="G64" s="380">
        <f t="shared" si="15"/>
        <v>6.8076601093079656</v>
      </c>
      <c r="H64" s="379">
        <f>SUM(H65:H67)</f>
        <v>142871270.75</v>
      </c>
      <c r="I64" s="380">
        <f t="shared" si="16"/>
        <v>4.6302589690821883</v>
      </c>
      <c r="J64" s="379">
        <f>SUM(J65:J67)</f>
        <v>187782372.13999999</v>
      </c>
      <c r="K64" s="380">
        <f t="shared" si="17"/>
        <v>6.2993080221402211</v>
      </c>
      <c r="L64" s="379">
        <f>SUM(L65:L67)</f>
        <v>228818033.20999998</v>
      </c>
      <c r="M64" s="380">
        <f t="shared" si="18"/>
        <v>7.3221770627199989</v>
      </c>
      <c r="N64" s="379">
        <f>SUM(N65:N67)</f>
        <v>182469921.57999998</v>
      </c>
      <c r="O64" s="380">
        <f t="shared" si="19"/>
        <v>5.5886652857580392</v>
      </c>
      <c r="P64" s="379">
        <f>SUM(P65:P67)</f>
        <v>190390297.28000003</v>
      </c>
      <c r="Q64" s="380">
        <f t="shared" si="20"/>
        <v>5.985234117573091</v>
      </c>
      <c r="R64" s="379">
        <f>SUM(R65:R67)</f>
        <v>225497698.79999998</v>
      </c>
      <c r="S64" s="380">
        <f t="shared" si="9"/>
        <v>6.7072486258179644</v>
      </c>
      <c r="T64" s="379">
        <f>SUM(T65:T67)</f>
        <v>452153280.73000002</v>
      </c>
      <c r="U64" s="380">
        <f t="shared" si="10"/>
        <v>13.075950164261545</v>
      </c>
      <c r="V64" s="379">
        <f>SUM(V65:V67)</f>
        <v>568665579.97000003</v>
      </c>
      <c r="W64" s="381">
        <f t="shared" si="11"/>
        <v>15.558565799452806</v>
      </c>
      <c r="X64" s="379">
        <f>SUM(X65:X67)</f>
        <v>550413782.92999983</v>
      </c>
      <c r="Y64" s="380">
        <f t="shared" si="23"/>
        <v>13.919725429416818</v>
      </c>
      <c r="Z64" s="379">
        <f>SUM(Z65:Z67)</f>
        <v>371789848.07000005</v>
      </c>
      <c r="AA64" s="380">
        <f t="shared" si="22"/>
        <v>8.7758727267791823</v>
      </c>
      <c r="AB64" s="513"/>
      <c r="AC64" s="513"/>
      <c r="AD64" s="511"/>
      <c r="AE64" s="511"/>
      <c r="AF64" s="511"/>
      <c r="AG64" s="511"/>
      <c r="AH64" s="511"/>
      <c r="AI64" s="511"/>
      <c r="AJ64" s="511"/>
      <c r="AK64" s="511"/>
      <c r="AL64" s="511"/>
      <c r="AM64" s="511"/>
      <c r="AN64" s="511"/>
      <c r="AO64" s="511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6"/>
      <c r="BO64" s="296"/>
      <c r="BP64" s="296"/>
      <c r="BQ64" s="296"/>
      <c r="BR64" s="296"/>
      <c r="BS64" s="296"/>
      <c r="BT64" s="296"/>
      <c r="BU64" s="296"/>
      <c r="BV64" s="296"/>
      <c r="BW64" s="296"/>
      <c r="BX64" s="296"/>
      <c r="BY64" s="296"/>
      <c r="BZ64" s="296"/>
      <c r="CA64" s="296"/>
      <c r="CB64" s="296"/>
      <c r="CC64" s="296"/>
      <c r="CD64" s="296"/>
      <c r="CE64" s="296"/>
      <c r="CF64" s="296"/>
      <c r="CG64" s="296"/>
      <c r="CH64" s="296"/>
      <c r="CI64" s="296"/>
      <c r="CJ64" s="296"/>
      <c r="CK64" s="296"/>
      <c r="CL64" s="296"/>
      <c r="CM64" s="296"/>
      <c r="CN64" s="296"/>
      <c r="CO64" s="296"/>
      <c r="CP64" s="296"/>
      <c r="CQ64" s="296"/>
      <c r="CR64" s="296"/>
      <c r="CS64" s="296"/>
      <c r="CT64" s="296"/>
      <c r="CU64" s="296"/>
      <c r="CV64" s="296"/>
      <c r="CW64" s="296"/>
      <c r="CX64" s="296"/>
      <c r="CY64" s="296"/>
      <c r="CZ64" s="296"/>
      <c r="DA64" s="296"/>
      <c r="DB64" s="296"/>
      <c r="DC64" s="296"/>
      <c r="DD64" s="296"/>
      <c r="DE64" s="296"/>
      <c r="DF64" s="296"/>
      <c r="DG64" s="296"/>
      <c r="DH64" s="296"/>
      <c r="DI64" s="296"/>
      <c r="DJ64" s="296"/>
      <c r="DK64" s="296"/>
      <c r="DL64" s="296"/>
      <c r="DM64" s="296"/>
      <c r="DN64" s="296"/>
      <c r="DO64" s="296"/>
      <c r="DP64" s="296"/>
      <c r="DQ64" s="296"/>
      <c r="DR64" s="296"/>
      <c r="DS64" s="296"/>
      <c r="DT64" s="296"/>
      <c r="DU64" s="296"/>
      <c r="DV64" s="296"/>
      <c r="DW64" s="296"/>
      <c r="DX64" s="296"/>
      <c r="DY64" s="296"/>
      <c r="DZ64" s="296"/>
      <c r="EA64" s="296"/>
      <c r="EB64" s="296"/>
      <c r="EC64" s="296"/>
      <c r="ED64" s="296"/>
      <c r="EE64" s="296"/>
      <c r="EF64" s="296"/>
      <c r="EG64" s="296"/>
      <c r="EH64" s="296"/>
      <c r="EI64" s="296"/>
      <c r="EJ64" s="296"/>
      <c r="EK64" s="296"/>
      <c r="EL64" s="296"/>
      <c r="EM64" s="296"/>
      <c r="EN64" s="296"/>
      <c r="EO64" s="296"/>
      <c r="EP64" s="296"/>
      <c r="EQ64" s="296"/>
      <c r="ER64" s="296"/>
      <c r="ES64" s="296"/>
      <c r="ET64" s="296"/>
      <c r="EU64" s="296"/>
      <c r="EV64" s="296"/>
      <c r="EW64" s="296"/>
      <c r="EX64" s="296"/>
      <c r="EY64" s="296"/>
      <c r="EZ64" s="296"/>
      <c r="FA64" s="296"/>
      <c r="FB64" s="296"/>
      <c r="FC64" s="296"/>
      <c r="FD64" s="296"/>
      <c r="FE64" s="297"/>
      <c r="FF64" s="296"/>
      <c r="FG64" s="296"/>
      <c r="FH64" s="296"/>
      <c r="FI64" s="296"/>
      <c r="FJ64" s="296"/>
      <c r="FK64" s="296"/>
      <c r="FL64" s="296"/>
      <c r="FM64" s="296"/>
      <c r="FN64" s="296"/>
      <c r="FO64" s="296"/>
      <c r="FP64" s="296"/>
      <c r="FQ64" s="296"/>
      <c r="FR64" s="296"/>
      <c r="FS64" s="296"/>
      <c r="FT64" s="296"/>
      <c r="FU64" s="296"/>
      <c r="FV64" s="296"/>
      <c r="FW64" s="296"/>
      <c r="FX64" s="296"/>
      <c r="FY64" s="296"/>
      <c r="FZ64" s="296"/>
      <c r="GA64" s="296"/>
      <c r="GB64" s="296"/>
      <c r="GC64" s="296"/>
      <c r="GD64" s="296"/>
      <c r="GE64" s="296"/>
      <c r="GF64" s="296"/>
      <c r="GG64" s="296"/>
      <c r="GH64" s="296"/>
      <c r="GI64" s="296"/>
      <c r="GJ64" s="296"/>
      <c r="GK64" s="296"/>
      <c r="GL64" s="296"/>
      <c r="GM64" s="296"/>
      <c r="GN64" s="296"/>
      <c r="GO64" s="296"/>
      <c r="GP64" s="296"/>
      <c r="GQ64" s="296"/>
      <c r="GR64" s="296"/>
      <c r="GS64" s="296"/>
      <c r="GT64" s="296"/>
      <c r="GU64" s="296"/>
      <c r="GV64" s="296"/>
      <c r="GW64" s="296"/>
      <c r="GX64" s="296"/>
      <c r="GY64" s="296"/>
      <c r="GZ64" s="296"/>
      <c r="HA64" s="296"/>
      <c r="HB64" s="296"/>
      <c r="HC64" s="296"/>
      <c r="HD64" s="296"/>
      <c r="HE64" s="296"/>
      <c r="HF64" s="296"/>
      <c r="HG64" s="296"/>
      <c r="HH64" s="296"/>
      <c r="HI64" s="296"/>
    </row>
    <row r="65" spans="1:217" ht="15" customHeight="1" thickTop="1">
      <c r="A65" s="150"/>
      <c r="B65" s="150"/>
      <c r="C65" s="382" t="str">
        <f>IF([3]MasterSheet!$A$1=1,[3]MasterSheet!C317,[3]MasterSheet!B317)</f>
        <v>Otplata glavnice rezidentima</v>
      </c>
      <c r="D65" s="383">
        <f>+'[3]Cental Budget_int'!D88+'[3]Local Government_int'!D81</f>
        <v>45134259.909999996</v>
      </c>
      <c r="E65" s="384">
        <f t="shared" si="14"/>
        <v>2.1003424966261806</v>
      </c>
      <c r="F65" s="383">
        <f>+'[3]Cental Budget_int'!F88+'[3]Local Government_int'!F81</f>
        <v>29825514.260000002</v>
      </c>
      <c r="G65" s="384">
        <f t="shared" si="15"/>
        <v>1.1126847326991234</v>
      </c>
      <c r="H65" s="383">
        <f>+'[3]Cental Budget_int'!H88+'[3]Local Government_int'!H81</f>
        <v>54758426.120000005</v>
      </c>
      <c r="I65" s="384">
        <f t="shared" si="16"/>
        <v>1.7746443518278456</v>
      </c>
      <c r="J65" s="383">
        <f>+'[3]Cental Budget_int'!J88+'[3]Local Government_int'!J81</f>
        <v>76653570.959999993</v>
      </c>
      <c r="K65" s="384">
        <f t="shared" si="17"/>
        <v>2.5714045944313986</v>
      </c>
      <c r="L65" s="383">
        <f>+'[3]Cental Budget_int'!L88+'[3]Local Government_int'!L81</f>
        <v>62137566.530000001</v>
      </c>
      <c r="M65" s="384">
        <f t="shared" si="18"/>
        <v>1.9884021289600002</v>
      </c>
      <c r="N65" s="383">
        <f>+'[3]Cental Budget_int'!N88+'[3]Local Government_int'!N81</f>
        <v>39559505.469999999</v>
      </c>
      <c r="O65" s="384">
        <f t="shared" si="19"/>
        <v>1.2116234447166923</v>
      </c>
      <c r="P65" s="383">
        <f>+'[3]Cental Budget_int'!P88+'[3]Local Government_int'!P81</f>
        <v>83429832.650000006</v>
      </c>
      <c r="Q65" s="384">
        <f t="shared" si="20"/>
        <v>2.6227548773970448</v>
      </c>
      <c r="R65" s="383">
        <f>+'[3]Cental Budget_int'!R88+'[3]Local Government_int'!R81</f>
        <v>104484046.72</v>
      </c>
      <c r="S65" s="384">
        <f t="shared" si="9"/>
        <v>3.1077943700178463</v>
      </c>
      <c r="T65" s="383">
        <f>+'[3]Cental Budget_int'!T88+'[3]Local Government_int'!T81</f>
        <v>254353222.45000002</v>
      </c>
      <c r="U65" s="384">
        <f t="shared" si="10"/>
        <v>7.355713654241014</v>
      </c>
      <c r="V65" s="385">
        <f>'[3]Cental Budget_int'!V88+'[3]Local Government_int'!V81</f>
        <v>246594426.35999998</v>
      </c>
      <c r="W65" s="386">
        <f t="shared" si="11"/>
        <v>6.7467695310533511</v>
      </c>
      <c r="X65" s="383">
        <f>'Cental Budget'!X88+'Local Government_int'!X81</f>
        <v>240524484.88999999</v>
      </c>
      <c r="Y65" s="384">
        <f t="shared" si="23"/>
        <v>6.0827597210560924</v>
      </c>
      <c r="Z65" s="383">
        <f>'Cental Budget'!Z88+'Local Government_int'!Z81</f>
        <v>236287768.77000001</v>
      </c>
      <c r="AA65" s="384">
        <f t="shared" si="22"/>
        <v>5.5774287447185174</v>
      </c>
      <c r="AB65" s="513"/>
      <c r="AC65" s="513"/>
      <c r="AD65" s="511"/>
      <c r="AE65" s="511"/>
      <c r="AF65" s="511"/>
      <c r="AG65" s="511"/>
      <c r="AH65" s="511"/>
      <c r="AI65" s="511"/>
      <c r="AJ65" s="511"/>
      <c r="AK65" s="511"/>
      <c r="AL65" s="511"/>
      <c r="AM65" s="511"/>
      <c r="AN65" s="511"/>
      <c r="AO65" s="511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6"/>
      <c r="BO65" s="296"/>
      <c r="BP65" s="296"/>
      <c r="BQ65" s="296"/>
      <c r="BR65" s="296"/>
      <c r="BS65" s="296"/>
      <c r="BT65" s="296"/>
      <c r="BU65" s="296"/>
      <c r="BV65" s="296"/>
      <c r="BW65" s="296"/>
      <c r="BX65" s="296"/>
      <c r="BY65" s="296"/>
      <c r="BZ65" s="296"/>
      <c r="CA65" s="296"/>
      <c r="CB65" s="296"/>
      <c r="CC65" s="296"/>
      <c r="CD65" s="296"/>
      <c r="CE65" s="296"/>
      <c r="CF65" s="296"/>
      <c r="CG65" s="296"/>
      <c r="CH65" s="296"/>
      <c r="CI65" s="296"/>
      <c r="CJ65" s="296"/>
      <c r="CK65" s="296"/>
      <c r="CL65" s="296"/>
      <c r="CM65" s="296"/>
      <c r="CN65" s="296"/>
      <c r="CO65" s="296"/>
      <c r="CP65" s="296"/>
      <c r="CQ65" s="296"/>
      <c r="CR65" s="296"/>
      <c r="CS65" s="296"/>
      <c r="CT65" s="296"/>
      <c r="CU65" s="296"/>
      <c r="CV65" s="296"/>
      <c r="CW65" s="296"/>
      <c r="CX65" s="296"/>
      <c r="CY65" s="296"/>
      <c r="CZ65" s="296"/>
      <c r="DA65" s="296"/>
      <c r="DB65" s="296"/>
      <c r="DC65" s="296"/>
      <c r="DD65" s="296"/>
      <c r="DE65" s="296"/>
      <c r="DF65" s="296"/>
      <c r="DG65" s="296"/>
      <c r="DH65" s="296"/>
      <c r="DI65" s="296"/>
      <c r="DJ65" s="296"/>
      <c r="DK65" s="296"/>
      <c r="DL65" s="296"/>
      <c r="DM65" s="296"/>
      <c r="DN65" s="296"/>
      <c r="DO65" s="296"/>
      <c r="DP65" s="296"/>
      <c r="DQ65" s="296"/>
      <c r="DR65" s="296"/>
      <c r="DS65" s="296"/>
      <c r="DT65" s="296"/>
      <c r="DU65" s="296"/>
      <c r="DV65" s="296"/>
      <c r="DW65" s="296"/>
      <c r="DX65" s="296"/>
      <c r="DY65" s="296"/>
      <c r="DZ65" s="296"/>
      <c r="EA65" s="296"/>
      <c r="EB65" s="296"/>
      <c r="EC65" s="296"/>
      <c r="ED65" s="296"/>
      <c r="EE65" s="296"/>
      <c r="EF65" s="296"/>
      <c r="EG65" s="296"/>
      <c r="EH65" s="296"/>
      <c r="EI65" s="296"/>
      <c r="EJ65" s="296"/>
      <c r="EK65" s="296"/>
      <c r="EL65" s="296"/>
      <c r="EM65" s="296"/>
      <c r="EN65" s="296"/>
      <c r="EO65" s="296"/>
      <c r="EP65" s="296"/>
      <c r="EQ65" s="296"/>
      <c r="ER65" s="296"/>
      <c r="ES65" s="296"/>
      <c r="ET65" s="296"/>
      <c r="EU65" s="296"/>
      <c r="EV65" s="296"/>
      <c r="EW65" s="296"/>
      <c r="EX65" s="296"/>
      <c r="EY65" s="296"/>
      <c r="EZ65" s="296"/>
      <c r="FA65" s="296"/>
      <c r="FB65" s="296"/>
      <c r="FC65" s="296"/>
      <c r="FD65" s="296"/>
      <c r="FE65" s="297"/>
      <c r="FF65" s="296"/>
      <c r="FG65" s="296"/>
      <c r="FH65" s="296"/>
      <c r="FI65" s="296"/>
      <c r="FJ65" s="296"/>
      <c r="FK65" s="296"/>
      <c r="FL65" s="296"/>
      <c r="FM65" s="296"/>
      <c r="FN65" s="296"/>
      <c r="FO65" s="296"/>
      <c r="FP65" s="296"/>
      <c r="FQ65" s="296"/>
      <c r="FR65" s="296"/>
      <c r="FS65" s="296"/>
      <c r="FT65" s="296"/>
      <c r="FU65" s="296"/>
      <c r="FV65" s="296"/>
      <c r="FW65" s="296"/>
      <c r="FX65" s="296"/>
      <c r="FY65" s="296"/>
      <c r="FZ65" s="296"/>
      <c r="GA65" s="296"/>
      <c r="GB65" s="296"/>
      <c r="GC65" s="296"/>
      <c r="GD65" s="296"/>
      <c r="GE65" s="296"/>
      <c r="GF65" s="296"/>
      <c r="GG65" s="296"/>
      <c r="GH65" s="296"/>
      <c r="GI65" s="296"/>
      <c r="GJ65" s="296"/>
      <c r="GK65" s="296"/>
      <c r="GL65" s="296"/>
      <c r="GM65" s="296"/>
      <c r="GN65" s="296"/>
      <c r="GO65" s="296"/>
      <c r="GP65" s="296"/>
      <c r="GQ65" s="296"/>
      <c r="GR65" s="296"/>
      <c r="GS65" s="296"/>
      <c r="GT65" s="296"/>
      <c r="GU65" s="296"/>
      <c r="GV65" s="296"/>
      <c r="GW65" s="296"/>
      <c r="GX65" s="296"/>
      <c r="GY65" s="296"/>
      <c r="GZ65" s="296"/>
      <c r="HA65" s="296"/>
      <c r="HB65" s="296"/>
      <c r="HC65" s="296"/>
      <c r="HD65" s="296"/>
      <c r="HE65" s="296"/>
      <c r="HF65" s="296"/>
      <c r="HG65" s="296"/>
      <c r="HH65" s="296"/>
      <c r="HI65" s="296"/>
    </row>
    <row r="66" spans="1:217" ht="15" customHeight="1">
      <c r="A66" s="150"/>
      <c r="B66" s="150"/>
      <c r="C66" s="387" t="str">
        <f>IF([3]MasterSheet!$A$1=1,[3]MasterSheet!C318,[3]MasterSheet!B318)</f>
        <v>Otplata glavnice nerezidentima</v>
      </c>
      <c r="D66" s="360">
        <f>+'[3]Cental Budget_int'!D89+'[3]Local Government_int'!D82</f>
        <v>14260035.939999999</v>
      </c>
      <c r="E66" s="388">
        <f t="shared" si="14"/>
        <v>0.66359700032574798</v>
      </c>
      <c r="F66" s="360">
        <f>+'[3]Cental Budget_int'!F89+'[3]Local Government_int'!F82</f>
        <v>84151518.439999998</v>
      </c>
      <c r="G66" s="388">
        <f t="shared" si="15"/>
        <v>3.1393963230740534</v>
      </c>
      <c r="H66" s="360">
        <f>+'[3]Cental Budget_int'!H89+'[3]Local Government_int'!H82</f>
        <v>16762329.57</v>
      </c>
      <c r="I66" s="388">
        <f t="shared" si="16"/>
        <v>0.5432437636116153</v>
      </c>
      <c r="J66" s="360">
        <f>+'[3]Cental Budget_int'!J89+'[3]Local Government_int'!J82</f>
        <v>25402766</v>
      </c>
      <c r="K66" s="388">
        <f t="shared" si="17"/>
        <v>0.85215585374035563</v>
      </c>
      <c r="L66" s="360">
        <f>+'[3]Cental Budget_int'!L89+'[3]Local Government_int'!L82</f>
        <v>45342776.32</v>
      </c>
      <c r="M66" s="388">
        <f t="shared" si="18"/>
        <v>1.45096884224</v>
      </c>
      <c r="N66" s="360">
        <f>+'[3]Cental Budget_int'!N89+'[3]Local Government_int'!N82</f>
        <v>60317011.140000001</v>
      </c>
      <c r="O66" s="388">
        <f t="shared" si="19"/>
        <v>1.8473816581929556</v>
      </c>
      <c r="P66" s="360">
        <f>+'[3]Cental Budget_int'!P89+'[3]Local Government_int'!P82</f>
        <v>59874811.390000001</v>
      </c>
      <c r="Q66" s="388">
        <f t="shared" si="20"/>
        <v>1.8822637972335743</v>
      </c>
      <c r="R66" s="360">
        <f>+'[3]Cental Budget_int'!R89+'[3]Local Government_int'!R82</f>
        <v>68320207.819999993</v>
      </c>
      <c r="S66" s="388">
        <f t="shared" si="9"/>
        <v>2.0321299173111242</v>
      </c>
      <c r="T66" s="360">
        <f>+'[3]Cental Budget_int'!T89+'[3]Local Government_int'!T82</f>
        <v>197800058.28</v>
      </c>
      <c r="U66" s="388">
        <f t="shared" si="10"/>
        <v>5.7202365100205332</v>
      </c>
      <c r="V66" s="118">
        <f>'[3]Cental Budget_int'!V89+'[3]Local Government_int'!V82</f>
        <v>322071153.61000001</v>
      </c>
      <c r="W66" s="389">
        <f t="shared" si="11"/>
        <v>8.8117962683994531</v>
      </c>
      <c r="X66" s="360">
        <f>'Cental Budget'!X89+'Local Government_int'!X82</f>
        <v>309889298.0399999</v>
      </c>
      <c r="Y66" s="388">
        <f t="shared" si="23"/>
        <v>7.8369657083607285</v>
      </c>
      <c r="Z66" s="360">
        <f>'Cental Budget'!Z89+'Local Government_int'!Z82</f>
        <v>135502079.30000004</v>
      </c>
      <c r="AA66" s="388">
        <f t="shared" si="22"/>
        <v>3.198443982060664</v>
      </c>
      <c r="AB66" s="513"/>
      <c r="AC66" s="513"/>
      <c r="AD66" s="511"/>
      <c r="AE66" s="511"/>
      <c r="AF66" s="511"/>
      <c r="AG66" s="511"/>
      <c r="AH66" s="511"/>
      <c r="AI66" s="511"/>
      <c r="AJ66" s="511"/>
      <c r="AK66" s="511"/>
      <c r="AL66" s="511"/>
      <c r="AM66" s="511"/>
      <c r="AN66" s="511"/>
      <c r="AO66" s="511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6"/>
      <c r="BO66" s="296"/>
      <c r="BP66" s="296"/>
      <c r="BQ66" s="296"/>
      <c r="BR66" s="296"/>
      <c r="BS66" s="296"/>
      <c r="BT66" s="296"/>
      <c r="BU66" s="296"/>
      <c r="BV66" s="296"/>
      <c r="BW66" s="296"/>
      <c r="BX66" s="296"/>
      <c r="BY66" s="296"/>
      <c r="BZ66" s="296"/>
      <c r="CA66" s="296"/>
      <c r="CB66" s="296"/>
      <c r="CC66" s="296"/>
      <c r="CD66" s="296"/>
      <c r="CE66" s="296"/>
      <c r="CF66" s="296"/>
      <c r="CG66" s="296"/>
      <c r="CH66" s="296"/>
      <c r="CI66" s="296"/>
      <c r="CJ66" s="296"/>
      <c r="CK66" s="296"/>
      <c r="CL66" s="296"/>
      <c r="CM66" s="296"/>
      <c r="CN66" s="296"/>
      <c r="CO66" s="296"/>
      <c r="CP66" s="296"/>
      <c r="CQ66" s="296"/>
      <c r="CR66" s="296"/>
      <c r="CS66" s="296"/>
      <c r="CT66" s="296"/>
      <c r="CU66" s="296"/>
      <c r="CV66" s="296"/>
      <c r="CW66" s="296"/>
      <c r="CX66" s="296"/>
      <c r="CY66" s="296"/>
      <c r="CZ66" s="296"/>
      <c r="DA66" s="296"/>
      <c r="DB66" s="296"/>
      <c r="DC66" s="296"/>
      <c r="DD66" s="296"/>
      <c r="DE66" s="296"/>
      <c r="DF66" s="296"/>
      <c r="DG66" s="296"/>
      <c r="DH66" s="296"/>
      <c r="DI66" s="296"/>
      <c r="DJ66" s="296"/>
      <c r="DK66" s="296"/>
      <c r="DL66" s="296"/>
      <c r="DM66" s="296"/>
      <c r="DN66" s="296"/>
      <c r="DO66" s="296"/>
      <c r="DP66" s="296"/>
      <c r="DQ66" s="296"/>
      <c r="DR66" s="296"/>
      <c r="DS66" s="296"/>
      <c r="DT66" s="296"/>
      <c r="DU66" s="296"/>
      <c r="DV66" s="296"/>
      <c r="DW66" s="296"/>
      <c r="DX66" s="296"/>
      <c r="DY66" s="296"/>
      <c r="DZ66" s="296"/>
      <c r="EA66" s="296"/>
      <c r="EB66" s="296"/>
      <c r="EC66" s="296"/>
      <c r="ED66" s="296"/>
      <c r="EE66" s="296"/>
      <c r="EF66" s="296"/>
      <c r="EG66" s="296"/>
      <c r="EH66" s="296"/>
      <c r="EI66" s="296"/>
      <c r="EJ66" s="296"/>
      <c r="EK66" s="296"/>
      <c r="EL66" s="296"/>
      <c r="EM66" s="296"/>
      <c r="EN66" s="296"/>
      <c r="EO66" s="296"/>
      <c r="EP66" s="296"/>
      <c r="EQ66" s="296"/>
      <c r="ER66" s="296"/>
      <c r="ES66" s="296"/>
      <c r="ET66" s="296"/>
      <c r="EU66" s="296"/>
      <c r="EV66" s="296"/>
      <c r="EW66" s="296"/>
      <c r="EX66" s="296"/>
      <c r="EY66" s="296"/>
      <c r="EZ66" s="296"/>
      <c r="FA66" s="296"/>
      <c r="FB66" s="296"/>
      <c r="FC66" s="296"/>
      <c r="FD66" s="296"/>
      <c r="FE66" s="297"/>
      <c r="FF66" s="296"/>
      <c r="FG66" s="296"/>
      <c r="FH66" s="296"/>
      <c r="FI66" s="296"/>
      <c r="FJ66" s="296"/>
      <c r="FK66" s="296"/>
      <c r="FL66" s="296"/>
      <c r="FM66" s="296"/>
      <c r="FN66" s="296"/>
      <c r="FO66" s="296"/>
      <c r="FP66" s="296"/>
      <c r="FQ66" s="296"/>
      <c r="FR66" s="296"/>
      <c r="FS66" s="296"/>
      <c r="FT66" s="296"/>
      <c r="FU66" s="296"/>
      <c r="FV66" s="296"/>
      <c r="FW66" s="296"/>
      <c r="FX66" s="296"/>
      <c r="FY66" s="296"/>
      <c r="FZ66" s="296"/>
      <c r="GA66" s="296"/>
      <c r="GB66" s="296"/>
      <c r="GC66" s="296"/>
      <c r="GD66" s="296"/>
      <c r="GE66" s="296"/>
      <c r="GF66" s="296"/>
      <c r="GG66" s="296"/>
      <c r="GH66" s="296"/>
      <c r="GI66" s="296"/>
      <c r="GJ66" s="296"/>
      <c r="GK66" s="296"/>
      <c r="GL66" s="296"/>
      <c r="GM66" s="296"/>
      <c r="GN66" s="296"/>
      <c r="GO66" s="296"/>
      <c r="GP66" s="296"/>
      <c r="GQ66" s="296"/>
      <c r="GR66" s="296"/>
      <c r="GS66" s="296"/>
      <c r="GT66" s="296"/>
      <c r="GU66" s="296"/>
      <c r="GV66" s="296"/>
      <c r="GW66" s="296"/>
      <c r="GX66" s="296"/>
      <c r="GY66" s="296"/>
      <c r="GZ66" s="296"/>
      <c r="HA66" s="296"/>
      <c r="HB66" s="296"/>
      <c r="HC66" s="296"/>
      <c r="HD66" s="296"/>
      <c r="HE66" s="296"/>
      <c r="HF66" s="296"/>
      <c r="HG66" s="296"/>
      <c r="HH66" s="296"/>
      <c r="HI66" s="296"/>
    </row>
    <row r="67" spans="1:217" ht="15" customHeight="1" thickBot="1">
      <c r="A67" s="150"/>
      <c r="B67" s="150"/>
      <c r="C67" s="387" t="str">
        <f>IF([3]MasterSheet!$A$1=1,[3]MasterSheet!C319,[3]MasterSheet!B319)</f>
        <v>Otplata obaveza iz prethodnog perioda</v>
      </c>
      <c r="D67" s="360">
        <f>+'[3]Cental Budget_int'!D90+'[3]Local Government_int'!D83</f>
        <v>61881008.200000003</v>
      </c>
      <c r="E67" s="388">
        <f t="shared" si="14"/>
        <v>2.8796597421936805</v>
      </c>
      <c r="F67" s="360">
        <f>+'[3]Cental Budget_int'!F90+'[3]Local Government_int'!F83</f>
        <v>68502296.530000001</v>
      </c>
      <c r="G67" s="388">
        <f t="shared" si="15"/>
        <v>2.5555790535347884</v>
      </c>
      <c r="H67" s="360">
        <f>+'[3]Cental Budget_int'!H90+'[3]Local Government_int'!H83</f>
        <v>71350515.060000002</v>
      </c>
      <c r="I67" s="388">
        <f t="shared" si="16"/>
        <v>2.3123708536427277</v>
      </c>
      <c r="J67" s="360">
        <f>+'[3]Cental Budget_int'!J90+'[3]Local Government_int'!J83</f>
        <v>85726035.180000007</v>
      </c>
      <c r="K67" s="388">
        <f t="shared" si="17"/>
        <v>2.875747573968467</v>
      </c>
      <c r="L67" s="360">
        <f>+'[3]Cental Budget_int'!L90+'[3]Local Government_int'!L83</f>
        <v>121337690.36</v>
      </c>
      <c r="M67" s="388">
        <f t="shared" si="18"/>
        <v>3.8828060915199996</v>
      </c>
      <c r="N67" s="360">
        <f>+'[3]Cental Budget_int'!N90+'[3]Local Government_int'!N83</f>
        <v>82593404.969999999</v>
      </c>
      <c r="O67" s="388">
        <f t="shared" si="19"/>
        <v>2.5296601828483918</v>
      </c>
      <c r="P67" s="360">
        <f>+'[3]Cental Budget_int'!P90+'[3]Local Government_int'!P83</f>
        <v>47085653.239999995</v>
      </c>
      <c r="Q67" s="388">
        <f t="shared" si="20"/>
        <v>1.4802154429424708</v>
      </c>
      <c r="R67" s="360">
        <f>+'[3]Cental Budget_int'!R90+'[3]Local Government_int'!R83</f>
        <v>52693444.259999998</v>
      </c>
      <c r="S67" s="388">
        <f t="shared" si="9"/>
        <v>1.5673243384889946</v>
      </c>
      <c r="T67" s="360">
        <f>+'[3]Cental Budget_int'!T90+'[3]Local Government_int'!T83</f>
        <v>0</v>
      </c>
      <c r="U67" s="388">
        <f t="shared" si="10"/>
        <v>0</v>
      </c>
      <c r="V67" s="118">
        <v>0</v>
      </c>
      <c r="W67" s="389">
        <f t="shared" si="11"/>
        <v>0</v>
      </c>
      <c r="X67" s="360">
        <f>'Cental Budget'!X90+'Local Government_int'!X83</f>
        <v>0</v>
      </c>
      <c r="Y67" s="388">
        <f t="shared" si="23"/>
        <v>0</v>
      </c>
      <c r="Z67" s="360">
        <f>'Cental Budget'!Z90+'Local Government_int'!Z83</f>
        <v>0</v>
      </c>
      <c r="AA67" s="388">
        <f t="shared" si="22"/>
        <v>0</v>
      </c>
      <c r="AB67" s="513"/>
      <c r="AC67" s="513"/>
      <c r="AD67" s="511"/>
      <c r="AE67" s="511"/>
      <c r="AF67" s="511"/>
      <c r="AG67" s="511"/>
      <c r="AH67" s="511"/>
      <c r="AI67" s="511"/>
      <c r="AJ67" s="511"/>
      <c r="AK67" s="511"/>
      <c r="AL67" s="511"/>
      <c r="AM67" s="511"/>
      <c r="AN67" s="511"/>
      <c r="AO67" s="511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6"/>
      <c r="BO67" s="296"/>
      <c r="BP67" s="296"/>
      <c r="BQ67" s="296"/>
      <c r="BR67" s="296"/>
      <c r="BS67" s="296"/>
      <c r="BT67" s="296"/>
      <c r="BU67" s="296"/>
      <c r="BV67" s="296"/>
      <c r="BW67" s="296"/>
      <c r="BX67" s="296"/>
      <c r="BY67" s="296"/>
      <c r="BZ67" s="296"/>
      <c r="CA67" s="296"/>
      <c r="CB67" s="296"/>
      <c r="CC67" s="296"/>
      <c r="CD67" s="296"/>
      <c r="CE67" s="296"/>
      <c r="CF67" s="296"/>
      <c r="CG67" s="296"/>
      <c r="CH67" s="296"/>
      <c r="CI67" s="296"/>
      <c r="CJ67" s="296"/>
      <c r="CK67" s="296"/>
      <c r="CL67" s="296"/>
      <c r="CM67" s="296"/>
      <c r="CN67" s="296"/>
      <c r="CO67" s="296"/>
      <c r="CP67" s="296"/>
      <c r="CQ67" s="296"/>
      <c r="CR67" s="296"/>
      <c r="CS67" s="296"/>
      <c r="CT67" s="296"/>
      <c r="CU67" s="296"/>
      <c r="CV67" s="296"/>
      <c r="CW67" s="296"/>
      <c r="CX67" s="296"/>
      <c r="CY67" s="296"/>
      <c r="CZ67" s="296"/>
      <c r="DA67" s="296"/>
      <c r="DB67" s="296"/>
      <c r="DC67" s="296"/>
      <c r="DD67" s="296"/>
      <c r="DE67" s="296"/>
      <c r="DF67" s="296"/>
      <c r="DG67" s="296"/>
      <c r="DH67" s="296"/>
      <c r="DI67" s="296"/>
      <c r="DJ67" s="296"/>
      <c r="DK67" s="296"/>
      <c r="DL67" s="296"/>
      <c r="DM67" s="296"/>
      <c r="DN67" s="296"/>
      <c r="DO67" s="296"/>
      <c r="DP67" s="296"/>
      <c r="DQ67" s="296"/>
      <c r="DR67" s="296"/>
      <c r="DS67" s="296"/>
      <c r="DT67" s="296"/>
      <c r="DU67" s="296"/>
      <c r="DV67" s="296"/>
      <c r="DW67" s="296"/>
      <c r="DX67" s="296"/>
      <c r="DY67" s="296"/>
      <c r="DZ67" s="296"/>
      <c r="EA67" s="296"/>
      <c r="EB67" s="296"/>
      <c r="EC67" s="296"/>
      <c r="ED67" s="296"/>
      <c r="EE67" s="296"/>
      <c r="EF67" s="296"/>
      <c r="EG67" s="296"/>
      <c r="EH67" s="296"/>
      <c r="EI67" s="296"/>
      <c r="EJ67" s="296"/>
      <c r="EK67" s="296"/>
      <c r="EL67" s="296"/>
      <c r="EM67" s="296"/>
      <c r="EN67" s="296"/>
      <c r="EO67" s="296"/>
      <c r="EP67" s="296"/>
      <c r="EQ67" s="296"/>
      <c r="ER67" s="296"/>
      <c r="ES67" s="296"/>
      <c r="ET67" s="296"/>
      <c r="EU67" s="296"/>
      <c r="EV67" s="296"/>
      <c r="EW67" s="296"/>
      <c r="EX67" s="296"/>
      <c r="EY67" s="296"/>
      <c r="EZ67" s="296"/>
      <c r="FA67" s="296"/>
      <c r="FB67" s="296"/>
      <c r="FC67" s="296"/>
      <c r="FD67" s="296"/>
      <c r="FE67" s="297"/>
      <c r="FF67" s="296"/>
      <c r="FG67" s="296"/>
      <c r="FH67" s="296"/>
      <c r="FI67" s="296"/>
      <c r="FJ67" s="296"/>
      <c r="FK67" s="296"/>
      <c r="FL67" s="296"/>
      <c r="FM67" s="296"/>
      <c r="FN67" s="296"/>
      <c r="FO67" s="296"/>
      <c r="FP67" s="296"/>
      <c r="FQ67" s="296"/>
      <c r="FR67" s="296"/>
      <c r="FS67" s="296"/>
      <c r="FT67" s="296"/>
      <c r="FU67" s="296"/>
      <c r="FV67" s="296"/>
      <c r="FW67" s="296"/>
      <c r="FX67" s="296"/>
      <c r="FY67" s="296"/>
      <c r="FZ67" s="296"/>
      <c r="GA67" s="296"/>
      <c r="GB67" s="296"/>
      <c r="GC67" s="296"/>
      <c r="GD67" s="296"/>
      <c r="GE67" s="296"/>
      <c r="GF67" s="296"/>
      <c r="GG67" s="296"/>
      <c r="GH67" s="296"/>
      <c r="GI67" s="296"/>
      <c r="GJ67" s="296"/>
      <c r="GK67" s="296"/>
      <c r="GL67" s="296"/>
      <c r="GM67" s="296"/>
      <c r="GN67" s="296"/>
      <c r="GO67" s="296"/>
      <c r="GP67" s="296"/>
      <c r="GQ67" s="296"/>
      <c r="GR67" s="296"/>
      <c r="GS67" s="296"/>
      <c r="GT67" s="296"/>
      <c r="GU67" s="296"/>
      <c r="GV67" s="296"/>
      <c r="GW67" s="296"/>
      <c r="GX67" s="296"/>
      <c r="GY67" s="296"/>
      <c r="GZ67" s="296"/>
      <c r="HA67" s="296"/>
      <c r="HB67" s="296"/>
      <c r="HC67" s="296"/>
      <c r="HD67" s="296"/>
      <c r="HE67" s="296"/>
      <c r="HF67" s="296"/>
      <c r="HG67" s="296"/>
      <c r="HH67" s="296"/>
      <c r="HI67" s="296"/>
    </row>
    <row r="68" spans="1:217" ht="15" customHeight="1" thickTop="1" thickBot="1">
      <c r="A68" s="150"/>
      <c r="B68" s="150"/>
      <c r="C68" s="378" t="str">
        <f>IF([3]MasterSheet!$A$1=1,[3]MasterSheet!C321,[3]MasterSheet!B321)</f>
        <v>Nedostajuća sredstva</v>
      </c>
      <c r="D68" s="379">
        <f>D61-D64</f>
        <v>-51225259.019800231</v>
      </c>
      <c r="E68" s="380">
        <f t="shared" si="14"/>
        <v>-2.3837898003536799</v>
      </c>
      <c r="F68" s="379">
        <f>F61-F64</f>
        <v>-17862472.349999905</v>
      </c>
      <c r="G68" s="380">
        <f t="shared" si="15"/>
        <v>-0.66638583659764616</v>
      </c>
      <c r="H68" s="379">
        <f>H61-H64</f>
        <v>-159869290.97000021</v>
      </c>
      <c r="I68" s="380">
        <f t="shared" si="16"/>
        <v>-5.1811411385143957</v>
      </c>
      <c r="J68" s="379">
        <f>J61-J64+J74</f>
        <v>-415614386.43449974</v>
      </c>
      <c r="K68" s="380">
        <f t="shared" si="17"/>
        <v>-13.942112929704789</v>
      </c>
      <c r="L68" s="379">
        <f>L61-L64</f>
        <v>-347127478.02399969</v>
      </c>
      <c r="M68" s="380">
        <f t="shared" si="18"/>
        <v>-11.10807929676799</v>
      </c>
      <c r="N68" s="379">
        <f>N61-N64</f>
        <v>-358647546.29000026</v>
      </c>
      <c r="O68" s="380">
        <f t="shared" si="19"/>
        <v>-10.984610912404296</v>
      </c>
      <c r="P68" s="379">
        <f>P61-P64</f>
        <v>-366520169.82666665</v>
      </c>
      <c r="Q68" s="380">
        <f t="shared" si="20"/>
        <v>-11.522168180655978</v>
      </c>
      <c r="R68" s="379">
        <f>R62-R64</f>
        <v>-402010786.52729976</v>
      </c>
      <c r="S68" s="380">
        <f t="shared" si="9"/>
        <v>-11.957489188795353</v>
      </c>
      <c r="T68" s="379">
        <f>T62-T64+T74</f>
        <v>-569352491.90999997</v>
      </c>
      <c r="U68" s="380">
        <f t="shared" si="10"/>
        <v>-16.465267703230282</v>
      </c>
      <c r="V68" s="379">
        <f>V62-V64+V74</f>
        <v>-853169064.96000004</v>
      </c>
      <c r="W68" s="381">
        <f t="shared" si="11"/>
        <v>-23.342518877154582</v>
      </c>
      <c r="X68" s="379">
        <f>X62-X64</f>
        <v>-662499906.4599998</v>
      </c>
      <c r="Y68" s="380">
        <f t="shared" si="23"/>
        <v>-16.754334794901617</v>
      </c>
      <c r="Z68" s="379">
        <f>Z62-Z64</f>
        <v>-614802002.44999993</v>
      </c>
      <c r="AA68" s="380">
        <f t="shared" si="22"/>
        <v>-14.512026494748021</v>
      </c>
      <c r="AB68" s="513"/>
      <c r="AC68" s="513"/>
      <c r="AD68" s="513"/>
      <c r="AE68" s="513"/>
      <c r="AF68" s="513"/>
      <c r="AG68" s="513"/>
      <c r="AH68" s="513"/>
      <c r="AI68" s="511"/>
      <c r="AJ68" s="511"/>
      <c r="AK68" s="511"/>
      <c r="AL68" s="511"/>
      <c r="AM68" s="511"/>
      <c r="AN68" s="511"/>
      <c r="AO68" s="511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6"/>
      <c r="BO68" s="296"/>
      <c r="BP68" s="296"/>
      <c r="BQ68" s="296"/>
      <c r="BR68" s="296"/>
      <c r="BS68" s="296"/>
      <c r="BT68" s="296"/>
      <c r="BU68" s="296"/>
      <c r="BV68" s="296"/>
      <c r="BW68" s="296"/>
      <c r="BX68" s="296"/>
      <c r="BY68" s="296"/>
      <c r="BZ68" s="296"/>
      <c r="CA68" s="296"/>
      <c r="CB68" s="296"/>
      <c r="CC68" s="296"/>
      <c r="CD68" s="296"/>
      <c r="CE68" s="296"/>
      <c r="CF68" s="296"/>
      <c r="CG68" s="296"/>
      <c r="CH68" s="296"/>
      <c r="CI68" s="296"/>
      <c r="CJ68" s="296"/>
      <c r="CK68" s="296"/>
      <c r="CL68" s="296"/>
      <c r="CM68" s="296"/>
      <c r="CN68" s="296"/>
      <c r="CO68" s="296"/>
      <c r="CP68" s="296"/>
      <c r="CQ68" s="296"/>
      <c r="CR68" s="296"/>
      <c r="CS68" s="296"/>
      <c r="CT68" s="296"/>
      <c r="CU68" s="296"/>
      <c r="CV68" s="296"/>
      <c r="CW68" s="296"/>
      <c r="CX68" s="296"/>
      <c r="CY68" s="296"/>
      <c r="CZ68" s="296"/>
      <c r="DA68" s="296"/>
      <c r="DB68" s="296"/>
      <c r="DC68" s="296"/>
      <c r="DD68" s="296"/>
      <c r="DE68" s="296"/>
      <c r="DF68" s="296"/>
      <c r="DG68" s="296"/>
      <c r="DH68" s="296"/>
      <c r="DI68" s="296"/>
      <c r="DJ68" s="296"/>
      <c r="DK68" s="296"/>
      <c r="DL68" s="296"/>
      <c r="DM68" s="296"/>
      <c r="DN68" s="296"/>
      <c r="DO68" s="296"/>
      <c r="DP68" s="296"/>
      <c r="DQ68" s="296"/>
      <c r="DR68" s="296"/>
      <c r="DS68" s="296"/>
      <c r="DT68" s="296"/>
      <c r="DU68" s="296"/>
      <c r="DV68" s="296"/>
      <c r="DW68" s="296"/>
      <c r="DX68" s="296"/>
      <c r="DY68" s="296"/>
      <c r="DZ68" s="296"/>
      <c r="EA68" s="296"/>
      <c r="EB68" s="296"/>
      <c r="EC68" s="296"/>
      <c r="ED68" s="296"/>
      <c r="EE68" s="296"/>
      <c r="EF68" s="296"/>
      <c r="EG68" s="296"/>
      <c r="EH68" s="296"/>
      <c r="EI68" s="296"/>
      <c r="EJ68" s="296"/>
      <c r="EK68" s="296"/>
      <c r="EL68" s="296"/>
      <c r="EM68" s="296"/>
      <c r="EN68" s="296"/>
      <c r="EO68" s="296"/>
      <c r="EP68" s="296"/>
      <c r="EQ68" s="296"/>
      <c r="ER68" s="296"/>
      <c r="ES68" s="296"/>
      <c r="ET68" s="296"/>
      <c r="EU68" s="296"/>
      <c r="EV68" s="296"/>
      <c r="EW68" s="296"/>
      <c r="EX68" s="296"/>
      <c r="EY68" s="296"/>
      <c r="EZ68" s="296"/>
      <c r="FA68" s="296"/>
      <c r="FB68" s="296"/>
      <c r="FC68" s="296"/>
      <c r="FD68" s="296"/>
      <c r="FE68" s="297"/>
      <c r="FF68" s="296"/>
      <c r="FG68" s="296"/>
      <c r="FH68" s="296"/>
      <c r="FI68" s="296"/>
      <c r="FJ68" s="296"/>
      <c r="FK68" s="296"/>
      <c r="FL68" s="296"/>
      <c r="FM68" s="296"/>
      <c r="FN68" s="296"/>
      <c r="FO68" s="296"/>
      <c r="FP68" s="296"/>
      <c r="FQ68" s="296"/>
      <c r="FR68" s="296"/>
      <c r="FS68" s="296"/>
      <c r="FT68" s="296"/>
      <c r="FU68" s="296"/>
      <c r="FV68" s="296"/>
      <c r="FW68" s="296"/>
      <c r="FX68" s="296"/>
      <c r="FY68" s="296"/>
      <c r="FZ68" s="296"/>
      <c r="GA68" s="296"/>
      <c r="GB68" s="296"/>
      <c r="GC68" s="296"/>
      <c r="GD68" s="296"/>
      <c r="GE68" s="296"/>
      <c r="GF68" s="296"/>
      <c r="GG68" s="296"/>
      <c r="GH68" s="296"/>
      <c r="GI68" s="296"/>
      <c r="GJ68" s="296"/>
      <c r="GK68" s="296"/>
      <c r="GL68" s="296"/>
      <c r="GM68" s="296"/>
      <c r="GN68" s="296"/>
      <c r="GO68" s="296"/>
      <c r="GP68" s="296"/>
      <c r="GQ68" s="296"/>
      <c r="GR68" s="296"/>
      <c r="GS68" s="296"/>
      <c r="GT68" s="296"/>
      <c r="GU68" s="296"/>
      <c r="GV68" s="296"/>
      <c r="GW68" s="296"/>
      <c r="GX68" s="296"/>
      <c r="GY68" s="296"/>
      <c r="GZ68" s="296"/>
      <c r="HA68" s="296"/>
      <c r="HB68" s="296"/>
      <c r="HC68" s="296"/>
      <c r="HD68" s="296"/>
      <c r="HE68" s="296"/>
      <c r="HF68" s="296"/>
      <c r="HG68" s="296"/>
      <c r="HH68" s="296"/>
      <c r="HI68" s="296"/>
    </row>
    <row r="69" spans="1:217" ht="15" customHeight="1" thickTop="1" thickBot="1">
      <c r="A69" s="150"/>
      <c r="B69" s="150"/>
      <c r="C69" s="378" t="str">
        <f>IF([3]MasterSheet!$A$1=1,[3]MasterSheet!C322,[3]MasterSheet!B322)</f>
        <v>Finansiranje</v>
      </c>
      <c r="D69" s="379">
        <f>SUM(D70:D72)+D74+D32</f>
        <v>51225259.01980035</v>
      </c>
      <c r="E69" s="380">
        <f t="shared" si="14"/>
        <v>2.3837898003536853</v>
      </c>
      <c r="F69" s="379">
        <f>SUM(F70:F72)+F32+F74</f>
        <v>17862472.343000025</v>
      </c>
      <c r="G69" s="380">
        <f t="shared" si="15"/>
        <v>0.66638583633650528</v>
      </c>
      <c r="H69" s="379">
        <f>SUM(H70:H72)+H74+H32</f>
        <v>159869291.12</v>
      </c>
      <c r="I69" s="380">
        <f t="shared" si="16"/>
        <v>5.1811411433756813</v>
      </c>
      <c r="J69" s="379">
        <f>SUM(J70:J72)+J32</f>
        <v>415610881.51000005</v>
      </c>
      <c r="K69" s="380">
        <f t="shared" si="17"/>
        <v>13.941995354243545</v>
      </c>
      <c r="L69" s="379">
        <f>SUM(L70:L72)+L74+L32</f>
        <v>347131523.38599998</v>
      </c>
      <c r="M69" s="380">
        <f t="shared" si="18"/>
        <v>11.108208748352</v>
      </c>
      <c r="N69" s="379">
        <f>SUM(N70:N72)+N74+N32</f>
        <v>358647547.04999995</v>
      </c>
      <c r="O69" s="380">
        <f t="shared" si="19"/>
        <v>10.984610935681468</v>
      </c>
      <c r="P69" s="379">
        <f>SUM(P70:P72)+P74+P32</f>
        <v>366520169.83000004</v>
      </c>
      <c r="Q69" s="380">
        <f t="shared" si="20"/>
        <v>11.522168180760769</v>
      </c>
      <c r="R69" s="379">
        <f>SUM(R70:R72)+R59+R74</f>
        <v>402010786.52730012</v>
      </c>
      <c r="S69" s="380">
        <f t="shared" si="9"/>
        <v>11.957489188795362</v>
      </c>
      <c r="T69" s="379">
        <f>SUM(T70:T73)+T59</f>
        <v>569352491.58000004</v>
      </c>
      <c r="U69" s="380">
        <f t="shared" si="10"/>
        <v>16.465267693686922</v>
      </c>
      <c r="V69" s="379">
        <f>SUM(V70:V73)+V59</f>
        <v>853170497.07000005</v>
      </c>
      <c r="W69" s="381">
        <f t="shared" si="11"/>
        <v>23.342558059370727</v>
      </c>
      <c r="X69" s="379">
        <f>SUM(X70:X74)+X59</f>
        <v>662499906.4599998</v>
      </c>
      <c r="Y69" s="380">
        <f t="shared" si="23"/>
        <v>16.754334794901617</v>
      </c>
      <c r="Z69" s="379">
        <f>SUM(Z70:Z73)+Z74+_ftn2</f>
        <v>614802002.44999993</v>
      </c>
      <c r="AA69" s="380">
        <f t="shared" si="22"/>
        <v>14.512026494748021</v>
      </c>
      <c r="AB69" s="513"/>
      <c r="AC69" s="513"/>
      <c r="AD69" s="513"/>
      <c r="AE69" s="513"/>
      <c r="AF69" s="513"/>
      <c r="AG69" s="513"/>
      <c r="AH69" s="513"/>
      <c r="AI69" s="511"/>
      <c r="AJ69" s="511"/>
      <c r="AK69" s="511"/>
      <c r="AL69" s="511"/>
      <c r="AM69" s="511"/>
      <c r="AN69" s="511"/>
      <c r="AO69" s="511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6"/>
      <c r="BO69" s="296"/>
      <c r="BP69" s="296"/>
      <c r="BQ69" s="296"/>
      <c r="BR69" s="296"/>
      <c r="BS69" s="296"/>
      <c r="BT69" s="296"/>
      <c r="BU69" s="296"/>
      <c r="BV69" s="296"/>
      <c r="BW69" s="296"/>
      <c r="BX69" s="296"/>
      <c r="BY69" s="296"/>
      <c r="BZ69" s="296"/>
      <c r="CA69" s="296"/>
      <c r="CB69" s="296"/>
      <c r="CC69" s="296"/>
      <c r="CD69" s="296"/>
      <c r="CE69" s="296"/>
      <c r="CF69" s="296"/>
      <c r="CG69" s="296"/>
      <c r="CH69" s="296"/>
      <c r="CI69" s="296"/>
      <c r="CJ69" s="296"/>
      <c r="CK69" s="296"/>
      <c r="CL69" s="296"/>
      <c r="CM69" s="296"/>
      <c r="CN69" s="296"/>
      <c r="CO69" s="296"/>
      <c r="CP69" s="296"/>
      <c r="CQ69" s="296"/>
      <c r="CR69" s="296"/>
      <c r="CS69" s="296"/>
      <c r="CT69" s="296"/>
      <c r="CU69" s="296"/>
      <c r="CV69" s="296"/>
      <c r="CW69" s="296"/>
      <c r="CX69" s="296"/>
      <c r="CY69" s="296"/>
      <c r="CZ69" s="296"/>
      <c r="DA69" s="296"/>
      <c r="DB69" s="296"/>
      <c r="DC69" s="296"/>
      <c r="DD69" s="296"/>
      <c r="DE69" s="296"/>
      <c r="DF69" s="296"/>
      <c r="DG69" s="296"/>
      <c r="DH69" s="296"/>
      <c r="DI69" s="296"/>
      <c r="DJ69" s="296"/>
      <c r="DK69" s="296"/>
      <c r="DL69" s="296"/>
      <c r="DM69" s="296"/>
      <c r="DN69" s="296"/>
      <c r="DO69" s="296"/>
      <c r="DP69" s="296"/>
      <c r="DQ69" s="296"/>
      <c r="DR69" s="296"/>
      <c r="DS69" s="296"/>
      <c r="DT69" s="296"/>
      <c r="DU69" s="296"/>
      <c r="DV69" s="296"/>
      <c r="DW69" s="296"/>
      <c r="DX69" s="296"/>
      <c r="DY69" s="296"/>
      <c r="DZ69" s="296"/>
      <c r="EA69" s="296"/>
      <c r="EB69" s="296"/>
      <c r="EC69" s="296"/>
      <c r="ED69" s="296"/>
      <c r="EE69" s="296"/>
      <c r="EF69" s="296"/>
      <c r="EG69" s="296"/>
      <c r="EH69" s="296"/>
      <c r="EI69" s="296"/>
      <c r="EJ69" s="296"/>
      <c r="EK69" s="296"/>
      <c r="EL69" s="296"/>
      <c r="EM69" s="296"/>
      <c r="EN69" s="296"/>
      <c r="EO69" s="296"/>
      <c r="EP69" s="296"/>
      <c r="EQ69" s="296"/>
      <c r="ER69" s="296"/>
      <c r="ES69" s="296"/>
      <c r="ET69" s="296"/>
      <c r="EU69" s="296"/>
      <c r="EV69" s="296"/>
      <c r="EW69" s="296"/>
      <c r="EX69" s="296"/>
      <c r="EY69" s="296"/>
      <c r="EZ69" s="296"/>
      <c r="FA69" s="296"/>
      <c r="FB69" s="296"/>
      <c r="FC69" s="296"/>
      <c r="FD69" s="296"/>
      <c r="FE69" s="297"/>
      <c r="FF69" s="296"/>
      <c r="FG69" s="296"/>
      <c r="FH69" s="296"/>
      <c r="FI69" s="296"/>
      <c r="FJ69" s="296"/>
      <c r="FK69" s="296"/>
      <c r="FL69" s="296"/>
      <c r="FM69" s="296"/>
      <c r="FN69" s="296"/>
      <c r="FO69" s="296"/>
      <c r="FP69" s="296"/>
      <c r="FQ69" s="296"/>
      <c r="FR69" s="296"/>
      <c r="FS69" s="296"/>
      <c r="FT69" s="296"/>
      <c r="FU69" s="296"/>
      <c r="FV69" s="296"/>
      <c r="FW69" s="296"/>
      <c r="FX69" s="296"/>
      <c r="FY69" s="296"/>
      <c r="FZ69" s="296"/>
      <c r="GA69" s="296"/>
      <c r="GB69" s="296"/>
      <c r="GC69" s="296"/>
      <c r="GD69" s="296"/>
      <c r="GE69" s="296"/>
      <c r="GF69" s="296"/>
      <c r="GG69" s="296"/>
      <c r="GH69" s="296"/>
      <c r="GI69" s="296"/>
      <c r="GJ69" s="296"/>
      <c r="GK69" s="296"/>
      <c r="GL69" s="296"/>
      <c r="GM69" s="296"/>
      <c r="GN69" s="296"/>
      <c r="GO69" s="296"/>
      <c r="GP69" s="296"/>
      <c r="GQ69" s="296"/>
      <c r="GR69" s="296"/>
      <c r="GS69" s="296"/>
      <c r="GT69" s="296"/>
      <c r="GU69" s="296"/>
      <c r="GV69" s="296"/>
      <c r="GW69" s="296"/>
      <c r="GX69" s="296"/>
      <c r="GY69" s="296"/>
      <c r="GZ69" s="296"/>
      <c r="HA69" s="296"/>
      <c r="HB69" s="296"/>
      <c r="HC69" s="296"/>
      <c r="HD69" s="296"/>
      <c r="HE69" s="296"/>
      <c r="HF69" s="296"/>
      <c r="HG69" s="296"/>
      <c r="HH69" s="296"/>
      <c r="HI69" s="296"/>
    </row>
    <row r="70" spans="1:217" ht="15" customHeight="1" thickTop="1">
      <c r="A70" s="150"/>
      <c r="B70" s="150"/>
      <c r="C70" s="382" t="str">
        <f>IF([3]MasterSheet!$A$1=1,[3]MasterSheet!C323,[3]MasterSheet!B323)</f>
        <v>Pozajmice i krediti iz domaćih izvora</v>
      </c>
      <c r="D70" s="383">
        <f>+'[3]Cental Budget_int'!D93+'[3]Local Government_int'!D86</f>
        <v>16580968.940000001</v>
      </c>
      <c r="E70" s="384">
        <f>+D70/$D$9*100</f>
        <v>0.77160263111359306</v>
      </c>
      <c r="F70" s="383">
        <f>+'[3]Cental Budget_int'!F93+'[3]Local Government_int'!F86</f>
        <v>19023507</v>
      </c>
      <c r="G70" s="384">
        <f>+F70/$F$9*100</f>
        <v>0.70969994404029102</v>
      </c>
      <c r="H70" s="383">
        <f>+'[3]Cental Budget_int'!H93+'[3]Local Government_int'!H86</f>
        <v>24971769.259999998</v>
      </c>
      <c r="I70" s="384">
        <f>+H70/$H$9*100</f>
        <v>0.80930027417682127</v>
      </c>
      <c r="J70" s="383">
        <f>+'[3]Cental Budget_int'!J93+'[3]Local Government_int'!J86</f>
        <v>125659173.06</v>
      </c>
      <c r="K70" s="384">
        <f>+J70/$J$9*100</f>
        <v>4.215336231465951</v>
      </c>
      <c r="L70" s="383">
        <f>+'[3]Cental Budget_int'!L93+'[3]Local Government_int'!L86</f>
        <v>42118251.93</v>
      </c>
      <c r="M70" s="384">
        <f>+L70/$L$9*100</f>
        <v>1.3477840617600001</v>
      </c>
      <c r="N70" s="383">
        <f>+'[3]Cental Budget_int'!N93+'[3]Local Government_int'!N86</f>
        <v>66346883.030000001</v>
      </c>
      <c r="O70" s="384">
        <f>+N70/$N$9*100</f>
        <v>2.0320637987748849</v>
      </c>
      <c r="P70" s="383">
        <f>+'[3]Cental Budget_int'!P93+'[3]Local Government_int'!P86</f>
        <v>71270565.070000008</v>
      </c>
      <c r="Q70" s="384">
        <f t="shared" si="20"/>
        <v>2.2405081757309024</v>
      </c>
      <c r="R70" s="383">
        <f>+'[3]Cental Budget_int'!R93+'[3]Local Government_int'!R86</f>
        <v>151295937.61000013</v>
      </c>
      <c r="S70" s="384">
        <f t="shared" si="9"/>
        <v>4.5001766094586593</v>
      </c>
      <c r="T70" s="383">
        <f>+'[3]Cental Budget_int'!T93+'[3]Local Government_int'!T86</f>
        <v>250098651.93000001</v>
      </c>
      <c r="U70" s="384">
        <f t="shared" si="10"/>
        <v>7.2326745114086588</v>
      </c>
      <c r="V70" s="385">
        <f>'[3]Cental Budget_int'!V93+'[3]Local Government_int'!V86</f>
        <v>219053094.57000002</v>
      </c>
      <c r="W70" s="386">
        <f t="shared" si="11"/>
        <v>5.9932447214774287</v>
      </c>
      <c r="X70" s="383">
        <f>'Cental Budget'!X93+'Local Government_int'!X86</f>
        <v>329212313.42000002</v>
      </c>
      <c r="Y70" s="384">
        <f t="shared" si="23"/>
        <v>8.3256363719589306</v>
      </c>
      <c r="Z70" s="383">
        <f>'Cental Budget'!Z93+'Local Government_int'!Z86</f>
        <v>264385187.05000001</v>
      </c>
      <c r="AA70" s="384">
        <f t="shared" si="22"/>
        <v>6.2406511754986429</v>
      </c>
      <c r="AB70" s="513"/>
      <c r="AC70" s="513"/>
      <c r="AD70" s="511"/>
      <c r="AE70" s="511"/>
      <c r="AF70" s="511"/>
      <c r="AG70" s="511"/>
      <c r="AH70" s="511"/>
      <c r="AI70" s="511"/>
      <c r="AJ70" s="511"/>
      <c r="AK70" s="511"/>
      <c r="AL70" s="511"/>
      <c r="AM70" s="511"/>
      <c r="AN70" s="511"/>
      <c r="AO70" s="511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6"/>
      <c r="BO70" s="296"/>
      <c r="BP70" s="296"/>
      <c r="BQ70" s="296"/>
      <c r="BR70" s="296"/>
      <c r="BS70" s="296"/>
      <c r="BT70" s="296"/>
      <c r="BU70" s="296"/>
      <c r="BV70" s="296"/>
      <c r="BW70" s="296"/>
      <c r="BX70" s="296"/>
      <c r="BY70" s="296"/>
      <c r="BZ70" s="296"/>
      <c r="CA70" s="296"/>
      <c r="CB70" s="296"/>
      <c r="CC70" s="296"/>
      <c r="CD70" s="296"/>
      <c r="CE70" s="296"/>
      <c r="CF70" s="296"/>
      <c r="CG70" s="296"/>
      <c r="CH70" s="296"/>
      <c r="CI70" s="296"/>
      <c r="CJ70" s="296"/>
      <c r="CK70" s="296"/>
      <c r="CL70" s="296"/>
      <c r="CM70" s="296"/>
      <c r="CN70" s="296"/>
      <c r="CO70" s="296"/>
      <c r="CP70" s="296"/>
      <c r="CQ70" s="296"/>
      <c r="CR70" s="296"/>
      <c r="CS70" s="296"/>
      <c r="CT70" s="296"/>
      <c r="CU70" s="296"/>
      <c r="CV70" s="296"/>
      <c r="CW70" s="296"/>
      <c r="CX70" s="296"/>
      <c r="CY70" s="296"/>
      <c r="CZ70" s="296"/>
      <c r="DA70" s="296"/>
      <c r="DB70" s="296"/>
      <c r="DC70" s="296"/>
      <c r="DD70" s="296"/>
      <c r="DE70" s="296"/>
      <c r="DF70" s="296"/>
      <c r="DG70" s="296"/>
      <c r="DH70" s="296"/>
      <c r="DI70" s="296"/>
      <c r="DJ70" s="296"/>
      <c r="DK70" s="296"/>
      <c r="DL70" s="296"/>
      <c r="DM70" s="296"/>
      <c r="DN70" s="296"/>
      <c r="DO70" s="296"/>
      <c r="DP70" s="296"/>
      <c r="DQ70" s="296"/>
      <c r="DR70" s="296"/>
      <c r="DS70" s="296"/>
      <c r="DT70" s="296"/>
      <c r="DU70" s="296"/>
      <c r="DV70" s="296"/>
      <c r="DW70" s="296"/>
      <c r="DX70" s="296"/>
      <c r="DY70" s="296"/>
      <c r="DZ70" s="296"/>
      <c r="EA70" s="296"/>
      <c r="EB70" s="296"/>
      <c r="EC70" s="296"/>
      <c r="ED70" s="296"/>
      <c r="EE70" s="296"/>
      <c r="EF70" s="296"/>
      <c r="EG70" s="296"/>
      <c r="EH70" s="296"/>
      <c r="EI70" s="296"/>
      <c r="EJ70" s="296"/>
      <c r="EK70" s="296"/>
      <c r="EL70" s="296"/>
      <c r="EM70" s="296"/>
      <c r="EN70" s="296"/>
      <c r="EO70" s="296"/>
      <c r="EP70" s="296"/>
      <c r="EQ70" s="296"/>
      <c r="ER70" s="296"/>
      <c r="ES70" s="296"/>
      <c r="ET70" s="296"/>
      <c r="EU70" s="296"/>
      <c r="EV70" s="296"/>
      <c r="EW70" s="296"/>
      <c r="EX70" s="296"/>
      <c r="EY70" s="296"/>
      <c r="EZ70" s="296"/>
      <c r="FA70" s="296"/>
      <c r="FB70" s="296"/>
      <c r="FC70" s="296"/>
      <c r="FD70" s="296"/>
      <c r="FE70" s="297"/>
      <c r="FF70" s="296"/>
      <c r="FG70" s="296"/>
      <c r="FH70" s="296"/>
      <c r="FI70" s="296"/>
      <c r="FJ70" s="296"/>
      <c r="FK70" s="296"/>
      <c r="FL70" s="296"/>
      <c r="FM70" s="296"/>
      <c r="FN70" s="296"/>
      <c r="FO70" s="296"/>
      <c r="FP70" s="296"/>
      <c r="FQ70" s="296"/>
      <c r="FR70" s="296"/>
      <c r="FS70" s="296"/>
      <c r="FT70" s="296"/>
      <c r="FU70" s="296"/>
      <c r="FV70" s="296"/>
      <c r="FW70" s="296"/>
      <c r="FX70" s="296"/>
      <c r="FY70" s="296"/>
      <c r="FZ70" s="296"/>
      <c r="GA70" s="296"/>
      <c r="GB70" s="296"/>
      <c r="GC70" s="296"/>
      <c r="GD70" s="296"/>
      <c r="GE70" s="296"/>
      <c r="GF70" s="296"/>
      <c r="GG70" s="296"/>
      <c r="GH70" s="296"/>
      <c r="GI70" s="296"/>
      <c r="GJ70" s="296"/>
      <c r="GK70" s="296"/>
      <c r="GL70" s="296"/>
      <c r="GM70" s="296"/>
      <c r="GN70" s="296"/>
      <c r="GO70" s="296"/>
      <c r="GP70" s="296"/>
      <c r="GQ70" s="296"/>
      <c r="GR70" s="296"/>
      <c r="GS70" s="296"/>
      <c r="GT70" s="296"/>
      <c r="GU70" s="296"/>
      <c r="GV70" s="296"/>
      <c r="GW70" s="296"/>
      <c r="GX70" s="296"/>
      <c r="GY70" s="296"/>
      <c r="GZ70" s="296"/>
      <c r="HA70" s="296"/>
      <c r="HB70" s="296"/>
      <c r="HC70" s="296"/>
      <c r="HD70" s="296"/>
      <c r="HE70" s="296"/>
      <c r="HF70" s="296"/>
      <c r="HG70" s="296"/>
      <c r="HH70" s="296"/>
      <c r="HI70" s="296"/>
    </row>
    <row r="71" spans="1:217" ht="15" customHeight="1">
      <c r="A71" s="150"/>
      <c r="B71" s="150"/>
      <c r="C71" s="387" t="str">
        <f>IF([3]MasterSheet!$A$1=1,[3]MasterSheet!C324,[3]MasterSheet!B324)</f>
        <v>Pozajmice i krediti iz inostranih izvora</v>
      </c>
      <c r="D71" s="360">
        <f>+'[3]Cental Budget_int'!D94</f>
        <v>13153290.85</v>
      </c>
      <c r="E71" s="388">
        <f>+D71/$D$9*100</f>
        <v>0.61209413420819947</v>
      </c>
      <c r="F71" s="360">
        <f>+'[3]Cental Budget_int'!F94</f>
        <v>1996377.48</v>
      </c>
      <c r="G71" s="388">
        <f>+F71/$F$9*100</f>
        <v>7.4477801902630106E-2</v>
      </c>
      <c r="H71" s="360">
        <f>+'[3]Cental Budget_int'!H94</f>
        <v>2981267.98</v>
      </c>
      <c r="I71" s="388">
        <f>+H71/$H$9*100</f>
        <v>9.6618744490536687E-2</v>
      </c>
      <c r="J71" s="360">
        <f>+'[3]Cental Budget_int'!J94</f>
        <v>148637806</v>
      </c>
      <c r="K71" s="388">
        <f>+J71/$J$9*100</f>
        <v>4.9861726266353577</v>
      </c>
      <c r="L71" s="360">
        <f>+'[3]Cental Budget_int'!L94</f>
        <v>205373059</v>
      </c>
      <c r="M71" s="388">
        <f>+L71/$L$9*100</f>
        <v>6.5719378879999999</v>
      </c>
      <c r="N71" s="360">
        <f>+'[3]Cental Budget_int'!N94+'[3]Local Government_int'!N87</f>
        <v>189720116.38</v>
      </c>
      <c r="O71" s="388">
        <f>+N71/$N$9*100</f>
        <v>5.810723319448698</v>
      </c>
      <c r="P71" s="360">
        <f>+'[3]Cental Budget_int'!P94</f>
        <v>258129375.97</v>
      </c>
      <c r="Q71" s="388">
        <f t="shared" si="20"/>
        <v>8.1147241738447029</v>
      </c>
      <c r="R71" s="360">
        <f>+'[3]Cental Budget_int'!R94+'[3]Local Government_int'!R87</f>
        <v>191431078.84999999</v>
      </c>
      <c r="S71" s="388">
        <f t="shared" si="9"/>
        <v>5.6939642727543127</v>
      </c>
      <c r="T71" s="360">
        <f>+'[3]Cental Budget_int'!T94+'[3]Local Government_int'!T87</f>
        <v>295393317.5</v>
      </c>
      <c r="U71" s="388">
        <f t="shared" si="10"/>
        <v>8.5425639116226613</v>
      </c>
      <c r="V71" s="360">
        <f>+'[3]Cental Budget_int'!V94+'[3]Local Government_int'!V87</f>
        <v>660712170.42999995</v>
      </c>
      <c r="W71" s="389">
        <f t="shared" si="11"/>
        <v>18.076940367441861</v>
      </c>
      <c r="X71" s="360">
        <f>'Cental Budget'!X94+'Local Government_int'!X87</f>
        <v>331976376.06</v>
      </c>
      <c r="Y71" s="388">
        <f t="shared" si="23"/>
        <v>8.3955383152091443</v>
      </c>
      <c r="Z71" s="360">
        <f>'Cental Budget'!Z94+'Local Government_int'!Z87</f>
        <v>353339674.82999998</v>
      </c>
      <c r="AA71" s="388">
        <f t="shared" si="22"/>
        <v>8.3403676343679916</v>
      </c>
      <c r="AB71" s="513"/>
      <c r="AC71" s="513"/>
      <c r="AD71" s="511"/>
      <c r="AE71" s="511"/>
      <c r="AF71" s="511"/>
      <c r="AG71" s="511"/>
      <c r="AH71" s="511"/>
      <c r="AI71" s="511"/>
      <c r="AJ71" s="511"/>
      <c r="AK71" s="511"/>
      <c r="AL71" s="511"/>
      <c r="AM71" s="511"/>
      <c r="AN71" s="511"/>
      <c r="AO71" s="511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6"/>
      <c r="BO71" s="296"/>
      <c r="BP71" s="296"/>
      <c r="BQ71" s="296"/>
      <c r="BR71" s="296"/>
      <c r="BS71" s="296"/>
      <c r="BT71" s="296"/>
      <c r="BU71" s="296"/>
      <c r="BV71" s="296"/>
      <c r="BW71" s="296"/>
      <c r="BX71" s="296"/>
      <c r="BY71" s="296"/>
      <c r="BZ71" s="296"/>
      <c r="CA71" s="296"/>
      <c r="CB71" s="296"/>
      <c r="CC71" s="296"/>
      <c r="CD71" s="296"/>
      <c r="CE71" s="296"/>
      <c r="CF71" s="296"/>
      <c r="CG71" s="296"/>
      <c r="CH71" s="296"/>
      <c r="CI71" s="296"/>
      <c r="CJ71" s="296"/>
      <c r="CK71" s="296"/>
      <c r="CL71" s="296"/>
      <c r="CM71" s="296"/>
      <c r="CN71" s="296"/>
      <c r="CO71" s="296"/>
      <c r="CP71" s="296"/>
      <c r="CQ71" s="296"/>
      <c r="CR71" s="296"/>
      <c r="CS71" s="296"/>
      <c r="CT71" s="296"/>
      <c r="CU71" s="296"/>
      <c r="CV71" s="296"/>
      <c r="CW71" s="296"/>
      <c r="CX71" s="296"/>
      <c r="CY71" s="296"/>
      <c r="CZ71" s="296"/>
      <c r="DA71" s="296"/>
      <c r="DB71" s="296"/>
      <c r="DC71" s="296"/>
      <c r="DD71" s="296"/>
      <c r="DE71" s="296"/>
      <c r="DF71" s="296"/>
      <c r="DG71" s="296"/>
      <c r="DH71" s="296"/>
      <c r="DI71" s="296"/>
      <c r="DJ71" s="296"/>
      <c r="DK71" s="296"/>
      <c r="DL71" s="296"/>
      <c r="DM71" s="296"/>
      <c r="DN71" s="296"/>
      <c r="DO71" s="296"/>
      <c r="DP71" s="296"/>
      <c r="DQ71" s="296"/>
      <c r="DR71" s="296"/>
      <c r="DS71" s="296"/>
      <c r="DT71" s="296"/>
      <c r="DU71" s="296"/>
      <c r="DV71" s="296"/>
      <c r="DW71" s="296"/>
      <c r="DX71" s="296"/>
      <c r="DY71" s="296"/>
      <c r="DZ71" s="296"/>
      <c r="EA71" s="296"/>
      <c r="EB71" s="296"/>
      <c r="EC71" s="296"/>
      <c r="ED71" s="296"/>
      <c r="EE71" s="296"/>
      <c r="EF71" s="296"/>
      <c r="EG71" s="296"/>
      <c r="EH71" s="296"/>
      <c r="EI71" s="296"/>
      <c r="EJ71" s="296"/>
      <c r="EK71" s="296"/>
      <c r="EL71" s="296"/>
      <c r="EM71" s="296"/>
      <c r="EN71" s="296"/>
      <c r="EO71" s="296"/>
      <c r="EP71" s="296"/>
      <c r="EQ71" s="296"/>
      <c r="ER71" s="296"/>
      <c r="ES71" s="296"/>
      <c r="ET71" s="296"/>
      <c r="EU71" s="296"/>
      <c r="EV71" s="296"/>
      <c r="EW71" s="296"/>
      <c r="EX71" s="296"/>
      <c r="EY71" s="296"/>
      <c r="EZ71" s="296"/>
      <c r="FA71" s="296"/>
      <c r="FB71" s="296"/>
      <c r="FC71" s="296"/>
      <c r="FD71" s="296"/>
      <c r="FE71" s="297"/>
      <c r="FF71" s="296"/>
      <c r="FG71" s="296"/>
      <c r="FH71" s="296"/>
      <c r="FI71" s="296"/>
      <c r="FJ71" s="296"/>
      <c r="FK71" s="296"/>
      <c r="FL71" s="296"/>
      <c r="FM71" s="296"/>
      <c r="FN71" s="296"/>
      <c r="FO71" s="296"/>
      <c r="FP71" s="296"/>
      <c r="FQ71" s="296"/>
      <c r="FR71" s="296"/>
      <c r="FS71" s="296"/>
      <c r="FT71" s="296"/>
      <c r="FU71" s="296"/>
      <c r="FV71" s="296"/>
      <c r="FW71" s="296"/>
      <c r="FX71" s="296"/>
      <c r="FY71" s="296"/>
      <c r="FZ71" s="296"/>
      <c r="GA71" s="296"/>
      <c r="GB71" s="296"/>
      <c r="GC71" s="296"/>
      <c r="GD71" s="296"/>
      <c r="GE71" s="296"/>
      <c r="GF71" s="296"/>
      <c r="GG71" s="296"/>
      <c r="GH71" s="296"/>
      <c r="GI71" s="296"/>
      <c r="GJ71" s="296"/>
      <c r="GK71" s="296"/>
      <c r="GL71" s="296"/>
      <c r="GM71" s="296"/>
      <c r="GN71" s="296"/>
      <c r="GO71" s="296"/>
      <c r="GP71" s="296"/>
      <c r="GQ71" s="296"/>
      <c r="GR71" s="296"/>
      <c r="GS71" s="296"/>
      <c r="GT71" s="296"/>
      <c r="GU71" s="296"/>
      <c r="GV71" s="296"/>
      <c r="GW71" s="296"/>
      <c r="GX71" s="296"/>
      <c r="GY71" s="296"/>
      <c r="GZ71" s="296"/>
      <c r="HA71" s="296"/>
      <c r="HB71" s="296"/>
      <c r="HC71" s="296"/>
      <c r="HD71" s="296"/>
      <c r="HE71" s="296"/>
      <c r="HF71" s="296"/>
      <c r="HG71" s="296"/>
      <c r="HH71" s="296"/>
      <c r="HI71" s="296"/>
    </row>
    <row r="72" spans="1:217" s="346" customFormat="1" ht="15" customHeight="1">
      <c r="B72" s="150"/>
      <c r="C72" s="392" t="str">
        <f>IF([3]MasterSheet!$A$1=1,[3]MasterSheet!C326,[3]MasterSheet!B326)</f>
        <v>Prihodi od privatizacije i prodaje imovine</v>
      </c>
      <c r="D72" s="393">
        <f>'[3]Cental Budget_int'!D96+'[3]Local Government_int'!D88</f>
        <v>20434516.260000002</v>
      </c>
      <c r="E72" s="394">
        <f>+D72/$D$9*100</f>
        <v>0.95092913862906603</v>
      </c>
      <c r="F72" s="393">
        <f>'[3]Cental Budget_int'!F96+'[3]Local Government_int'!F88</f>
        <v>106119977.52000001</v>
      </c>
      <c r="G72" s="394">
        <f>+F72/$F$9*100</f>
        <v>3.9589620414101847</v>
      </c>
      <c r="H72" s="393">
        <f>'[3]Cental Budget_int'!H96+'[3]Local Government_int'!H88</f>
        <v>38556116.769999996</v>
      </c>
      <c r="I72" s="394">
        <f>+H72/$H$9*100</f>
        <v>1.249550063844957</v>
      </c>
      <c r="J72" s="393">
        <f>'[3]Cental Budget_int'!J96+'[3]Local Government_int'!J88</f>
        <v>129752212.15000001</v>
      </c>
      <c r="K72" s="394">
        <f>+J72/$J$9*100</f>
        <v>4.3526404612546132</v>
      </c>
      <c r="L72" s="393">
        <f>'[3]Cental Budget_int'!L96+'[3]Local Government_int'!L88</f>
        <v>27418634</v>
      </c>
      <c r="M72" s="394">
        <f>+L72/$L$9*100</f>
        <v>0.87739628799999991</v>
      </c>
      <c r="N72" s="393">
        <f>'[3]Cental Budget_int'!N96+'[3]Local Government_int'!N88</f>
        <v>14984968.16</v>
      </c>
      <c r="O72" s="394">
        <f>+N72/$N$9*100</f>
        <v>0.45895767718223585</v>
      </c>
      <c r="P72" s="393">
        <f>'[3]Cental Budget_int'!P96+'[3]Local Government_int'!P88+7409.46</f>
        <v>14022763.880000003</v>
      </c>
      <c r="Q72" s="395">
        <f>+P72/P$9*100</f>
        <v>0.44082879220370963</v>
      </c>
      <c r="R72" s="393">
        <f>'[3]Cental Budget_int'!R96+'[3]Local Government_int'!R88</f>
        <v>26782889.810000002</v>
      </c>
      <c r="S72" s="395">
        <f>+R72/R$9*100</f>
        <v>0.7966356279000596</v>
      </c>
      <c r="T72" s="393">
        <f>'[3]Cental Budget_int'!T96+'[3]Local Government_int'!T88</f>
        <v>14545325.050000001</v>
      </c>
      <c r="U72" s="394">
        <f>+T72/T$9*100</f>
        <v>0.42064041904045812</v>
      </c>
      <c r="V72" s="393">
        <f>'[3]Cental Budget_int'!V96+'[3]Local Government_int'!V88</f>
        <v>9675228.1400000006</v>
      </c>
      <c r="W72" s="396">
        <f>+V72/V$9*100</f>
        <v>0.26471212421340629</v>
      </c>
      <c r="X72" s="360">
        <f>'Cental Budget'!X95+'Local Government_int'!X88</f>
        <v>11131842.209999999</v>
      </c>
      <c r="Y72" s="395">
        <f>+X72/X$9*100</f>
        <v>0.28151945298669767</v>
      </c>
      <c r="Z72" s="360">
        <f>'Cental Budget'!Z95+'Local Government_int'!Z88</f>
        <v>9272797.5899999999</v>
      </c>
      <c r="AA72" s="395">
        <f>+Z72/Z$9*100</f>
        <v>0.21887873456862975</v>
      </c>
      <c r="AB72" s="513"/>
      <c r="AC72" s="513"/>
      <c r="AD72" s="511"/>
      <c r="AE72" s="511"/>
      <c r="AF72" s="511"/>
      <c r="AG72" s="511"/>
      <c r="AH72" s="511"/>
      <c r="AI72" s="511"/>
      <c r="AJ72" s="511"/>
      <c r="AK72" s="511"/>
      <c r="AL72" s="511"/>
      <c r="AM72" s="511"/>
      <c r="AN72" s="511"/>
      <c r="AO72" s="511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6"/>
      <c r="BO72" s="296"/>
      <c r="BP72" s="296"/>
      <c r="BQ72" s="296"/>
      <c r="BR72" s="296"/>
      <c r="BS72" s="296"/>
      <c r="BT72" s="296"/>
      <c r="BU72" s="296"/>
      <c r="BV72" s="296"/>
      <c r="BW72" s="296"/>
      <c r="BX72" s="296"/>
      <c r="BY72" s="296"/>
      <c r="BZ72" s="296"/>
      <c r="CA72" s="296"/>
      <c r="CB72" s="296"/>
      <c r="CC72" s="296"/>
      <c r="CD72" s="296"/>
      <c r="CE72" s="296"/>
      <c r="CF72" s="296"/>
      <c r="CG72" s="296"/>
      <c r="CH72" s="296"/>
      <c r="CI72" s="296"/>
      <c r="CJ72" s="296"/>
      <c r="CK72" s="296"/>
      <c r="CL72" s="296"/>
      <c r="CM72" s="296"/>
      <c r="CN72" s="296"/>
      <c r="CO72" s="296"/>
      <c r="CP72" s="296"/>
      <c r="CQ72" s="296"/>
      <c r="CR72" s="296"/>
      <c r="CS72" s="296"/>
      <c r="CT72" s="296"/>
      <c r="CU72" s="296"/>
      <c r="CV72" s="296"/>
      <c r="CW72" s="296"/>
      <c r="CX72" s="296"/>
      <c r="CY72" s="296"/>
      <c r="CZ72" s="296"/>
      <c r="DA72" s="296"/>
      <c r="DB72" s="296"/>
      <c r="DC72" s="296"/>
      <c r="DD72" s="296"/>
      <c r="DE72" s="296"/>
      <c r="DF72" s="296"/>
      <c r="DG72" s="296"/>
      <c r="DH72" s="296"/>
      <c r="DI72" s="296"/>
      <c r="DJ72" s="296"/>
      <c r="DK72" s="296"/>
      <c r="DL72" s="296"/>
      <c r="DM72" s="296"/>
      <c r="DN72" s="296"/>
      <c r="DO72" s="296"/>
      <c r="DP72" s="296"/>
      <c r="DQ72" s="296"/>
      <c r="DR72" s="296"/>
      <c r="DS72" s="296"/>
      <c r="DT72" s="296"/>
      <c r="DU72" s="296"/>
      <c r="DV72" s="296"/>
      <c r="DW72" s="296"/>
      <c r="DX72" s="296"/>
      <c r="DY72" s="296"/>
      <c r="DZ72" s="296"/>
      <c r="EA72" s="296"/>
      <c r="EB72" s="296"/>
      <c r="EC72" s="296"/>
      <c r="ED72" s="296"/>
      <c r="EE72" s="296"/>
      <c r="EF72" s="296"/>
      <c r="EG72" s="296"/>
      <c r="EH72" s="296"/>
      <c r="EI72" s="296"/>
      <c r="EJ72" s="296"/>
      <c r="EK72" s="296"/>
      <c r="EL72" s="296"/>
      <c r="EM72" s="296"/>
      <c r="EN72" s="296"/>
      <c r="EO72" s="296"/>
      <c r="EP72" s="296"/>
      <c r="EQ72" s="296"/>
      <c r="ER72" s="296"/>
      <c r="ES72" s="296"/>
      <c r="ET72" s="296"/>
      <c r="EU72" s="296"/>
      <c r="EV72" s="296"/>
      <c r="EW72" s="296"/>
      <c r="EX72" s="296"/>
      <c r="EY72" s="296"/>
      <c r="EZ72" s="296"/>
      <c r="FA72" s="296"/>
      <c r="FB72" s="296"/>
      <c r="FC72" s="296"/>
      <c r="FD72" s="296"/>
      <c r="FE72" s="297"/>
      <c r="FF72" s="296"/>
      <c r="FG72" s="296"/>
      <c r="FH72" s="296"/>
      <c r="FI72" s="296"/>
      <c r="FJ72" s="296"/>
      <c r="FK72" s="296"/>
      <c r="FL72" s="296"/>
      <c r="FM72" s="296"/>
      <c r="FN72" s="296"/>
      <c r="FO72" s="296"/>
      <c r="FP72" s="296"/>
      <c r="FQ72" s="296"/>
      <c r="FR72" s="296"/>
      <c r="FS72" s="296"/>
      <c r="FT72" s="296"/>
      <c r="FU72" s="296"/>
      <c r="FV72" s="296"/>
      <c r="FW72" s="296"/>
      <c r="FX72" s="296"/>
      <c r="FY72" s="296"/>
      <c r="FZ72" s="296"/>
      <c r="GA72" s="296"/>
      <c r="GB72" s="296"/>
      <c r="GC72" s="296"/>
      <c r="GD72" s="296"/>
      <c r="GE72" s="296"/>
      <c r="GF72" s="296"/>
      <c r="GG72" s="296"/>
      <c r="GH72" s="296"/>
      <c r="GI72" s="296"/>
      <c r="GJ72" s="296"/>
      <c r="GK72" s="296"/>
      <c r="GL72" s="296"/>
      <c r="GM72" s="296"/>
      <c r="GN72" s="296"/>
      <c r="GO72" s="296"/>
      <c r="GP72" s="296"/>
      <c r="GQ72" s="296"/>
      <c r="GR72" s="296"/>
      <c r="GS72" s="296"/>
      <c r="GT72" s="296"/>
      <c r="GU72" s="296"/>
      <c r="GV72" s="296"/>
      <c r="GW72" s="296"/>
      <c r="GX72" s="296"/>
      <c r="GY72" s="296"/>
      <c r="GZ72" s="296"/>
      <c r="HA72" s="296"/>
      <c r="HB72" s="296"/>
      <c r="HC72" s="296"/>
      <c r="HD72" s="296"/>
      <c r="HE72" s="296"/>
      <c r="HF72" s="296"/>
      <c r="HG72" s="296"/>
      <c r="HH72" s="296"/>
      <c r="HI72" s="296"/>
    </row>
    <row r="73" spans="1:217" s="346" customFormat="1" ht="15" customHeight="1">
      <c r="B73" s="150"/>
      <c r="C73" s="392" t="s">
        <v>162</v>
      </c>
      <c r="D73" s="393">
        <f>'[3]Local Government_int'!D90</f>
        <v>0</v>
      </c>
      <c r="E73" s="394">
        <f>+D73/$D$9*100</f>
        <v>0</v>
      </c>
      <c r="F73" s="393">
        <f>'[3]Local Government_int'!F90</f>
        <v>4522417</v>
      </c>
      <c r="G73" s="394">
        <f>+F73/$F$9*100</f>
        <v>0.16871542622645028</v>
      </c>
      <c r="H73" s="393">
        <f>'[3]Local Government_int'!H90</f>
        <v>4417379</v>
      </c>
      <c r="I73" s="394">
        <f>+H73/$H$9*100</f>
        <v>0.14316110318900699</v>
      </c>
      <c r="J73" s="393">
        <f>'[3]Local Government_int'!J90</f>
        <v>2574042.41</v>
      </c>
      <c r="K73" s="394">
        <f>+J73/$J$9*100</f>
        <v>8.6348286145588732E-2</v>
      </c>
      <c r="L73" s="393">
        <f>'[3]Local Government_int'!L90</f>
        <v>1892155.33</v>
      </c>
      <c r="M73" s="394">
        <f>+L73/$L$9*100</f>
        <v>6.0548970560000005E-2</v>
      </c>
      <c r="N73" s="393">
        <f>'[3]Local Government_int'!N90</f>
        <v>1067088.02</v>
      </c>
      <c r="O73" s="394">
        <f>+N73/$N$9*100</f>
        <v>3.2682634609494637E-2</v>
      </c>
      <c r="P73" s="393">
        <f>'[3]Local Government_int'!P90</f>
        <v>847020.99</v>
      </c>
      <c r="Q73" s="395">
        <f>+P73/P$9*100</f>
        <v>2.6627506758880853E-2</v>
      </c>
      <c r="R73" s="393">
        <f>'[3]Local Government_int'!R90</f>
        <v>4705739.93</v>
      </c>
      <c r="S73" s="395">
        <f>+R73/R$9*100</f>
        <v>0.13996846906603214</v>
      </c>
      <c r="T73" s="393">
        <f>'[3]Local Government_int'!T90</f>
        <v>2801985.19</v>
      </c>
      <c r="U73" s="394">
        <f>+T73/T$9*100</f>
        <v>8.1031411839555798E-2</v>
      </c>
      <c r="V73" s="393">
        <f>'[3]Local Government_int'!V90</f>
        <v>1390107.69</v>
      </c>
      <c r="W73" s="396">
        <f>+V73/V$9*100</f>
        <v>3.803304213406293E-2</v>
      </c>
      <c r="X73" s="393">
        <f>'Local Government_int'!X90</f>
        <v>1747766.81</v>
      </c>
      <c r="Y73" s="395">
        <f>+X73/X$9*100</f>
        <v>4.4200263264377121E-2</v>
      </c>
      <c r="Z73" s="393">
        <f>'Local Government_int'!Z90</f>
        <v>3634108.3600000003</v>
      </c>
      <c r="AA73" s="395">
        <f>+Z73/Z$9*100</f>
        <v>8.5780912545733515E-2</v>
      </c>
      <c r="AB73" s="513"/>
      <c r="AC73" s="513"/>
      <c r="AD73" s="511"/>
      <c r="AE73" s="511"/>
      <c r="AF73" s="511"/>
      <c r="AG73" s="511"/>
      <c r="AH73" s="511"/>
      <c r="AI73" s="511"/>
      <c r="AJ73" s="511"/>
      <c r="AK73" s="511"/>
      <c r="AL73" s="511"/>
      <c r="AM73" s="511"/>
      <c r="AN73" s="511"/>
      <c r="AO73" s="511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6"/>
      <c r="BO73" s="296"/>
      <c r="BP73" s="296"/>
      <c r="BQ73" s="296"/>
      <c r="BR73" s="296"/>
      <c r="BS73" s="296"/>
      <c r="BT73" s="296"/>
      <c r="BU73" s="296"/>
      <c r="BV73" s="296"/>
      <c r="BW73" s="296"/>
      <c r="BX73" s="296"/>
      <c r="BY73" s="296"/>
      <c r="BZ73" s="296"/>
      <c r="CA73" s="296"/>
      <c r="CB73" s="296"/>
      <c r="CC73" s="296"/>
      <c r="CD73" s="296"/>
      <c r="CE73" s="296"/>
      <c r="CF73" s="296"/>
      <c r="CG73" s="296"/>
      <c r="CH73" s="296"/>
      <c r="CI73" s="296"/>
      <c r="CJ73" s="296"/>
      <c r="CK73" s="296"/>
      <c r="CL73" s="296"/>
      <c r="CM73" s="296"/>
      <c r="CN73" s="296"/>
      <c r="CO73" s="296"/>
      <c r="CP73" s="296"/>
      <c r="CQ73" s="296"/>
      <c r="CR73" s="296"/>
      <c r="CS73" s="296"/>
      <c r="CT73" s="296"/>
      <c r="CU73" s="296"/>
      <c r="CV73" s="296"/>
      <c r="CW73" s="296"/>
      <c r="CX73" s="296"/>
      <c r="CY73" s="296"/>
      <c r="CZ73" s="296"/>
      <c r="DA73" s="296"/>
      <c r="DB73" s="296"/>
      <c r="DC73" s="296"/>
      <c r="DD73" s="296"/>
      <c r="DE73" s="296"/>
      <c r="DF73" s="296"/>
      <c r="DG73" s="296"/>
      <c r="DH73" s="296"/>
      <c r="DI73" s="296"/>
      <c r="DJ73" s="296"/>
      <c r="DK73" s="296"/>
      <c r="DL73" s="296"/>
      <c r="DM73" s="296"/>
      <c r="DN73" s="296"/>
      <c r="DO73" s="296"/>
      <c r="DP73" s="296"/>
      <c r="DQ73" s="296"/>
      <c r="DR73" s="296"/>
      <c r="DS73" s="296"/>
      <c r="DT73" s="296"/>
      <c r="DU73" s="296"/>
      <c r="DV73" s="296"/>
      <c r="DW73" s="296"/>
      <c r="DX73" s="296"/>
      <c r="DY73" s="296"/>
      <c r="DZ73" s="296"/>
      <c r="EA73" s="296"/>
      <c r="EB73" s="296"/>
      <c r="EC73" s="296"/>
      <c r="ED73" s="296"/>
      <c r="EE73" s="296"/>
      <c r="EF73" s="296"/>
      <c r="EG73" s="296"/>
      <c r="EH73" s="296"/>
      <c r="EI73" s="296"/>
      <c r="EJ73" s="296"/>
      <c r="EK73" s="296"/>
      <c r="EL73" s="296"/>
      <c r="EM73" s="296"/>
      <c r="EN73" s="296"/>
      <c r="EO73" s="296"/>
      <c r="EP73" s="296"/>
      <c r="EQ73" s="296"/>
      <c r="ER73" s="296"/>
      <c r="ES73" s="296"/>
      <c r="ET73" s="296"/>
      <c r="EU73" s="296"/>
      <c r="EV73" s="296"/>
      <c r="EW73" s="296"/>
      <c r="EX73" s="296"/>
      <c r="EY73" s="296"/>
      <c r="EZ73" s="296"/>
      <c r="FA73" s="296"/>
      <c r="FB73" s="296"/>
      <c r="FC73" s="296"/>
      <c r="FD73" s="296"/>
      <c r="FE73" s="297"/>
      <c r="FF73" s="296"/>
      <c r="FG73" s="296"/>
      <c r="FH73" s="296"/>
      <c r="FI73" s="296"/>
      <c r="FJ73" s="296"/>
      <c r="FK73" s="296"/>
      <c r="FL73" s="296"/>
      <c r="FM73" s="296"/>
      <c r="FN73" s="296"/>
      <c r="FO73" s="296"/>
      <c r="FP73" s="296"/>
      <c r="FQ73" s="296"/>
      <c r="FR73" s="296"/>
      <c r="FS73" s="296"/>
      <c r="FT73" s="296"/>
      <c r="FU73" s="296"/>
      <c r="FV73" s="296"/>
      <c r="FW73" s="296"/>
      <c r="FX73" s="296"/>
      <c r="FY73" s="296"/>
      <c r="FZ73" s="296"/>
      <c r="GA73" s="296"/>
      <c r="GB73" s="296"/>
      <c r="GC73" s="296"/>
      <c r="GD73" s="296"/>
      <c r="GE73" s="296"/>
      <c r="GF73" s="296"/>
      <c r="GG73" s="296"/>
      <c r="GH73" s="296"/>
      <c r="GI73" s="296"/>
      <c r="GJ73" s="296"/>
      <c r="GK73" s="296"/>
      <c r="GL73" s="296"/>
      <c r="GM73" s="296"/>
      <c r="GN73" s="296"/>
      <c r="GO73" s="296"/>
      <c r="GP73" s="296"/>
      <c r="GQ73" s="296"/>
      <c r="GR73" s="296"/>
      <c r="GS73" s="296"/>
      <c r="GT73" s="296"/>
      <c r="GU73" s="296"/>
      <c r="GV73" s="296"/>
      <c r="GW73" s="296"/>
      <c r="GX73" s="296"/>
      <c r="GY73" s="296"/>
      <c r="GZ73" s="296"/>
      <c r="HA73" s="296"/>
      <c r="HB73" s="296"/>
      <c r="HC73" s="296"/>
      <c r="HD73" s="296"/>
      <c r="HE73" s="296"/>
      <c r="HF73" s="296"/>
      <c r="HG73" s="296"/>
      <c r="HH73" s="296"/>
      <c r="HI73" s="296"/>
    </row>
    <row r="74" spans="1:217" ht="15" customHeight="1" thickBot="1">
      <c r="A74" s="150"/>
      <c r="B74" s="150"/>
      <c r="C74" s="397" t="str">
        <f>IF([3]MasterSheet!$A$1=1,[3]MasterSheet!C327,[3]MasterSheet!B327)</f>
        <v>Korišćenje depozita države</v>
      </c>
      <c r="D74" s="398">
        <f>'[3]Cental Budget_int'!D97+'[3]Local Government_int'!D89</f>
        <v>-187165.42019964755</v>
      </c>
      <c r="E74" s="399">
        <f>+D74/$D$9*100</f>
        <v>-8.7098245706941947E-3</v>
      </c>
      <c r="F74" s="398">
        <v>-110924068.35699999</v>
      </c>
      <c r="G74" s="399">
        <f>+F74/$F$9*100</f>
        <v>-4.138185724939377</v>
      </c>
      <c r="H74" s="398">
        <f>'[3]Cental Budget_int'!H97+'[3]Local Government_int'!H89</f>
        <v>89143961.049999997</v>
      </c>
      <c r="I74" s="399">
        <f>+H74/$H$9*100</f>
        <v>2.8890316648301786</v>
      </c>
      <c r="J74" s="398">
        <f>'[3]Cental Budget_int'!J97+'[3]Local Government_int'!J89</f>
        <v>-59330813.909999996</v>
      </c>
      <c r="K74" s="399">
        <f>+J74/$J$9*100</f>
        <v>-1.9902990241529688</v>
      </c>
      <c r="L74" s="398">
        <f>'[3]Cental Budget_int'!L97+'[3]Local Government_int'!L89</f>
        <v>66363976.785999954</v>
      </c>
      <c r="M74" s="399">
        <f>+L74/$L$9*100</f>
        <v>2.1236472571519989</v>
      </c>
      <c r="N74" s="398">
        <f>'[3]Cental Budget_int'!N97+'[3]Local Government_int'!N89</f>
        <v>79337037.950000003</v>
      </c>
      <c r="O74" s="399">
        <f>+N74/$N$9*100</f>
        <v>2.4299245926493107</v>
      </c>
      <c r="P74" s="398">
        <f>'[3]Cental Budget_int'!P97+'[3]Local Government_int'!P89</f>
        <v>15181026</v>
      </c>
      <c r="Q74" s="399">
        <f>+P74/P$9*100</f>
        <v>0.47724067903175099</v>
      </c>
      <c r="R74" s="398">
        <f>'[3]Cental Budget_int'!R97+'[3]Local Government_int'!R89</f>
        <v>10631917.779999997</v>
      </c>
      <c r="S74" s="399">
        <f>+R74/R$9*100</f>
        <v>0.31623788756692439</v>
      </c>
      <c r="T74" s="398">
        <f>'[3]Cental Budget_int'!T97+'[3]Local Government_int'!T89</f>
        <v>-9729358.1375000142</v>
      </c>
      <c r="U74" s="399">
        <f>+T74/T$9*100</f>
        <v>-0.28136609322131972</v>
      </c>
      <c r="V74" s="398">
        <f>'[3]Cental Budget_int'!V97+'[3]Local Government_int'!V89</f>
        <v>-19424203.864999957</v>
      </c>
      <c r="W74" s="400">
        <f>+V74/V$9*100</f>
        <v>-0.53144196621066919</v>
      </c>
      <c r="X74" s="398">
        <f>-X68-SUM(X70:X73)-X59</f>
        <v>18552219.519999798</v>
      </c>
      <c r="Y74" s="399">
        <f>+X74/X$9*100</f>
        <v>0.46917757119012182</v>
      </c>
      <c r="Z74" s="398">
        <f>-Z68-SUM(Z70:Z73)-_ftn2</f>
        <v>-31771997.120000117</v>
      </c>
      <c r="AA74" s="399">
        <f>+Z74/Z$9*100</f>
        <v>-0.74995862433612925</v>
      </c>
      <c r="AB74" s="513"/>
      <c r="AC74" s="513"/>
      <c r="AD74" s="511"/>
      <c r="AE74" s="511"/>
      <c r="AF74" s="511"/>
      <c r="AG74" s="511"/>
      <c r="AH74" s="511"/>
      <c r="AI74" s="511"/>
      <c r="AJ74" s="511"/>
      <c r="AK74" s="511"/>
      <c r="AL74" s="511"/>
      <c r="AM74" s="511"/>
      <c r="AN74" s="511"/>
      <c r="AO74" s="511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6"/>
      <c r="BO74" s="296"/>
      <c r="BP74" s="296"/>
      <c r="BQ74" s="296"/>
      <c r="BR74" s="296"/>
      <c r="BS74" s="296"/>
      <c r="BT74" s="296"/>
      <c r="BU74" s="296"/>
      <c r="BV74" s="296"/>
      <c r="BW74" s="296"/>
      <c r="BX74" s="296"/>
      <c r="BY74" s="296"/>
      <c r="BZ74" s="296"/>
      <c r="CA74" s="296"/>
      <c r="CB74" s="296"/>
      <c r="CC74" s="296"/>
      <c r="CD74" s="296"/>
      <c r="CE74" s="296"/>
      <c r="CF74" s="296"/>
      <c r="CG74" s="296"/>
      <c r="CH74" s="296"/>
      <c r="CI74" s="296"/>
      <c r="CJ74" s="296"/>
      <c r="CK74" s="296"/>
      <c r="CL74" s="296"/>
      <c r="CM74" s="296"/>
      <c r="CN74" s="296"/>
      <c r="CO74" s="296"/>
      <c r="CP74" s="296"/>
      <c r="CQ74" s="296"/>
      <c r="CR74" s="296"/>
      <c r="CS74" s="296"/>
      <c r="CT74" s="296"/>
      <c r="CU74" s="296"/>
      <c r="CV74" s="296"/>
      <c r="CW74" s="296"/>
      <c r="CX74" s="296"/>
      <c r="CY74" s="296"/>
      <c r="CZ74" s="296"/>
      <c r="DA74" s="296"/>
      <c r="DB74" s="296"/>
      <c r="DC74" s="296"/>
      <c r="DD74" s="296"/>
      <c r="DE74" s="296"/>
      <c r="DF74" s="296"/>
      <c r="DG74" s="296"/>
      <c r="DH74" s="296"/>
      <c r="DI74" s="296"/>
      <c r="DJ74" s="296"/>
      <c r="DK74" s="296"/>
      <c r="DL74" s="296"/>
      <c r="DM74" s="296"/>
      <c r="DN74" s="296"/>
      <c r="DO74" s="296"/>
      <c r="DP74" s="296"/>
      <c r="DQ74" s="296"/>
      <c r="DR74" s="296"/>
      <c r="DS74" s="296"/>
      <c r="DT74" s="296"/>
      <c r="DU74" s="296"/>
      <c r="DV74" s="296"/>
      <c r="DW74" s="296"/>
      <c r="DX74" s="296"/>
      <c r="DY74" s="296"/>
      <c r="DZ74" s="296"/>
      <c r="EA74" s="296"/>
      <c r="EB74" s="296"/>
      <c r="EC74" s="296"/>
      <c r="ED74" s="296"/>
      <c r="EE74" s="296"/>
      <c r="EF74" s="296"/>
      <c r="EG74" s="296"/>
      <c r="EH74" s="296"/>
      <c r="EI74" s="296"/>
      <c r="EJ74" s="296"/>
      <c r="EK74" s="296"/>
      <c r="EL74" s="296"/>
      <c r="EM74" s="296"/>
      <c r="EN74" s="296"/>
      <c r="EO74" s="296"/>
      <c r="EP74" s="296"/>
      <c r="EQ74" s="296"/>
      <c r="ER74" s="296"/>
      <c r="ES74" s="296"/>
      <c r="ET74" s="296"/>
      <c r="EU74" s="296"/>
      <c r="EV74" s="296"/>
      <c r="EW74" s="296"/>
      <c r="EX74" s="296"/>
      <c r="EY74" s="296"/>
      <c r="EZ74" s="296"/>
      <c r="FA74" s="296"/>
      <c r="FB74" s="296"/>
      <c r="FC74" s="296"/>
      <c r="FD74" s="296"/>
      <c r="FE74" s="297"/>
      <c r="FF74" s="296"/>
      <c r="FG74" s="296"/>
      <c r="FH74" s="296"/>
      <c r="FI74" s="296"/>
      <c r="FJ74" s="296"/>
      <c r="FK74" s="296"/>
      <c r="FL74" s="296"/>
      <c r="FM74" s="296"/>
      <c r="FN74" s="296"/>
      <c r="FO74" s="296"/>
      <c r="FP74" s="296"/>
      <c r="FQ74" s="296"/>
      <c r="FR74" s="296"/>
      <c r="FS74" s="296"/>
      <c r="FT74" s="296"/>
      <c r="FU74" s="296"/>
      <c r="FV74" s="296"/>
      <c r="FW74" s="296"/>
      <c r="FX74" s="296"/>
      <c r="FY74" s="296"/>
      <c r="FZ74" s="296"/>
      <c r="GA74" s="296"/>
      <c r="GB74" s="296"/>
      <c r="GC74" s="296"/>
      <c r="GD74" s="296"/>
      <c r="GE74" s="296"/>
      <c r="GF74" s="296"/>
      <c r="GG74" s="296"/>
      <c r="GH74" s="296"/>
      <c r="GI74" s="296"/>
      <c r="GJ74" s="296"/>
      <c r="GK74" s="296"/>
      <c r="GL74" s="296"/>
      <c r="GM74" s="296"/>
      <c r="GN74" s="296"/>
      <c r="GO74" s="296"/>
      <c r="GP74" s="296"/>
      <c r="GQ74" s="296"/>
      <c r="GR74" s="296"/>
      <c r="GS74" s="296"/>
      <c r="GT74" s="296"/>
      <c r="GU74" s="296"/>
      <c r="GV74" s="296"/>
      <c r="GW74" s="296"/>
      <c r="GX74" s="296"/>
      <c r="GY74" s="296"/>
      <c r="GZ74" s="296"/>
      <c r="HA74" s="296"/>
      <c r="HB74" s="296"/>
      <c r="HC74" s="296"/>
      <c r="HD74" s="296"/>
      <c r="HE74" s="296"/>
      <c r="HF74" s="296"/>
      <c r="HG74" s="296"/>
      <c r="HH74" s="296"/>
      <c r="HI74" s="296"/>
    </row>
    <row r="75" spans="1:217" ht="15" customHeight="1" thickTop="1">
      <c r="A75" s="150"/>
      <c r="B75" s="150"/>
      <c r="C75" s="401" t="str">
        <f>IF([3]MasterSheet!$A$1=1,[3]MasterSheet!C328,[3]MasterSheet!B328)</f>
        <v>Izvor: Ministarstvo finansija Crne Gore</v>
      </c>
      <c r="D75" s="402"/>
      <c r="E75" s="403"/>
      <c r="F75" s="402"/>
      <c r="G75" s="403"/>
      <c r="H75" s="402"/>
      <c r="I75" s="403"/>
      <c r="J75" s="402"/>
      <c r="K75" s="403"/>
      <c r="L75" s="402"/>
      <c r="M75" s="403"/>
      <c r="N75" s="402"/>
      <c r="O75" s="403"/>
      <c r="P75" s="403"/>
      <c r="Q75" s="403"/>
      <c r="R75" s="403"/>
      <c r="S75" s="403"/>
      <c r="T75" s="403"/>
      <c r="U75" s="403"/>
      <c r="V75" s="403"/>
      <c r="W75" s="403"/>
      <c r="X75" s="291"/>
      <c r="Y75" s="291"/>
      <c r="Z75" s="404"/>
      <c r="AA75" s="291"/>
      <c r="AB75" s="511"/>
      <c r="AC75" s="511"/>
      <c r="AD75" s="511"/>
      <c r="AE75" s="511"/>
      <c r="AF75" s="511"/>
      <c r="AG75" s="511"/>
      <c r="AH75" s="511"/>
      <c r="AI75" s="511"/>
      <c r="AJ75" s="511"/>
      <c r="AK75" s="511"/>
      <c r="AL75" s="511"/>
      <c r="AM75" s="511"/>
      <c r="AN75" s="511"/>
      <c r="AO75" s="511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6"/>
      <c r="BO75" s="296"/>
      <c r="BP75" s="296"/>
      <c r="BQ75" s="296"/>
      <c r="BR75" s="296"/>
      <c r="BS75" s="296"/>
      <c r="BT75" s="296"/>
      <c r="BU75" s="296"/>
      <c r="BV75" s="296"/>
      <c r="BW75" s="296"/>
      <c r="BX75" s="296"/>
      <c r="BY75" s="296"/>
      <c r="BZ75" s="296"/>
      <c r="CA75" s="296"/>
      <c r="CB75" s="296"/>
      <c r="CC75" s="296"/>
      <c r="CD75" s="296"/>
      <c r="CE75" s="296"/>
      <c r="CF75" s="296"/>
      <c r="CG75" s="296"/>
      <c r="CH75" s="296"/>
      <c r="CI75" s="296"/>
      <c r="CJ75" s="296"/>
      <c r="CK75" s="296"/>
      <c r="CL75" s="296"/>
      <c r="CM75" s="296"/>
      <c r="CN75" s="296"/>
      <c r="CO75" s="296"/>
      <c r="CP75" s="296"/>
      <c r="CQ75" s="296"/>
      <c r="CR75" s="296"/>
      <c r="CS75" s="296"/>
      <c r="CT75" s="296"/>
      <c r="CU75" s="296"/>
      <c r="CV75" s="296"/>
      <c r="CW75" s="296"/>
      <c r="CX75" s="296"/>
      <c r="CY75" s="296"/>
      <c r="CZ75" s="296"/>
      <c r="DA75" s="296"/>
      <c r="DB75" s="296"/>
      <c r="DC75" s="296"/>
      <c r="DD75" s="296"/>
      <c r="DE75" s="296"/>
      <c r="DF75" s="296"/>
      <c r="DG75" s="296"/>
      <c r="DH75" s="296"/>
      <c r="DI75" s="296"/>
      <c r="DJ75" s="296"/>
      <c r="DK75" s="296"/>
      <c r="DL75" s="296"/>
      <c r="DM75" s="296"/>
      <c r="DN75" s="296"/>
      <c r="DO75" s="296"/>
      <c r="DP75" s="296"/>
      <c r="DQ75" s="296"/>
      <c r="DR75" s="296"/>
      <c r="DS75" s="296"/>
      <c r="DT75" s="296"/>
      <c r="DU75" s="296"/>
      <c r="DV75" s="296"/>
      <c r="DW75" s="296"/>
      <c r="DX75" s="296"/>
      <c r="DY75" s="296"/>
      <c r="DZ75" s="296"/>
      <c r="EA75" s="296"/>
      <c r="EB75" s="296"/>
      <c r="EC75" s="296"/>
      <c r="ED75" s="296"/>
      <c r="EE75" s="296"/>
      <c r="EF75" s="296"/>
      <c r="EG75" s="296"/>
      <c r="EH75" s="296"/>
      <c r="EI75" s="296"/>
      <c r="EJ75" s="296"/>
      <c r="EK75" s="296"/>
      <c r="EL75" s="296"/>
      <c r="EM75" s="296"/>
      <c r="EN75" s="296"/>
      <c r="EO75" s="296"/>
      <c r="EP75" s="296"/>
      <c r="EQ75" s="296"/>
      <c r="ER75" s="296"/>
      <c r="ES75" s="296"/>
      <c r="ET75" s="296"/>
      <c r="EU75" s="296"/>
      <c r="EV75" s="296"/>
      <c r="EW75" s="296"/>
      <c r="EX75" s="296"/>
      <c r="EY75" s="296"/>
      <c r="EZ75" s="296"/>
      <c r="FA75" s="296"/>
      <c r="FB75" s="296"/>
      <c r="FC75" s="296"/>
      <c r="FD75" s="296"/>
      <c r="FE75" s="297"/>
      <c r="FF75" s="296"/>
      <c r="FG75" s="296"/>
      <c r="FH75" s="296"/>
      <c r="FI75" s="296"/>
      <c r="FJ75" s="296"/>
      <c r="FK75" s="296"/>
      <c r="FL75" s="296"/>
      <c r="FM75" s="296"/>
      <c r="FN75" s="296"/>
      <c r="FO75" s="296"/>
      <c r="FP75" s="296"/>
      <c r="FQ75" s="296"/>
      <c r="FR75" s="296"/>
      <c r="FS75" s="296"/>
      <c r="FT75" s="296"/>
      <c r="FU75" s="296"/>
      <c r="FV75" s="296"/>
      <c r="FW75" s="296"/>
      <c r="FX75" s="296"/>
      <c r="FY75" s="296"/>
      <c r="FZ75" s="296"/>
      <c r="GA75" s="296"/>
      <c r="GB75" s="296"/>
      <c r="GC75" s="296"/>
      <c r="GD75" s="296"/>
      <c r="GE75" s="296"/>
      <c r="GF75" s="296"/>
      <c r="GG75" s="296"/>
      <c r="GH75" s="296"/>
      <c r="GI75" s="296"/>
      <c r="GJ75" s="296"/>
      <c r="GK75" s="296"/>
      <c r="GL75" s="296"/>
      <c r="GM75" s="296"/>
      <c r="GN75" s="296"/>
      <c r="GO75" s="296"/>
      <c r="GP75" s="296"/>
      <c r="GQ75" s="296"/>
      <c r="GR75" s="296"/>
      <c r="GS75" s="296"/>
      <c r="GT75" s="296"/>
      <c r="GU75" s="296"/>
      <c r="GV75" s="296"/>
      <c r="GW75" s="296"/>
      <c r="GX75" s="296"/>
      <c r="GY75" s="296"/>
      <c r="GZ75" s="296"/>
      <c r="HA75" s="296"/>
      <c r="HB75" s="296"/>
      <c r="HC75" s="296"/>
      <c r="HD75" s="296"/>
      <c r="HE75" s="296"/>
      <c r="HF75" s="296"/>
      <c r="HG75" s="296"/>
      <c r="HH75" s="296"/>
      <c r="HI75" s="296"/>
    </row>
    <row r="76" spans="1:217" ht="15" hidden="1" customHeight="1">
      <c r="A76" s="150"/>
      <c r="B76" s="150"/>
      <c r="C76" s="405"/>
      <c r="E76" s="291"/>
      <c r="F76" s="150"/>
      <c r="G76" s="291"/>
      <c r="H76" s="150"/>
      <c r="I76" s="291"/>
      <c r="J76" s="150"/>
      <c r="K76" s="291"/>
      <c r="L76" s="150"/>
      <c r="M76" s="291"/>
      <c r="N76" s="406"/>
      <c r="O76" s="406"/>
      <c r="P76" s="291"/>
      <c r="Q76" s="291"/>
      <c r="R76" s="407"/>
      <c r="S76" s="291"/>
      <c r="T76" s="291"/>
      <c r="U76" s="291"/>
      <c r="V76" s="291"/>
      <c r="W76" s="291"/>
      <c r="X76" s="291"/>
      <c r="Y76" s="291"/>
      <c r="Z76" s="291"/>
      <c r="AA76" s="291"/>
      <c r="AB76" s="511"/>
      <c r="AC76" s="511"/>
      <c r="AD76" s="511"/>
      <c r="AE76" s="511"/>
      <c r="AF76" s="511"/>
      <c r="AG76" s="511"/>
      <c r="AH76" s="511"/>
      <c r="AI76" s="511"/>
      <c r="AJ76" s="511"/>
      <c r="AK76" s="511"/>
      <c r="AL76" s="511"/>
      <c r="AM76" s="511"/>
      <c r="AN76" s="511"/>
      <c r="AO76" s="511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6"/>
      <c r="BN76" s="296"/>
      <c r="BO76" s="296"/>
      <c r="BP76" s="296"/>
      <c r="BQ76" s="296"/>
      <c r="BR76" s="296"/>
      <c r="BS76" s="296"/>
      <c r="BT76" s="296"/>
      <c r="BU76" s="296"/>
      <c r="BV76" s="296"/>
      <c r="BW76" s="296"/>
      <c r="BX76" s="296"/>
      <c r="BY76" s="296"/>
      <c r="BZ76" s="296"/>
      <c r="CA76" s="296"/>
      <c r="CB76" s="296"/>
      <c r="CC76" s="296"/>
      <c r="CD76" s="296"/>
      <c r="CE76" s="296"/>
      <c r="CF76" s="296"/>
      <c r="CG76" s="296"/>
      <c r="CH76" s="296"/>
      <c r="CI76" s="296"/>
      <c r="CJ76" s="296"/>
      <c r="CK76" s="296"/>
      <c r="CL76" s="296"/>
      <c r="CM76" s="296"/>
      <c r="CN76" s="296"/>
      <c r="CO76" s="296"/>
      <c r="CP76" s="296"/>
      <c r="CQ76" s="296"/>
      <c r="CR76" s="296"/>
      <c r="CS76" s="296"/>
      <c r="CT76" s="296"/>
      <c r="CU76" s="296"/>
      <c r="CV76" s="296"/>
      <c r="CW76" s="296"/>
      <c r="CX76" s="296"/>
      <c r="CY76" s="296"/>
      <c r="CZ76" s="296"/>
      <c r="DA76" s="296"/>
      <c r="DB76" s="296"/>
      <c r="DC76" s="296"/>
      <c r="DD76" s="296"/>
      <c r="DE76" s="296"/>
      <c r="DF76" s="296"/>
      <c r="DG76" s="296"/>
      <c r="DH76" s="296"/>
      <c r="DI76" s="296"/>
      <c r="DJ76" s="296"/>
      <c r="DK76" s="296"/>
      <c r="DL76" s="296"/>
      <c r="DM76" s="296"/>
      <c r="DN76" s="296"/>
      <c r="DO76" s="296"/>
      <c r="DP76" s="296"/>
      <c r="DQ76" s="296"/>
      <c r="DR76" s="296"/>
      <c r="DS76" s="296"/>
      <c r="DT76" s="296"/>
      <c r="DU76" s="296"/>
      <c r="DV76" s="296"/>
      <c r="DW76" s="296"/>
      <c r="DX76" s="296"/>
      <c r="DY76" s="296"/>
      <c r="DZ76" s="296"/>
      <c r="EA76" s="296"/>
      <c r="EB76" s="296"/>
      <c r="EC76" s="296"/>
      <c r="ED76" s="296"/>
      <c r="EE76" s="296"/>
      <c r="EF76" s="296"/>
      <c r="EG76" s="296"/>
      <c r="EH76" s="296"/>
      <c r="EI76" s="296"/>
      <c r="EJ76" s="296"/>
      <c r="EK76" s="296"/>
      <c r="EL76" s="296"/>
      <c r="EM76" s="296"/>
      <c r="EN76" s="296"/>
      <c r="EO76" s="296"/>
      <c r="EP76" s="296"/>
      <c r="EQ76" s="296"/>
      <c r="ER76" s="296"/>
      <c r="ES76" s="296"/>
      <c r="ET76" s="296"/>
      <c r="EU76" s="296"/>
      <c r="EV76" s="296"/>
      <c r="EW76" s="296"/>
      <c r="EX76" s="296"/>
      <c r="EY76" s="296"/>
      <c r="EZ76" s="296"/>
      <c r="FA76" s="296"/>
      <c r="FB76" s="296"/>
      <c r="FC76" s="296"/>
      <c r="FD76" s="296"/>
      <c r="FE76" s="297"/>
      <c r="FF76" s="296"/>
      <c r="FG76" s="296"/>
      <c r="FH76" s="296"/>
      <c r="FI76" s="296"/>
      <c r="FJ76" s="296"/>
      <c r="FK76" s="296"/>
      <c r="FL76" s="296"/>
      <c r="FM76" s="296"/>
      <c r="FN76" s="296"/>
      <c r="FO76" s="296"/>
      <c r="FP76" s="296"/>
      <c r="FQ76" s="296"/>
      <c r="FR76" s="296"/>
      <c r="FS76" s="296"/>
      <c r="FT76" s="296"/>
      <c r="FU76" s="296"/>
      <c r="FV76" s="296"/>
      <c r="FW76" s="296"/>
      <c r="FX76" s="296"/>
      <c r="FY76" s="296"/>
      <c r="FZ76" s="296"/>
      <c r="GA76" s="296"/>
      <c r="GB76" s="296"/>
      <c r="GC76" s="296"/>
      <c r="GD76" s="296"/>
      <c r="GE76" s="296"/>
      <c r="GF76" s="296"/>
      <c r="GG76" s="296"/>
      <c r="GH76" s="296"/>
      <c r="GI76" s="296"/>
      <c r="GJ76" s="296"/>
      <c r="GK76" s="296"/>
      <c r="GL76" s="296"/>
      <c r="GM76" s="296"/>
      <c r="GN76" s="296"/>
      <c r="GO76" s="296"/>
      <c r="GP76" s="296"/>
      <c r="GQ76" s="296"/>
      <c r="GR76" s="296"/>
      <c r="GS76" s="296"/>
      <c r="GT76" s="296"/>
      <c r="GU76" s="296"/>
      <c r="GV76" s="296"/>
      <c r="GW76" s="296"/>
      <c r="GX76" s="296"/>
      <c r="GY76" s="296"/>
      <c r="GZ76" s="296"/>
      <c r="HA76" s="296"/>
      <c r="HB76" s="296"/>
      <c r="HC76" s="296"/>
      <c r="HD76" s="296"/>
      <c r="HE76" s="296"/>
      <c r="HF76" s="296"/>
      <c r="HG76" s="296"/>
      <c r="HH76" s="296"/>
      <c r="HI76" s="296"/>
    </row>
    <row r="77" spans="1:217" ht="15" hidden="1" customHeight="1" thickBot="1">
      <c r="A77" s="150"/>
      <c r="B77" s="150"/>
      <c r="C77" s="391"/>
      <c r="D77" s="390"/>
      <c r="F77" s="390"/>
      <c r="G77" s="289"/>
      <c r="H77" s="390"/>
      <c r="I77" s="289"/>
      <c r="J77" s="390"/>
      <c r="K77" s="289"/>
      <c r="L77" s="390"/>
      <c r="M77" s="289"/>
      <c r="N77" s="390"/>
      <c r="O77" s="289"/>
      <c r="P77" s="289"/>
      <c r="Q77" s="289"/>
      <c r="R77" s="289"/>
      <c r="S77" s="289"/>
      <c r="T77" s="289"/>
      <c r="U77" s="289"/>
      <c r="V77" s="289"/>
      <c r="W77" s="289"/>
      <c r="X77" s="390"/>
      <c r="Y77" s="289"/>
      <c r="Z77" s="289"/>
      <c r="AA77" s="289"/>
      <c r="AB77" s="511"/>
      <c r="AC77" s="511"/>
      <c r="AD77" s="511"/>
      <c r="AE77" s="511"/>
      <c r="AF77" s="511"/>
      <c r="AG77" s="511"/>
      <c r="AH77" s="511"/>
      <c r="AI77" s="511"/>
      <c r="AJ77" s="511"/>
      <c r="AK77" s="511"/>
      <c r="AL77" s="511"/>
      <c r="AM77" s="511"/>
      <c r="AN77" s="511"/>
      <c r="AO77" s="511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6"/>
      <c r="BN77" s="296"/>
      <c r="BO77" s="296"/>
      <c r="BP77" s="296"/>
      <c r="BQ77" s="296"/>
      <c r="BR77" s="296"/>
      <c r="BS77" s="296"/>
      <c r="BT77" s="296"/>
      <c r="BU77" s="296"/>
      <c r="BV77" s="296"/>
      <c r="BW77" s="296"/>
      <c r="BX77" s="296"/>
      <c r="BY77" s="296"/>
      <c r="BZ77" s="296"/>
      <c r="CA77" s="296"/>
      <c r="CB77" s="296"/>
      <c r="CC77" s="296"/>
      <c r="CD77" s="296"/>
      <c r="CE77" s="296"/>
      <c r="CF77" s="296"/>
      <c r="CG77" s="296"/>
      <c r="CH77" s="296"/>
      <c r="CI77" s="296"/>
      <c r="CJ77" s="296"/>
      <c r="CK77" s="296"/>
      <c r="CL77" s="296"/>
      <c r="CM77" s="296"/>
      <c r="CN77" s="296"/>
      <c r="CO77" s="296"/>
      <c r="CP77" s="296"/>
      <c r="CQ77" s="296"/>
      <c r="CR77" s="296"/>
      <c r="CS77" s="296"/>
      <c r="CT77" s="296"/>
      <c r="CU77" s="296"/>
      <c r="CV77" s="296"/>
      <c r="CW77" s="296"/>
      <c r="CX77" s="296"/>
      <c r="CY77" s="296"/>
      <c r="CZ77" s="296"/>
      <c r="DA77" s="296"/>
      <c r="DB77" s="296"/>
      <c r="DC77" s="296"/>
      <c r="DD77" s="296"/>
      <c r="DE77" s="296"/>
      <c r="DF77" s="296"/>
      <c r="DG77" s="296"/>
      <c r="DH77" s="296"/>
      <c r="DI77" s="296"/>
      <c r="DJ77" s="296"/>
      <c r="DK77" s="296"/>
      <c r="DL77" s="296"/>
      <c r="DM77" s="296"/>
      <c r="DN77" s="296"/>
      <c r="DO77" s="296"/>
      <c r="DP77" s="296"/>
      <c r="DQ77" s="296"/>
      <c r="DR77" s="296"/>
      <c r="DS77" s="296"/>
      <c r="DT77" s="296"/>
      <c r="DU77" s="296"/>
      <c r="DV77" s="296"/>
      <c r="DW77" s="296"/>
      <c r="DX77" s="296"/>
      <c r="DY77" s="296"/>
      <c r="DZ77" s="296"/>
      <c r="EA77" s="296"/>
      <c r="EB77" s="296"/>
      <c r="EC77" s="296"/>
      <c r="ED77" s="296"/>
      <c r="EE77" s="296"/>
      <c r="EF77" s="296"/>
      <c r="EG77" s="296"/>
      <c r="EH77" s="296"/>
      <c r="EI77" s="296"/>
      <c r="EJ77" s="296"/>
      <c r="EK77" s="296"/>
      <c r="EL77" s="296"/>
      <c r="EM77" s="296"/>
      <c r="EN77" s="296"/>
      <c r="EO77" s="296"/>
      <c r="EP77" s="296"/>
      <c r="EQ77" s="296"/>
      <c r="ER77" s="296"/>
      <c r="ES77" s="296"/>
      <c r="ET77" s="296"/>
      <c r="EU77" s="296"/>
      <c r="EV77" s="296"/>
      <c r="EW77" s="296"/>
      <c r="EX77" s="296"/>
      <c r="EY77" s="296"/>
      <c r="EZ77" s="296"/>
      <c r="FA77" s="296"/>
      <c r="FB77" s="296"/>
      <c r="FC77" s="296"/>
      <c r="FD77" s="296"/>
      <c r="FE77" s="297"/>
      <c r="FF77" s="296"/>
      <c r="FG77" s="296"/>
      <c r="FH77" s="296"/>
      <c r="FI77" s="296"/>
      <c r="FJ77" s="296"/>
      <c r="FK77" s="296"/>
      <c r="FL77" s="296"/>
      <c r="FM77" s="296"/>
      <c r="FN77" s="296"/>
      <c r="FO77" s="296"/>
      <c r="FP77" s="296"/>
      <c r="FQ77" s="296"/>
      <c r="FR77" s="296"/>
      <c r="FS77" s="296"/>
      <c r="FT77" s="296"/>
      <c r="FU77" s="296"/>
      <c r="FV77" s="296"/>
      <c r="FW77" s="296"/>
      <c r="FX77" s="296"/>
      <c r="FY77" s="296"/>
      <c r="FZ77" s="296"/>
      <c r="GA77" s="296"/>
      <c r="GB77" s="296"/>
      <c r="GC77" s="296"/>
      <c r="GD77" s="296"/>
      <c r="GE77" s="296"/>
      <c r="GF77" s="296"/>
      <c r="GG77" s="296"/>
      <c r="GH77" s="296"/>
      <c r="GI77" s="296"/>
      <c r="GJ77" s="296"/>
      <c r="GK77" s="296"/>
      <c r="GL77" s="296"/>
      <c r="GM77" s="296"/>
      <c r="GN77" s="296"/>
      <c r="GO77" s="296"/>
      <c r="GP77" s="296"/>
      <c r="GQ77" s="296"/>
      <c r="GR77" s="296"/>
      <c r="GS77" s="296"/>
      <c r="GT77" s="296"/>
      <c r="GU77" s="296"/>
      <c r="GV77" s="296"/>
      <c r="GW77" s="296"/>
      <c r="GX77" s="296"/>
      <c r="GY77" s="296"/>
      <c r="GZ77" s="296"/>
      <c r="HA77" s="296"/>
      <c r="HB77" s="296"/>
      <c r="HC77" s="296"/>
      <c r="HD77" s="296"/>
      <c r="HE77" s="296"/>
      <c r="HF77" s="296"/>
      <c r="HG77" s="296"/>
      <c r="HH77" s="296"/>
      <c r="HI77" s="296"/>
    </row>
    <row r="78" spans="1:217" ht="14.25" hidden="1" customHeight="1" thickTop="1">
      <c r="A78" s="150"/>
      <c r="B78" s="150"/>
      <c r="C78" s="391"/>
      <c r="D78" s="383">
        <f t="shared" ref="D78:W78" si="24">D13-D33</f>
        <v>70050045.030199766</v>
      </c>
      <c r="E78" s="383">
        <f t="shared" si="24"/>
        <v>3.2598094387919332</v>
      </c>
      <c r="F78" s="383">
        <f t="shared" si="24"/>
        <v>164616856.88000011</v>
      </c>
      <c r="G78" s="383">
        <f t="shared" si="24"/>
        <v>6.1412742727103193</v>
      </c>
      <c r="H78" s="383">
        <f t="shared" si="24"/>
        <v>-12819686.579999924</v>
      </c>
      <c r="I78" s="383">
        <f t="shared" si="24"/>
        <v>-0.41546819354419995</v>
      </c>
      <c r="J78" s="383">
        <f t="shared" si="24"/>
        <v>-169981741.34449983</v>
      </c>
      <c r="K78" s="383">
        <f t="shared" si="24"/>
        <v>-5.7021717995471306</v>
      </c>
      <c r="L78" s="383">
        <f t="shared" si="24"/>
        <v>-118073835.77400017</v>
      </c>
      <c r="M78" s="383">
        <f t="shared" si="24"/>
        <v>-3.7783627447680104</v>
      </c>
      <c r="N78" s="383">
        <f t="shared" si="24"/>
        <v>-176177624.71000028</v>
      </c>
      <c r="O78" s="383">
        <f t="shared" si="24"/>
        <v>-5.3959456266462595</v>
      </c>
      <c r="P78" s="383">
        <f t="shared" si="24"/>
        <v>-176129872.54666662</v>
      </c>
      <c r="Q78" s="383">
        <f t="shared" si="24"/>
        <v>-5.5369340630828816</v>
      </c>
      <c r="R78" s="383">
        <f t="shared" si="24"/>
        <v>-154644125.24999976</v>
      </c>
      <c r="S78" s="383">
        <f t="shared" si="24"/>
        <v>-4.5997657718619749</v>
      </c>
      <c r="T78" s="383">
        <f t="shared" si="24"/>
        <v>-100956641.13249993</v>
      </c>
      <c r="U78" s="383">
        <f t="shared" si="24"/>
        <v>-2.9195940059718311</v>
      </c>
      <c r="V78" s="383">
        <f t="shared" si="24"/>
        <v>-302739384.88499999</v>
      </c>
      <c r="W78" s="383">
        <f t="shared" si="24"/>
        <v>-8.282883307387138</v>
      </c>
      <c r="X78" s="408"/>
      <c r="Y78" s="408"/>
      <c r="Z78" s="408"/>
      <c r="AA78" s="408"/>
      <c r="AB78" s="511"/>
      <c r="AC78" s="511"/>
      <c r="AD78" s="511"/>
      <c r="AE78" s="511"/>
      <c r="AF78" s="511"/>
      <c r="AG78" s="511"/>
      <c r="AH78" s="511"/>
      <c r="AI78" s="511"/>
      <c r="AJ78" s="511"/>
      <c r="AK78" s="511"/>
      <c r="AL78" s="511"/>
      <c r="AM78" s="511"/>
      <c r="AN78" s="511"/>
      <c r="AO78" s="511"/>
      <c r="AP78" s="409"/>
      <c r="AQ78" s="409"/>
      <c r="AR78" s="409"/>
      <c r="AS78" s="409"/>
      <c r="AT78" s="409"/>
      <c r="AU78" s="409"/>
      <c r="AV78" s="409"/>
      <c r="AW78" s="409"/>
      <c r="AX78" s="409"/>
      <c r="AY78" s="409"/>
      <c r="AZ78" s="409"/>
      <c r="BA78" s="409"/>
      <c r="BB78" s="409"/>
      <c r="BC78" s="409"/>
      <c r="BD78" s="409"/>
      <c r="BE78" s="409"/>
      <c r="BF78" s="409"/>
      <c r="BG78" s="409"/>
      <c r="BH78" s="409"/>
      <c r="BI78" s="409"/>
      <c r="BJ78" s="409"/>
      <c r="BK78" s="409"/>
      <c r="BL78" s="409"/>
      <c r="BM78" s="409"/>
      <c r="BN78" s="409"/>
      <c r="BO78" s="409"/>
      <c r="BP78" s="409"/>
      <c r="BQ78" s="409"/>
      <c r="BR78" s="409"/>
      <c r="BS78" s="409"/>
      <c r="BT78" s="409"/>
      <c r="BU78" s="409"/>
      <c r="BV78" s="409"/>
      <c r="BW78" s="409"/>
      <c r="BX78" s="409"/>
      <c r="BY78" s="409"/>
      <c r="BZ78" s="409"/>
      <c r="CA78" s="409"/>
      <c r="CB78" s="409"/>
      <c r="CC78" s="409"/>
      <c r="CD78" s="409"/>
      <c r="CE78" s="409"/>
      <c r="CF78" s="409"/>
      <c r="CG78" s="409"/>
      <c r="CH78" s="409"/>
      <c r="CI78" s="409"/>
      <c r="CJ78" s="409"/>
      <c r="CK78" s="409"/>
      <c r="CL78" s="409"/>
      <c r="CM78" s="409"/>
      <c r="CN78" s="409"/>
      <c r="CO78" s="409"/>
      <c r="CP78" s="409"/>
      <c r="CQ78" s="409"/>
      <c r="CR78" s="409"/>
      <c r="CS78" s="409"/>
      <c r="CT78" s="409"/>
      <c r="CU78" s="409"/>
      <c r="CV78" s="409"/>
      <c r="CW78" s="409"/>
      <c r="CX78" s="409"/>
      <c r="CY78" s="409"/>
      <c r="CZ78" s="409"/>
      <c r="DA78" s="409"/>
      <c r="DB78" s="409"/>
      <c r="DC78" s="409"/>
      <c r="DD78" s="409"/>
      <c r="DE78" s="409"/>
      <c r="DF78" s="409"/>
      <c r="DG78" s="409"/>
      <c r="DH78" s="296"/>
      <c r="DI78" s="296"/>
      <c r="DJ78" s="296"/>
      <c r="DK78" s="296"/>
      <c r="DL78" s="296"/>
      <c r="DM78" s="296"/>
      <c r="DN78" s="296"/>
      <c r="DO78" s="296"/>
      <c r="DP78" s="296"/>
      <c r="DQ78" s="296"/>
      <c r="DR78" s="296"/>
      <c r="DS78" s="296"/>
      <c r="DT78" s="296"/>
      <c r="DU78" s="296"/>
      <c r="DV78" s="296"/>
      <c r="DW78" s="296"/>
      <c r="DX78" s="296"/>
      <c r="DY78" s="296"/>
      <c r="DZ78" s="296"/>
      <c r="EA78" s="296"/>
      <c r="EB78" s="296"/>
      <c r="EC78" s="296"/>
      <c r="ED78" s="296"/>
      <c r="EE78" s="296"/>
      <c r="EF78" s="296"/>
      <c r="EG78" s="296"/>
      <c r="EH78" s="296"/>
      <c r="EI78" s="296"/>
      <c r="EJ78" s="296"/>
      <c r="EK78" s="296"/>
      <c r="EL78" s="296"/>
      <c r="EM78" s="296"/>
      <c r="EN78" s="296"/>
      <c r="EO78" s="296"/>
      <c r="EP78" s="296"/>
      <c r="EQ78" s="296"/>
      <c r="ER78" s="296"/>
      <c r="ES78" s="296"/>
      <c r="ET78" s="296"/>
      <c r="EU78" s="296"/>
      <c r="EV78" s="296"/>
      <c r="EW78" s="296"/>
      <c r="EX78" s="296"/>
      <c r="EY78" s="296"/>
      <c r="EZ78" s="296"/>
      <c r="FA78" s="296"/>
      <c r="FB78" s="296"/>
      <c r="FC78" s="296"/>
      <c r="FD78" s="296"/>
      <c r="FE78" s="297"/>
      <c r="FF78" s="296"/>
      <c r="FG78" s="296"/>
      <c r="FH78" s="296"/>
      <c r="FI78" s="296"/>
      <c r="FJ78" s="296"/>
      <c r="FK78" s="296"/>
      <c r="FL78" s="296"/>
      <c r="FM78" s="296"/>
      <c r="FN78" s="296"/>
      <c r="FO78" s="296"/>
      <c r="FP78" s="296"/>
      <c r="FQ78" s="296"/>
      <c r="FR78" s="296"/>
      <c r="FS78" s="296"/>
      <c r="FT78" s="296"/>
      <c r="FU78" s="296"/>
      <c r="FV78" s="296"/>
      <c r="FW78" s="296"/>
      <c r="FX78" s="296"/>
      <c r="FY78" s="296"/>
      <c r="FZ78" s="296"/>
      <c r="GA78" s="296"/>
      <c r="GB78" s="296"/>
      <c r="GC78" s="296"/>
      <c r="GD78" s="296"/>
      <c r="GE78" s="296"/>
      <c r="GF78" s="296"/>
      <c r="GG78" s="296"/>
      <c r="GH78" s="296"/>
      <c r="GI78" s="296"/>
      <c r="GJ78" s="296"/>
      <c r="GK78" s="296"/>
      <c r="GL78" s="296"/>
      <c r="GM78" s="296"/>
      <c r="GN78" s="296"/>
      <c r="GO78" s="296"/>
      <c r="GP78" s="296"/>
      <c r="GQ78" s="296"/>
      <c r="GR78" s="296"/>
      <c r="GS78" s="296"/>
      <c r="GT78" s="296"/>
      <c r="GU78" s="296"/>
      <c r="GV78" s="296"/>
      <c r="GW78" s="296"/>
      <c r="GX78" s="296"/>
      <c r="GY78" s="296"/>
      <c r="GZ78" s="296"/>
      <c r="HA78" s="296"/>
      <c r="HB78" s="296"/>
      <c r="HC78" s="296"/>
      <c r="HD78" s="296"/>
      <c r="HE78" s="296"/>
      <c r="HF78" s="296"/>
      <c r="HG78" s="296"/>
      <c r="HH78" s="296"/>
      <c r="HI78" s="296"/>
    </row>
    <row r="79" spans="1:217" ht="15" hidden="1" customHeight="1">
      <c r="A79" s="150"/>
      <c r="B79" s="150"/>
      <c r="C79" s="391"/>
      <c r="D79" s="410">
        <f t="shared" ref="D79:I79" si="25">+D62-D40</f>
        <v>-23854663.5</v>
      </c>
      <c r="E79" s="408">
        <f t="shared" si="25"/>
        <v>-1.1100871841407232</v>
      </c>
      <c r="F79" s="410">
        <f t="shared" si="25"/>
        <v>-27935103.170000002</v>
      </c>
      <c r="G79" s="408">
        <f t="shared" si="25"/>
        <v>-1.0421601630292856</v>
      </c>
      <c r="H79" s="410">
        <f t="shared" si="25"/>
        <v>-23805692.059999999</v>
      </c>
      <c r="I79" s="408">
        <f t="shared" si="25"/>
        <v>-0.77150933562354151</v>
      </c>
      <c r="J79" s="408">
        <f t="shared" ref="J79:W79" si="26">J62+J40</f>
        <v>25522738.039999999</v>
      </c>
      <c r="K79" s="408">
        <f t="shared" si="26"/>
        <v>0.85618041060046957</v>
      </c>
      <c r="L79" s="408">
        <f t="shared" si="26"/>
        <v>31406278.469999999</v>
      </c>
      <c r="M79" s="408">
        <f t="shared" si="26"/>
        <v>1.00500091104</v>
      </c>
      <c r="N79" s="408">
        <f t="shared" si="26"/>
        <v>47603265.710000001</v>
      </c>
      <c r="O79" s="408">
        <f t="shared" si="26"/>
        <v>1.4579866986217458</v>
      </c>
      <c r="P79" s="408">
        <f t="shared" si="26"/>
        <v>59720316.740000002</v>
      </c>
      <c r="Q79" s="408">
        <f t="shared" si="26"/>
        <v>1.8774070022005658</v>
      </c>
      <c r="R79" s="408">
        <f t="shared" si="26"/>
        <v>-105243020.12729974</v>
      </c>
      <c r="S79" s="408">
        <f t="shared" si="26"/>
        <v>-3.1303694267489504</v>
      </c>
      <c r="T79" s="408">
        <f t="shared" si="26"/>
        <v>-28568064.592499942</v>
      </c>
      <c r="U79" s="408">
        <f t="shared" si="26"/>
        <v>-0.82616803818791551</v>
      </c>
      <c r="V79" s="410">
        <f t="shared" si="26"/>
        <v>-178833709.07500002</v>
      </c>
      <c r="W79" s="408">
        <f t="shared" si="26"/>
        <v>-4.8928511374829</v>
      </c>
      <c r="X79" s="408"/>
      <c r="Y79" s="408"/>
      <c r="Z79" s="408"/>
      <c r="AA79" s="408"/>
      <c r="AB79" s="511"/>
      <c r="AC79" s="511"/>
      <c r="AD79" s="511"/>
      <c r="AE79" s="511"/>
      <c r="AF79" s="511"/>
      <c r="AG79" s="511"/>
      <c r="AH79" s="511"/>
      <c r="AI79" s="511"/>
      <c r="AJ79" s="511"/>
      <c r="AK79" s="511"/>
      <c r="AL79" s="511"/>
      <c r="AM79" s="511"/>
      <c r="AN79" s="511"/>
      <c r="AO79" s="511"/>
      <c r="AP79" s="349"/>
      <c r="AQ79" s="349"/>
      <c r="AR79" s="349"/>
      <c r="AS79" s="349"/>
      <c r="AT79" s="349"/>
      <c r="AU79" s="349"/>
      <c r="AV79" s="349"/>
      <c r="AW79" s="349"/>
      <c r="AX79" s="349"/>
      <c r="AY79" s="349"/>
      <c r="AZ79" s="349"/>
      <c r="BA79" s="349"/>
      <c r="BB79" s="349"/>
      <c r="BC79" s="349"/>
      <c r="BD79" s="349"/>
      <c r="BE79" s="349"/>
      <c r="BF79" s="349"/>
      <c r="BG79" s="349"/>
      <c r="BH79" s="349"/>
      <c r="BI79" s="349"/>
      <c r="BJ79" s="349"/>
      <c r="BK79" s="349"/>
      <c r="BL79" s="349"/>
      <c r="BM79" s="349"/>
      <c r="BN79" s="349"/>
      <c r="BO79" s="349"/>
      <c r="BP79" s="349"/>
      <c r="BQ79" s="349"/>
      <c r="BR79" s="349"/>
      <c r="BS79" s="349"/>
      <c r="BT79" s="349"/>
      <c r="BU79" s="349"/>
      <c r="BV79" s="349"/>
      <c r="BW79" s="349"/>
      <c r="BX79" s="349"/>
      <c r="BY79" s="349"/>
      <c r="BZ79" s="349"/>
      <c r="CA79" s="349"/>
      <c r="CB79" s="349"/>
      <c r="CC79" s="349"/>
      <c r="CD79" s="349"/>
      <c r="CE79" s="349"/>
      <c r="CF79" s="349"/>
      <c r="CG79" s="349"/>
      <c r="CH79" s="349"/>
      <c r="CI79" s="349"/>
      <c r="CJ79" s="349"/>
      <c r="CK79" s="349"/>
      <c r="CL79" s="349"/>
      <c r="CM79" s="349"/>
      <c r="CN79" s="349"/>
      <c r="CO79" s="349"/>
      <c r="CP79" s="349"/>
      <c r="CQ79" s="349"/>
      <c r="CR79" s="349"/>
      <c r="CS79" s="349"/>
      <c r="CT79" s="349"/>
      <c r="CU79" s="349"/>
      <c r="CV79" s="349"/>
      <c r="CW79" s="349"/>
      <c r="CX79" s="349"/>
      <c r="CY79" s="349"/>
      <c r="CZ79" s="349"/>
      <c r="DA79" s="349"/>
      <c r="DB79" s="349"/>
      <c r="DC79" s="349"/>
      <c r="DD79" s="349"/>
      <c r="DE79" s="349"/>
      <c r="DF79" s="349"/>
      <c r="DG79" s="349"/>
      <c r="DH79" s="296"/>
      <c r="DI79" s="296"/>
      <c r="DJ79" s="296"/>
      <c r="DK79" s="296"/>
      <c r="DL79" s="296"/>
      <c r="DM79" s="296"/>
      <c r="DN79" s="296"/>
      <c r="DO79" s="296"/>
      <c r="DP79" s="296"/>
      <c r="DQ79" s="296"/>
      <c r="DR79" s="296"/>
      <c r="DS79" s="296"/>
      <c r="DT79" s="296"/>
      <c r="DU79" s="296"/>
      <c r="DV79" s="296"/>
      <c r="DW79" s="296"/>
      <c r="DX79" s="296"/>
      <c r="DY79" s="296"/>
      <c r="DZ79" s="296"/>
      <c r="EA79" s="296"/>
      <c r="EB79" s="296"/>
      <c r="EC79" s="296"/>
      <c r="ED79" s="296"/>
      <c r="EE79" s="296"/>
      <c r="EF79" s="296"/>
      <c r="EG79" s="296"/>
      <c r="EH79" s="296"/>
      <c r="EI79" s="296"/>
      <c r="EJ79" s="296"/>
      <c r="EK79" s="296"/>
      <c r="EL79" s="296"/>
      <c r="EM79" s="296"/>
      <c r="EN79" s="296"/>
      <c r="EO79" s="296"/>
      <c r="EP79" s="296"/>
      <c r="EQ79" s="296"/>
      <c r="ER79" s="296"/>
      <c r="ES79" s="296"/>
      <c r="ET79" s="296"/>
      <c r="EU79" s="296"/>
      <c r="EV79" s="296"/>
      <c r="EW79" s="296"/>
      <c r="EX79" s="296"/>
      <c r="EY79" s="296"/>
      <c r="EZ79" s="296"/>
      <c r="FA79" s="296"/>
      <c r="FB79" s="296"/>
      <c r="FC79" s="296"/>
      <c r="FD79" s="296"/>
      <c r="FE79" s="297"/>
      <c r="FF79" s="296"/>
      <c r="FG79" s="296"/>
      <c r="FH79" s="296"/>
      <c r="FI79" s="296"/>
      <c r="FJ79" s="296"/>
      <c r="FK79" s="296"/>
      <c r="FL79" s="296"/>
      <c r="FM79" s="296"/>
      <c r="FN79" s="296"/>
      <c r="FO79" s="296"/>
      <c r="FP79" s="296"/>
      <c r="FQ79" s="296"/>
      <c r="FR79" s="296"/>
      <c r="FS79" s="296"/>
      <c r="FT79" s="296"/>
      <c r="FU79" s="296"/>
      <c r="FV79" s="296"/>
      <c r="FW79" s="296"/>
      <c r="FX79" s="296"/>
      <c r="FY79" s="296"/>
      <c r="FZ79" s="296"/>
      <c r="GA79" s="296"/>
      <c r="GB79" s="296"/>
      <c r="GC79" s="296"/>
      <c r="GD79" s="296"/>
      <c r="GE79" s="296"/>
      <c r="GF79" s="296"/>
      <c r="GG79" s="296"/>
      <c r="GH79" s="296"/>
      <c r="GI79" s="296"/>
      <c r="GJ79" s="296"/>
      <c r="GK79" s="296"/>
      <c r="GL79" s="296"/>
      <c r="GM79" s="296"/>
      <c r="GN79" s="296"/>
      <c r="GO79" s="296"/>
      <c r="GP79" s="296"/>
      <c r="GQ79" s="296"/>
      <c r="GR79" s="296"/>
      <c r="GS79" s="296"/>
      <c r="GT79" s="296"/>
      <c r="GU79" s="296"/>
      <c r="GV79" s="296"/>
      <c r="GW79" s="296"/>
      <c r="GX79" s="296"/>
      <c r="GY79" s="296"/>
      <c r="GZ79" s="296"/>
      <c r="HA79" s="296"/>
      <c r="HB79" s="296"/>
      <c r="HC79" s="296"/>
      <c r="HD79" s="296"/>
      <c r="HE79" s="296"/>
      <c r="HF79" s="296"/>
      <c r="HG79" s="296"/>
      <c r="HH79" s="296"/>
      <c r="HI79" s="296"/>
    </row>
    <row r="80" spans="1:217" ht="15" customHeight="1">
      <c r="A80" s="150"/>
      <c r="B80" s="150"/>
      <c r="C80" s="391"/>
      <c r="D80" s="408"/>
      <c r="E80" s="408"/>
      <c r="F80" s="408"/>
      <c r="G80" s="408"/>
      <c r="H80" s="408"/>
      <c r="I80" s="408"/>
      <c r="J80" s="408"/>
      <c r="K80" s="408"/>
      <c r="L80" s="408"/>
      <c r="M80" s="408"/>
      <c r="N80" s="408"/>
      <c r="O80" s="408"/>
      <c r="P80" s="408"/>
      <c r="Q80" s="408"/>
      <c r="R80" s="408"/>
      <c r="S80" s="408"/>
      <c r="T80" s="408"/>
      <c r="U80" s="408"/>
      <c r="V80" s="408"/>
      <c r="W80" s="408"/>
      <c r="X80" s="408"/>
      <c r="Y80" s="408"/>
      <c r="Z80" s="408"/>
      <c r="AA80" s="408"/>
      <c r="AB80" s="511"/>
      <c r="AC80" s="511"/>
      <c r="AD80" s="511"/>
      <c r="AE80" s="511"/>
      <c r="AF80" s="511"/>
      <c r="AG80" s="511"/>
      <c r="AH80" s="511"/>
      <c r="AI80" s="511"/>
      <c r="AJ80" s="511"/>
      <c r="AK80" s="511"/>
      <c r="AL80" s="511"/>
      <c r="AM80" s="511"/>
      <c r="AN80" s="511"/>
      <c r="AO80" s="511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6"/>
      <c r="BN80" s="296"/>
      <c r="BO80" s="296"/>
      <c r="BP80" s="296"/>
      <c r="BQ80" s="296"/>
      <c r="BR80" s="296"/>
      <c r="BS80" s="296"/>
      <c r="BT80" s="296"/>
      <c r="BU80" s="296"/>
      <c r="BV80" s="296"/>
      <c r="BW80" s="296"/>
      <c r="BX80" s="296"/>
      <c r="BY80" s="296"/>
      <c r="BZ80" s="296"/>
      <c r="CA80" s="296"/>
      <c r="CB80" s="296"/>
      <c r="CC80" s="296"/>
      <c r="CD80" s="296"/>
      <c r="CE80" s="296"/>
      <c r="CF80" s="296"/>
      <c r="CG80" s="296"/>
      <c r="CH80" s="296"/>
      <c r="CI80" s="296"/>
      <c r="CJ80" s="296"/>
      <c r="CK80" s="296"/>
      <c r="CL80" s="296"/>
      <c r="CM80" s="296"/>
      <c r="CN80" s="296"/>
      <c r="CO80" s="296"/>
      <c r="CP80" s="296"/>
      <c r="CQ80" s="296"/>
      <c r="CR80" s="296"/>
      <c r="CS80" s="296"/>
      <c r="CT80" s="296"/>
      <c r="CU80" s="296"/>
      <c r="CV80" s="296"/>
      <c r="CW80" s="296"/>
      <c r="CX80" s="296"/>
      <c r="CY80" s="296"/>
      <c r="CZ80" s="296"/>
      <c r="DA80" s="296"/>
      <c r="DB80" s="296"/>
      <c r="DC80" s="296"/>
      <c r="DD80" s="296"/>
      <c r="DE80" s="296"/>
      <c r="DF80" s="296"/>
      <c r="DG80" s="296"/>
      <c r="DH80" s="296"/>
      <c r="DI80" s="296"/>
      <c r="DJ80" s="296"/>
      <c r="DK80" s="296"/>
      <c r="DL80" s="296"/>
      <c r="DM80" s="296"/>
      <c r="DN80" s="296"/>
      <c r="DO80" s="296"/>
      <c r="DP80" s="296"/>
      <c r="DQ80" s="296"/>
      <c r="DR80" s="296"/>
      <c r="DS80" s="296"/>
      <c r="DT80" s="296"/>
      <c r="DU80" s="296"/>
      <c r="DV80" s="296"/>
      <c r="DW80" s="296"/>
      <c r="DX80" s="296"/>
      <c r="DY80" s="296"/>
      <c r="DZ80" s="296"/>
      <c r="EA80" s="296"/>
      <c r="EB80" s="296"/>
      <c r="EC80" s="296"/>
      <c r="ED80" s="296"/>
      <c r="EE80" s="296"/>
      <c r="EF80" s="296"/>
      <c r="EG80" s="296"/>
      <c r="EH80" s="296"/>
      <c r="EI80" s="296"/>
      <c r="EJ80" s="296"/>
      <c r="EK80" s="296"/>
      <c r="EL80" s="296"/>
      <c r="EM80" s="296"/>
      <c r="EN80" s="296"/>
      <c r="EO80" s="296"/>
      <c r="EP80" s="296"/>
      <c r="EQ80" s="296"/>
      <c r="ER80" s="296"/>
      <c r="ES80" s="296"/>
      <c r="ET80" s="296"/>
      <c r="EU80" s="296"/>
      <c r="EV80" s="296"/>
      <c r="EW80" s="296"/>
      <c r="EX80" s="296"/>
      <c r="EY80" s="296"/>
      <c r="EZ80" s="296"/>
      <c r="FA80" s="296"/>
      <c r="FB80" s="296"/>
      <c r="FC80" s="296"/>
      <c r="FD80" s="296"/>
      <c r="FE80" s="297"/>
      <c r="FF80" s="296"/>
      <c r="FG80" s="296"/>
      <c r="FH80" s="296"/>
      <c r="FI80" s="296"/>
      <c r="FJ80" s="296"/>
      <c r="FK80" s="296"/>
      <c r="FL80" s="296"/>
      <c r="FM80" s="296"/>
      <c r="FN80" s="296"/>
      <c r="FO80" s="296"/>
      <c r="FP80" s="296"/>
      <c r="FQ80" s="296"/>
      <c r="FR80" s="296"/>
      <c r="FS80" s="296"/>
      <c r="FT80" s="296"/>
      <c r="FU80" s="296"/>
      <c r="FV80" s="296"/>
      <c r="FW80" s="296"/>
      <c r="FX80" s="296"/>
      <c r="FY80" s="296"/>
      <c r="FZ80" s="296"/>
      <c r="GA80" s="296"/>
      <c r="GB80" s="296"/>
      <c r="GC80" s="296"/>
      <c r="GD80" s="296"/>
      <c r="GE80" s="296"/>
      <c r="GF80" s="296"/>
      <c r="GG80" s="296"/>
      <c r="GH80" s="296"/>
      <c r="GI80" s="296"/>
      <c r="GJ80" s="296"/>
      <c r="GK80" s="296"/>
      <c r="GL80" s="296"/>
      <c r="GM80" s="296"/>
      <c r="GN80" s="296"/>
      <c r="GO80" s="296"/>
      <c r="GP80" s="296"/>
      <c r="GQ80" s="296"/>
      <c r="GR80" s="296"/>
      <c r="GS80" s="296"/>
      <c r="GT80" s="296"/>
      <c r="GU80" s="296"/>
      <c r="GV80" s="296"/>
      <c r="GW80" s="296"/>
      <c r="GX80" s="296"/>
      <c r="GY80" s="296"/>
      <c r="GZ80" s="296"/>
      <c r="HA80" s="296"/>
      <c r="HB80" s="296"/>
      <c r="HC80" s="296"/>
      <c r="HD80" s="296"/>
      <c r="HE80" s="296"/>
      <c r="HF80" s="296"/>
      <c r="HG80" s="296"/>
      <c r="HH80" s="296"/>
      <c r="HI80" s="296"/>
    </row>
    <row r="81" spans="1:217" ht="15" customHeight="1">
      <c r="A81" s="150"/>
      <c r="B81" s="150"/>
      <c r="C81" s="411"/>
      <c r="D81" s="408"/>
      <c r="E81" s="408"/>
      <c r="F81" s="408"/>
      <c r="G81" s="408"/>
      <c r="H81" s="408"/>
      <c r="I81" s="408"/>
      <c r="J81" s="412"/>
      <c r="K81" s="408"/>
      <c r="L81" s="408"/>
      <c r="M81" s="408"/>
      <c r="N81" s="413"/>
      <c r="O81" s="408"/>
      <c r="P81" s="408"/>
      <c r="Q81" s="408"/>
      <c r="R81" s="408"/>
      <c r="S81" s="408"/>
      <c r="T81" s="408"/>
      <c r="U81" s="408"/>
      <c r="V81" s="408"/>
      <c r="W81" s="408"/>
      <c r="X81" s="408"/>
      <c r="Y81" s="408"/>
      <c r="Z81" s="408"/>
      <c r="AA81" s="408"/>
      <c r="AB81" s="511"/>
      <c r="AC81" s="511"/>
      <c r="AD81" s="511"/>
      <c r="AE81" s="511"/>
      <c r="AF81" s="511"/>
      <c r="AG81" s="511"/>
      <c r="AH81" s="511"/>
      <c r="AI81" s="511"/>
      <c r="AJ81" s="511"/>
      <c r="AK81" s="511"/>
      <c r="AL81" s="511"/>
      <c r="AM81" s="511"/>
      <c r="AN81" s="511"/>
      <c r="AO81" s="511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6"/>
      <c r="BN81" s="296"/>
      <c r="BO81" s="296"/>
      <c r="BP81" s="296"/>
      <c r="BQ81" s="296"/>
      <c r="BR81" s="296"/>
      <c r="BS81" s="296"/>
      <c r="BT81" s="296"/>
      <c r="BU81" s="296"/>
      <c r="BV81" s="296"/>
      <c r="BW81" s="296"/>
      <c r="BX81" s="296"/>
      <c r="BY81" s="296"/>
      <c r="BZ81" s="296"/>
      <c r="CA81" s="296"/>
      <c r="CB81" s="296"/>
      <c r="CC81" s="296"/>
      <c r="CD81" s="296"/>
      <c r="CE81" s="296"/>
      <c r="CF81" s="296"/>
      <c r="CG81" s="296"/>
      <c r="CH81" s="296"/>
      <c r="CI81" s="296"/>
      <c r="CJ81" s="296"/>
      <c r="CK81" s="296"/>
      <c r="CL81" s="296"/>
      <c r="CM81" s="296"/>
      <c r="CN81" s="296"/>
      <c r="CO81" s="296"/>
      <c r="CP81" s="296"/>
      <c r="CQ81" s="296"/>
      <c r="CR81" s="296"/>
      <c r="CS81" s="296"/>
      <c r="CT81" s="296"/>
      <c r="CU81" s="296"/>
      <c r="CV81" s="296"/>
      <c r="CW81" s="296"/>
      <c r="CX81" s="296"/>
      <c r="CY81" s="296"/>
      <c r="CZ81" s="296"/>
      <c r="DA81" s="296"/>
      <c r="DB81" s="296"/>
      <c r="DC81" s="296"/>
      <c r="DD81" s="296"/>
      <c r="DE81" s="296"/>
      <c r="DF81" s="296"/>
      <c r="DG81" s="296"/>
      <c r="DH81" s="296"/>
      <c r="DI81" s="296"/>
      <c r="DJ81" s="296"/>
      <c r="DK81" s="296"/>
      <c r="DL81" s="296"/>
      <c r="DM81" s="296"/>
      <c r="DN81" s="296"/>
      <c r="DO81" s="296"/>
      <c r="DP81" s="296"/>
      <c r="DQ81" s="296"/>
      <c r="DR81" s="296"/>
      <c r="DS81" s="296"/>
      <c r="DT81" s="296"/>
      <c r="DU81" s="296"/>
      <c r="DV81" s="296"/>
      <c r="DW81" s="296"/>
      <c r="DX81" s="296"/>
      <c r="DY81" s="296"/>
      <c r="DZ81" s="296"/>
      <c r="EA81" s="296"/>
      <c r="EB81" s="296"/>
      <c r="EC81" s="296"/>
      <c r="ED81" s="296"/>
      <c r="EE81" s="296"/>
      <c r="EF81" s="296"/>
      <c r="EG81" s="296"/>
      <c r="EH81" s="296"/>
      <c r="EI81" s="296"/>
      <c r="EJ81" s="296"/>
      <c r="EK81" s="296"/>
      <c r="EL81" s="296"/>
      <c r="EM81" s="296"/>
      <c r="EN81" s="296"/>
      <c r="EO81" s="296"/>
      <c r="EP81" s="296"/>
      <c r="EQ81" s="296"/>
      <c r="ER81" s="296"/>
      <c r="ES81" s="296"/>
      <c r="ET81" s="296"/>
      <c r="EU81" s="296"/>
      <c r="EV81" s="296"/>
      <c r="EW81" s="296"/>
      <c r="EX81" s="296"/>
      <c r="EY81" s="296"/>
      <c r="EZ81" s="296"/>
      <c r="FA81" s="296"/>
      <c r="FB81" s="296"/>
      <c r="FC81" s="296"/>
      <c r="FD81" s="296"/>
      <c r="FE81" s="297"/>
      <c r="FF81" s="296"/>
      <c r="FG81" s="296"/>
      <c r="FH81" s="296"/>
      <c r="FI81" s="296"/>
      <c r="FJ81" s="296"/>
      <c r="FK81" s="296"/>
      <c r="FL81" s="296"/>
      <c r="FM81" s="296"/>
      <c r="FN81" s="296"/>
      <c r="FO81" s="296"/>
      <c r="FP81" s="296"/>
      <c r="FQ81" s="296"/>
      <c r="FR81" s="296"/>
      <c r="FS81" s="296"/>
      <c r="FT81" s="296"/>
      <c r="FU81" s="296"/>
      <c r="FV81" s="296"/>
      <c r="FW81" s="296"/>
      <c r="FX81" s="296"/>
      <c r="FY81" s="296"/>
      <c r="FZ81" s="296"/>
      <c r="GA81" s="296"/>
      <c r="GB81" s="296"/>
      <c r="GC81" s="296"/>
      <c r="GD81" s="296"/>
      <c r="GE81" s="296"/>
      <c r="GF81" s="296"/>
      <c r="GG81" s="296"/>
      <c r="GH81" s="296"/>
      <c r="GI81" s="296"/>
      <c r="GJ81" s="296"/>
      <c r="GK81" s="296"/>
      <c r="GL81" s="296"/>
      <c r="GM81" s="296"/>
      <c r="GN81" s="296"/>
      <c r="GO81" s="296"/>
      <c r="GP81" s="296"/>
      <c r="GQ81" s="296"/>
      <c r="GR81" s="296"/>
      <c r="GS81" s="296"/>
      <c r="GT81" s="296"/>
      <c r="GU81" s="296"/>
      <c r="GV81" s="296"/>
      <c r="GW81" s="296"/>
      <c r="GX81" s="296"/>
      <c r="GY81" s="296"/>
      <c r="GZ81" s="296"/>
      <c r="HA81" s="296"/>
      <c r="HB81" s="296"/>
      <c r="HC81" s="296"/>
      <c r="HD81" s="296"/>
      <c r="HE81" s="296"/>
      <c r="HF81" s="296"/>
      <c r="HG81" s="296"/>
      <c r="HH81" s="296"/>
      <c r="HI81" s="296"/>
    </row>
    <row r="82" spans="1:217" ht="15" customHeight="1">
      <c r="A82" s="150"/>
      <c r="B82" s="150"/>
      <c r="C82" s="411"/>
      <c r="D82" s="408"/>
      <c r="E82" s="408"/>
      <c r="F82" s="413"/>
      <c r="G82" s="408"/>
      <c r="H82" s="408"/>
      <c r="I82" s="408"/>
      <c r="J82" s="408"/>
      <c r="K82" s="408"/>
      <c r="L82" s="408"/>
      <c r="M82" s="408"/>
      <c r="N82" s="413"/>
      <c r="O82" s="408"/>
      <c r="P82" s="408"/>
      <c r="Q82" s="408"/>
      <c r="R82" s="408"/>
      <c r="S82" s="408"/>
      <c r="T82" s="408"/>
      <c r="U82" s="408"/>
      <c r="V82" s="408"/>
      <c r="W82" s="408"/>
      <c r="X82" s="408"/>
      <c r="Y82" s="408"/>
      <c r="Z82" s="408"/>
      <c r="AA82" s="408"/>
      <c r="AB82" s="511"/>
      <c r="AC82" s="511"/>
      <c r="AD82" s="511"/>
      <c r="AE82" s="511"/>
      <c r="AF82" s="511"/>
      <c r="AG82" s="511"/>
      <c r="AH82" s="511"/>
      <c r="AI82" s="511"/>
      <c r="AJ82" s="511"/>
      <c r="AK82" s="511"/>
      <c r="AL82" s="511"/>
      <c r="AM82" s="511"/>
      <c r="AN82" s="511"/>
      <c r="AO82" s="511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6"/>
      <c r="BN82" s="296"/>
      <c r="BO82" s="296"/>
      <c r="BP82" s="296"/>
      <c r="BQ82" s="296"/>
      <c r="BR82" s="296"/>
      <c r="BS82" s="296"/>
      <c r="BT82" s="296"/>
      <c r="BU82" s="296"/>
      <c r="BV82" s="296"/>
      <c r="BW82" s="296"/>
      <c r="BX82" s="296"/>
      <c r="BY82" s="296"/>
      <c r="BZ82" s="296"/>
      <c r="CA82" s="296"/>
      <c r="CB82" s="296"/>
      <c r="CC82" s="296"/>
      <c r="CD82" s="296"/>
      <c r="CE82" s="296"/>
      <c r="CF82" s="296"/>
      <c r="CG82" s="296"/>
      <c r="CH82" s="296"/>
      <c r="CI82" s="296"/>
      <c r="CJ82" s="296"/>
      <c r="CK82" s="296"/>
      <c r="CL82" s="296"/>
      <c r="CM82" s="296"/>
      <c r="CN82" s="296"/>
      <c r="CO82" s="296"/>
      <c r="CP82" s="296"/>
      <c r="CQ82" s="296"/>
      <c r="CR82" s="296"/>
      <c r="CS82" s="296"/>
      <c r="CT82" s="296"/>
      <c r="CU82" s="296"/>
      <c r="CV82" s="296"/>
      <c r="CW82" s="296"/>
      <c r="CX82" s="296"/>
      <c r="CY82" s="296"/>
      <c r="CZ82" s="296"/>
      <c r="DA82" s="296"/>
      <c r="DB82" s="296"/>
      <c r="DC82" s="296"/>
      <c r="DD82" s="296"/>
      <c r="DE82" s="296"/>
      <c r="DF82" s="296"/>
      <c r="DG82" s="296"/>
      <c r="DH82" s="296"/>
      <c r="DI82" s="296"/>
      <c r="DJ82" s="296"/>
      <c r="DK82" s="296"/>
      <c r="DL82" s="296"/>
      <c r="DM82" s="296"/>
      <c r="DN82" s="296"/>
      <c r="DO82" s="296"/>
      <c r="DP82" s="296"/>
      <c r="DQ82" s="296"/>
      <c r="DR82" s="296"/>
      <c r="DS82" s="296"/>
      <c r="DT82" s="296"/>
      <c r="DU82" s="296"/>
      <c r="DV82" s="296"/>
      <c r="DW82" s="296"/>
      <c r="DX82" s="296"/>
      <c r="DY82" s="296"/>
      <c r="DZ82" s="296"/>
      <c r="EA82" s="296"/>
      <c r="EB82" s="296"/>
      <c r="EC82" s="296"/>
      <c r="ED82" s="296"/>
      <c r="EE82" s="296"/>
      <c r="EF82" s="296"/>
      <c r="EG82" s="296"/>
      <c r="EH82" s="296"/>
      <c r="EI82" s="296"/>
      <c r="EJ82" s="296"/>
      <c r="EK82" s="296"/>
      <c r="EL82" s="296"/>
      <c r="EM82" s="296"/>
      <c r="EN82" s="296"/>
      <c r="EO82" s="296"/>
      <c r="EP82" s="296"/>
      <c r="EQ82" s="296"/>
      <c r="ER82" s="296"/>
      <c r="ES82" s="296"/>
      <c r="ET82" s="296"/>
      <c r="EU82" s="296"/>
      <c r="EV82" s="296"/>
      <c r="EW82" s="296"/>
      <c r="EX82" s="296"/>
      <c r="EY82" s="296"/>
      <c r="EZ82" s="296"/>
      <c r="FA82" s="296"/>
      <c r="FB82" s="296"/>
      <c r="FC82" s="296"/>
      <c r="FD82" s="296"/>
      <c r="FE82" s="297"/>
      <c r="FF82" s="296"/>
      <c r="FG82" s="296"/>
      <c r="FH82" s="296"/>
      <c r="FI82" s="296"/>
      <c r="FJ82" s="296"/>
      <c r="FK82" s="296"/>
      <c r="FL82" s="296"/>
      <c r="FM82" s="296"/>
      <c r="FN82" s="296"/>
      <c r="FO82" s="296"/>
      <c r="FP82" s="296"/>
      <c r="FQ82" s="296"/>
      <c r="FR82" s="296"/>
      <c r="FS82" s="296"/>
      <c r="FT82" s="296"/>
      <c r="FU82" s="296"/>
      <c r="FV82" s="296"/>
      <c r="FW82" s="296"/>
      <c r="FX82" s="296"/>
      <c r="FY82" s="296"/>
      <c r="FZ82" s="296"/>
      <c r="GA82" s="296"/>
      <c r="GB82" s="296"/>
      <c r="GC82" s="296"/>
      <c r="GD82" s="296"/>
      <c r="GE82" s="296"/>
      <c r="GF82" s="296"/>
      <c r="GG82" s="296"/>
      <c r="GH82" s="296"/>
      <c r="GI82" s="296"/>
      <c r="GJ82" s="296"/>
      <c r="GK82" s="296"/>
      <c r="GL82" s="296"/>
      <c r="GM82" s="296"/>
      <c r="GN82" s="296"/>
      <c r="GO82" s="296"/>
      <c r="GP82" s="296"/>
      <c r="GQ82" s="296"/>
      <c r="GR82" s="296"/>
      <c r="GS82" s="296"/>
      <c r="GT82" s="296"/>
      <c r="GU82" s="296"/>
      <c r="GV82" s="296"/>
      <c r="GW82" s="296"/>
      <c r="GX82" s="296"/>
      <c r="GY82" s="296"/>
      <c r="GZ82" s="296"/>
      <c r="HA82" s="296"/>
      <c r="HB82" s="296"/>
      <c r="HC82" s="296"/>
      <c r="HD82" s="296"/>
      <c r="HE82" s="296"/>
      <c r="HF82" s="296"/>
      <c r="HG82" s="296"/>
      <c r="HH82" s="296"/>
      <c r="HI82" s="296"/>
    </row>
    <row r="83" spans="1:217" ht="15" customHeight="1">
      <c r="A83" s="150"/>
      <c r="B83" s="150"/>
      <c r="C83" s="414"/>
      <c r="D83" s="408"/>
      <c r="E83" s="408"/>
      <c r="F83" s="408"/>
      <c r="G83" s="408"/>
      <c r="H83" s="408"/>
      <c r="I83" s="408"/>
      <c r="J83" s="408"/>
      <c r="K83" s="408"/>
      <c r="L83" s="408"/>
      <c r="M83" s="408"/>
      <c r="N83" s="413"/>
      <c r="O83" s="408"/>
      <c r="P83" s="408"/>
      <c r="Q83" s="408"/>
      <c r="R83" s="408"/>
      <c r="S83" s="408"/>
      <c r="T83" s="408"/>
      <c r="U83" s="408"/>
      <c r="V83" s="408"/>
      <c r="W83" s="408"/>
      <c r="X83" s="408"/>
      <c r="Y83" s="408"/>
      <c r="Z83" s="408"/>
      <c r="AA83" s="408"/>
      <c r="AB83" s="511"/>
      <c r="AC83" s="511"/>
      <c r="AD83" s="511"/>
      <c r="AE83" s="511"/>
      <c r="AF83" s="511"/>
      <c r="AG83" s="511"/>
      <c r="AH83" s="511"/>
      <c r="AI83" s="511"/>
      <c r="AJ83" s="511"/>
      <c r="AK83" s="511"/>
      <c r="AL83" s="511"/>
      <c r="AM83" s="511"/>
      <c r="AN83" s="511"/>
      <c r="AO83" s="511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6"/>
      <c r="BM83" s="296"/>
      <c r="BN83" s="296"/>
      <c r="BO83" s="296"/>
      <c r="BP83" s="296"/>
      <c r="BQ83" s="296"/>
      <c r="BR83" s="296"/>
      <c r="BS83" s="296"/>
      <c r="BT83" s="296"/>
      <c r="BU83" s="296"/>
      <c r="BV83" s="296"/>
      <c r="BW83" s="296"/>
      <c r="BX83" s="296"/>
      <c r="BY83" s="296"/>
      <c r="BZ83" s="296"/>
      <c r="CA83" s="296"/>
      <c r="CB83" s="296"/>
      <c r="CC83" s="296"/>
      <c r="CD83" s="296"/>
      <c r="CE83" s="296"/>
      <c r="CF83" s="296"/>
      <c r="CG83" s="296"/>
      <c r="CH83" s="296"/>
      <c r="CI83" s="296"/>
      <c r="CJ83" s="296"/>
      <c r="CK83" s="296"/>
      <c r="CL83" s="296"/>
      <c r="CM83" s="296"/>
      <c r="CN83" s="296"/>
      <c r="CO83" s="296"/>
      <c r="CP83" s="296"/>
      <c r="CQ83" s="296"/>
      <c r="CR83" s="296"/>
      <c r="CS83" s="296"/>
      <c r="CT83" s="296"/>
      <c r="CU83" s="296"/>
      <c r="CV83" s="296"/>
      <c r="CW83" s="296"/>
      <c r="CX83" s="296"/>
      <c r="CY83" s="296"/>
      <c r="CZ83" s="296"/>
      <c r="DA83" s="296"/>
      <c r="DB83" s="296"/>
      <c r="DC83" s="296"/>
      <c r="DD83" s="296"/>
      <c r="DE83" s="296"/>
      <c r="DF83" s="296"/>
      <c r="DG83" s="296"/>
      <c r="DH83" s="296"/>
      <c r="DI83" s="296"/>
      <c r="DJ83" s="296"/>
      <c r="DK83" s="296"/>
      <c r="DL83" s="296"/>
      <c r="DM83" s="296"/>
      <c r="DN83" s="296"/>
      <c r="DO83" s="296"/>
      <c r="DP83" s="296"/>
      <c r="DQ83" s="296"/>
      <c r="DR83" s="296"/>
      <c r="DS83" s="296"/>
      <c r="DT83" s="296"/>
      <c r="DU83" s="296"/>
      <c r="DV83" s="296"/>
      <c r="DW83" s="296"/>
      <c r="DX83" s="296"/>
      <c r="DY83" s="296"/>
      <c r="DZ83" s="296"/>
      <c r="EA83" s="296"/>
      <c r="EB83" s="296"/>
      <c r="EC83" s="296"/>
      <c r="ED83" s="296"/>
      <c r="EE83" s="296"/>
      <c r="EF83" s="296"/>
      <c r="EG83" s="296"/>
      <c r="EH83" s="296"/>
      <c r="EI83" s="296"/>
      <c r="EJ83" s="296"/>
      <c r="EK83" s="296"/>
      <c r="EL83" s="296"/>
      <c r="EM83" s="296"/>
      <c r="EN83" s="296"/>
      <c r="EO83" s="296"/>
      <c r="EP83" s="296"/>
      <c r="EQ83" s="296"/>
      <c r="ER83" s="296"/>
      <c r="ES83" s="296"/>
      <c r="ET83" s="296"/>
      <c r="EU83" s="296"/>
      <c r="EV83" s="296"/>
      <c r="EW83" s="296"/>
      <c r="EX83" s="296"/>
      <c r="EY83" s="296"/>
      <c r="EZ83" s="296"/>
      <c r="FA83" s="296"/>
      <c r="FB83" s="296"/>
      <c r="FC83" s="296"/>
      <c r="FD83" s="296"/>
      <c r="FE83" s="297"/>
      <c r="FF83" s="296"/>
      <c r="FG83" s="296"/>
      <c r="FH83" s="296"/>
      <c r="FI83" s="296"/>
      <c r="FJ83" s="296"/>
      <c r="FK83" s="296"/>
      <c r="FL83" s="296"/>
      <c r="FM83" s="296"/>
      <c r="FN83" s="296"/>
      <c r="FO83" s="296"/>
      <c r="FP83" s="296"/>
      <c r="FQ83" s="296"/>
      <c r="FR83" s="296"/>
      <c r="FS83" s="296"/>
      <c r="FT83" s="296"/>
      <c r="FU83" s="296"/>
      <c r="FV83" s="296"/>
      <c r="FW83" s="296"/>
      <c r="FX83" s="296"/>
      <c r="FY83" s="296"/>
      <c r="FZ83" s="296"/>
      <c r="GA83" s="296"/>
      <c r="GB83" s="296"/>
      <c r="GC83" s="296"/>
      <c r="GD83" s="296"/>
      <c r="GE83" s="296"/>
      <c r="GF83" s="296"/>
      <c r="GG83" s="296"/>
      <c r="GH83" s="296"/>
      <c r="GI83" s="296"/>
      <c r="GJ83" s="296"/>
      <c r="GK83" s="296"/>
      <c r="GL83" s="296"/>
      <c r="GM83" s="296"/>
      <c r="GN83" s="296"/>
      <c r="GO83" s="296"/>
      <c r="GP83" s="296"/>
      <c r="GQ83" s="296"/>
      <c r="GR83" s="296"/>
      <c r="GS83" s="296"/>
      <c r="GT83" s="296"/>
      <c r="GU83" s="296"/>
      <c r="GV83" s="296"/>
      <c r="GW83" s="296"/>
      <c r="GX83" s="296"/>
      <c r="GY83" s="296"/>
      <c r="GZ83" s="296"/>
      <c r="HA83" s="296"/>
      <c r="HB83" s="296"/>
      <c r="HC83" s="296"/>
      <c r="HD83" s="296"/>
      <c r="HE83" s="296"/>
      <c r="HF83" s="296"/>
      <c r="HG83" s="296"/>
      <c r="HH83" s="296"/>
      <c r="HI83" s="296"/>
    </row>
    <row r="84" spans="1:217" ht="15" customHeight="1">
      <c r="A84" s="150"/>
      <c r="B84" s="150"/>
      <c r="C84" s="391"/>
      <c r="D84" s="408"/>
      <c r="E84" s="408"/>
      <c r="F84" s="408"/>
      <c r="G84" s="408"/>
      <c r="H84" s="408"/>
      <c r="I84" s="408"/>
      <c r="J84" s="408"/>
      <c r="K84" s="408"/>
      <c r="L84" s="408"/>
      <c r="M84" s="408"/>
      <c r="N84" s="413"/>
      <c r="O84" s="408"/>
      <c r="P84" s="408"/>
      <c r="Q84" s="408"/>
      <c r="R84" s="408"/>
      <c r="S84" s="408"/>
      <c r="T84" s="408"/>
      <c r="U84" s="408"/>
      <c r="V84" s="408"/>
      <c r="W84" s="408"/>
      <c r="X84" s="408"/>
      <c r="Y84" s="408"/>
      <c r="Z84" s="408"/>
      <c r="AA84" s="408"/>
      <c r="AB84" s="511"/>
      <c r="AC84" s="511"/>
      <c r="AD84" s="511"/>
      <c r="AE84" s="511"/>
      <c r="AF84" s="511"/>
      <c r="AG84" s="511"/>
      <c r="AH84" s="511"/>
      <c r="AI84" s="511"/>
      <c r="AJ84" s="511"/>
      <c r="AK84" s="511"/>
      <c r="AL84" s="511"/>
      <c r="AM84" s="511"/>
      <c r="AN84" s="511"/>
      <c r="AO84" s="511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6"/>
      <c r="BN84" s="296"/>
      <c r="BO84" s="296"/>
      <c r="BP84" s="296"/>
      <c r="BQ84" s="296"/>
      <c r="BR84" s="296"/>
      <c r="BS84" s="296"/>
      <c r="BT84" s="296"/>
      <c r="BU84" s="296"/>
      <c r="BV84" s="296"/>
      <c r="BW84" s="296"/>
      <c r="BX84" s="296"/>
      <c r="BY84" s="296"/>
      <c r="BZ84" s="296"/>
      <c r="CA84" s="296"/>
      <c r="CB84" s="296"/>
      <c r="CC84" s="296"/>
      <c r="CD84" s="296"/>
      <c r="CE84" s="296"/>
      <c r="CF84" s="296"/>
      <c r="CG84" s="296"/>
      <c r="CH84" s="296"/>
      <c r="CI84" s="296"/>
      <c r="CJ84" s="296"/>
      <c r="CK84" s="296"/>
      <c r="CL84" s="296"/>
      <c r="CM84" s="296"/>
      <c r="CN84" s="296"/>
      <c r="CO84" s="296"/>
      <c r="CP84" s="296"/>
      <c r="CQ84" s="296"/>
      <c r="CR84" s="296"/>
      <c r="CS84" s="296"/>
      <c r="CT84" s="296"/>
      <c r="CU84" s="296"/>
      <c r="CV84" s="296"/>
      <c r="CW84" s="296"/>
      <c r="CX84" s="296"/>
      <c r="CY84" s="296"/>
      <c r="CZ84" s="296"/>
      <c r="DA84" s="296"/>
      <c r="DB84" s="296"/>
      <c r="DC84" s="296"/>
      <c r="DD84" s="296"/>
      <c r="DE84" s="296"/>
      <c r="DF84" s="296"/>
      <c r="DG84" s="296"/>
      <c r="DH84" s="296"/>
      <c r="DI84" s="296"/>
      <c r="DJ84" s="296"/>
      <c r="DK84" s="296"/>
      <c r="DL84" s="296"/>
      <c r="DM84" s="296"/>
      <c r="DN84" s="296"/>
      <c r="DO84" s="296"/>
      <c r="DP84" s="296"/>
      <c r="DQ84" s="296"/>
      <c r="DR84" s="296"/>
      <c r="DS84" s="296"/>
      <c r="DT84" s="296"/>
      <c r="DU84" s="296"/>
      <c r="DV84" s="296"/>
      <c r="DW84" s="296"/>
      <c r="DX84" s="296"/>
      <c r="DY84" s="296"/>
      <c r="DZ84" s="296"/>
      <c r="EA84" s="296"/>
      <c r="EB84" s="296"/>
      <c r="EC84" s="296"/>
      <c r="ED84" s="296"/>
      <c r="EE84" s="296"/>
      <c r="EF84" s="296"/>
      <c r="EG84" s="296"/>
      <c r="EH84" s="296"/>
      <c r="EI84" s="296"/>
      <c r="EJ84" s="296"/>
      <c r="EK84" s="296"/>
      <c r="EL84" s="296"/>
      <c r="EM84" s="296"/>
      <c r="EN84" s="296"/>
      <c r="EO84" s="296"/>
      <c r="EP84" s="296"/>
      <c r="EQ84" s="296"/>
      <c r="ER84" s="296"/>
      <c r="ES84" s="296"/>
      <c r="ET84" s="296"/>
      <c r="EU84" s="296"/>
      <c r="EV84" s="296"/>
      <c r="EW84" s="296"/>
      <c r="EX84" s="296"/>
      <c r="EY84" s="296"/>
      <c r="EZ84" s="296"/>
      <c r="FA84" s="296"/>
      <c r="FB84" s="296"/>
      <c r="FC84" s="296"/>
      <c r="FD84" s="296"/>
      <c r="FE84" s="297"/>
      <c r="FF84" s="296"/>
      <c r="FG84" s="296"/>
      <c r="FH84" s="296"/>
      <c r="FI84" s="296"/>
      <c r="FJ84" s="296"/>
      <c r="FK84" s="296"/>
      <c r="FL84" s="296"/>
      <c r="FM84" s="296"/>
      <c r="FN84" s="296"/>
      <c r="FO84" s="296"/>
      <c r="FP84" s="296"/>
      <c r="FQ84" s="296"/>
      <c r="FR84" s="296"/>
      <c r="FS84" s="296"/>
      <c r="FT84" s="296"/>
      <c r="FU84" s="296"/>
      <c r="FV84" s="296"/>
      <c r="FW84" s="296"/>
      <c r="FX84" s="296"/>
      <c r="FY84" s="296"/>
      <c r="FZ84" s="296"/>
      <c r="GA84" s="296"/>
      <c r="GB84" s="296"/>
      <c r="GC84" s="296"/>
      <c r="GD84" s="296"/>
      <c r="GE84" s="296"/>
      <c r="GF84" s="296"/>
      <c r="GG84" s="296"/>
      <c r="GH84" s="296"/>
      <c r="GI84" s="296"/>
      <c r="GJ84" s="296"/>
      <c r="GK84" s="296"/>
      <c r="GL84" s="296"/>
      <c r="GM84" s="296"/>
      <c r="GN84" s="296"/>
      <c r="GO84" s="296"/>
      <c r="GP84" s="296"/>
      <c r="GQ84" s="296"/>
      <c r="GR84" s="296"/>
      <c r="GS84" s="296"/>
      <c r="GT84" s="296"/>
      <c r="GU84" s="296"/>
      <c r="GV84" s="296"/>
      <c r="GW84" s="296"/>
      <c r="GX84" s="296"/>
      <c r="GY84" s="296"/>
      <c r="GZ84" s="296"/>
      <c r="HA84" s="296"/>
      <c r="HB84" s="296"/>
      <c r="HC84" s="296"/>
      <c r="HD84" s="296"/>
      <c r="HE84" s="296"/>
      <c r="HF84" s="296"/>
      <c r="HG84" s="296"/>
      <c r="HH84" s="296"/>
      <c r="HI84" s="296"/>
    </row>
    <row r="85" spans="1:217" ht="15" customHeight="1">
      <c r="A85" s="150"/>
      <c r="B85" s="150"/>
      <c r="C85" s="391"/>
      <c r="D85" s="408"/>
      <c r="E85" s="408"/>
      <c r="F85" s="408"/>
      <c r="G85" s="408"/>
      <c r="H85" s="408"/>
      <c r="I85" s="408"/>
      <c r="J85" s="408"/>
      <c r="K85" s="408"/>
      <c r="L85" s="408"/>
      <c r="M85" s="408"/>
      <c r="N85" s="413"/>
      <c r="O85" s="408"/>
      <c r="P85" s="408"/>
      <c r="Q85" s="408"/>
      <c r="R85" s="408"/>
      <c r="S85" s="408"/>
      <c r="T85" s="408"/>
      <c r="U85" s="408"/>
      <c r="V85" s="408"/>
      <c r="W85" s="408"/>
      <c r="X85" s="408"/>
      <c r="Y85" s="408"/>
      <c r="Z85" s="408"/>
      <c r="AA85" s="408"/>
      <c r="AB85" s="511"/>
      <c r="AC85" s="511"/>
      <c r="AD85" s="511"/>
      <c r="AE85" s="511"/>
      <c r="AF85" s="511"/>
      <c r="AG85" s="511"/>
      <c r="AH85" s="511"/>
      <c r="AI85" s="511"/>
      <c r="AJ85" s="511"/>
      <c r="AK85" s="511"/>
      <c r="AL85" s="511"/>
      <c r="AM85" s="511"/>
      <c r="AN85" s="511"/>
      <c r="AO85" s="511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6"/>
      <c r="BN85" s="296"/>
      <c r="BO85" s="296"/>
      <c r="BP85" s="296"/>
      <c r="BQ85" s="296"/>
      <c r="BR85" s="296"/>
      <c r="BS85" s="296"/>
      <c r="BT85" s="296"/>
      <c r="BU85" s="296"/>
      <c r="BV85" s="296"/>
      <c r="BW85" s="296"/>
      <c r="BX85" s="296"/>
      <c r="BY85" s="296"/>
      <c r="BZ85" s="296"/>
      <c r="CA85" s="296"/>
      <c r="CB85" s="296"/>
      <c r="CC85" s="296"/>
      <c r="CD85" s="296"/>
      <c r="CE85" s="296"/>
      <c r="CF85" s="296"/>
      <c r="CG85" s="296"/>
      <c r="CH85" s="296"/>
      <c r="CI85" s="296"/>
      <c r="CJ85" s="296"/>
      <c r="CK85" s="296"/>
      <c r="CL85" s="296"/>
      <c r="CM85" s="296"/>
      <c r="CN85" s="296"/>
      <c r="CO85" s="296"/>
      <c r="CP85" s="296"/>
      <c r="CQ85" s="296"/>
      <c r="CR85" s="296"/>
      <c r="CS85" s="296"/>
      <c r="CT85" s="296"/>
      <c r="CU85" s="296"/>
      <c r="CV85" s="296"/>
      <c r="CW85" s="296"/>
      <c r="CX85" s="296"/>
      <c r="CY85" s="296"/>
      <c r="CZ85" s="296"/>
      <c r="DA85" s="296"/>
      <c r="DB85" s="296"/>
      <c r="DC85" s="296"/>
      <c r="DD85" s="296"/>
      <c r="DE85" s="296"/>
      <c r="DF85" s="296"/>
      <c r="DG85" s="296"/>
      <c r="DH85" s="296"/>
      <c r="DI85" s="296"/>
      <c r="DJ85" s="296"/>
      <c r="DK85" s="296"/>
      <c r="DL85" s="296"/>
      <c r="DM85" s="296"/>
      <c r="DN85" s="296"/>
      <c r="DO85" s="296"/>
      <c r="DP85" s="296"/>
      <c r="DQ85" s="296"/>
      <c r="DR85" s="296"/>
      <c r="DS85" s="296"/>
      <c r="DT85" s="296"/>
      <c r="DU85" s="296"/>
      <c r="DV85" s="296"/>
      <c r="DW85" s="296"/>
      <c r="DX85" s="296"/>
      <c r="DY85" s="296"/>
      <c r="DZ85" s="296"/>
      <c r="EA85" s="296"/>
      <c r="EB85" s="296"/>
      <c r="EC85" s="296"/>
      <c r="ED85" s="296"/>
      <c r="EE85" s="296"/>
      <c r="EF85" s="296"/>
      <c r="EG85" s="296"/>
      <c r="EH85" s="296"/>
      <c r="EI85" s="296"/>
      <c r="EJ85" s="296"/>
      <c r="EK85" s="296"/>
      <c r="EL85" s="296"/>
      <c r="EM85" s="296"/>
      <c r="EN85" s="296"/>
      <c r="EO85" s="296"/>
      <c r="EP85" s="296"/>
      <c r="EQ85" s="296"/>
      <c r="ER85" s="296"/>
      <c r="ES85" s="296"/>
      <c r="ET85" s="296"/>
      <c r="EU85" s="296"/>
      <c r="EV85" s="296"/>
      <c r="EW85" s="296"/>
      <c r="EX85" s="296"/>
      <c r="EY85" s="296"/>
      <c r="EZ85" s="296"/>
      <c r="FA85" s="296"/>
      <c r="FB85" s="296"/>
      <c r="FC85" s="296"/>
      <c r="FD85" s="296"/>
      <c r="FE85" s="297"/>
      <c r="FF85" s="296"/>
      <c r="FG85" s="296"/>
      <c r="FH85" s="296"/>
      <c r="FI85" s="296"/>
      <c r="FJ85" s="296"/>
      <c r="FK85" s="296"/>
      <c r="FL85" s="296"/>
      <c r="FM85" s="296"/>
      <c r="FN85" s="296"/>
      <c r="FO85" s="296"/>
      <c r="FP85" s="296"/>
      <c r="FQ85" s="296"/>
      <c r="FR85" s="296"/>
      <c r="FS85" s="296"/>
      <c r="FT85" s="296"/>
      <c r="FU85" s="296"/>
      <c r="FV85" s="296"/>
      <c r="FW85" s="296"/>
      <c r="FX85" s="296"/>
      <c r="FY85" s="296"/>
      <c r="FZ85" s="296"/>
      <c r="GA85" s="296"/>
      <c r="GB85" s="296"/>
      <c r="GC85" s="296"/>
      <c r="GD85" s="296"/>
      <c r="GE85" s="296"/>
      <c r="GF85" s="296"/>
      <c r="GG85" s="296"/>
      <c r="GH85" s="296"/>
      <c r="GI85" s="296"/>
      <c r="GJ85" s="296"/>
      <c r="GK85" s="296"/>
      <c r="GL85" s="296"/>
      <c r="GM85" s="296"/>
      <c r="GN85" s="296"/>
      <c r="GO85" s="296"/>
      <c r="GP85" s="296"/>
      <c r="GQ85" s="296"/>
      <c r="GR85" s="296"/>
      <c r="GS85" s="296"/>
      <c r="GT85" s="296"/>
      <c r="GU85" s="296"/>
      <c r="GV85" s="296"/>
      <c r="GW85" s="296"/>
      <c r="GX85" s="296"/>
      <c r="GY85" s="296"/>
      <c r="GZ85" s="296"/>
      <c r="HA85" s="296"/>
      <c r="HB85" s="296"/>
      <c r="HC85" s="296"/>
      <c r="HD85" s="296"/>
      <c r="HE85" s="296"/>
      <c r="HF85" s="296"/>
      <c r="HG85" s="296"/>
      <c r="HH85" s="296"/>
      <c r="HI85" s="296"/>
    </row>
    <row r="86" spans="1:217" ht="15" customHeight="1">
      <c r="A86" s="150"/>
      <c r="B86" s="150"/>
      <c r="C86" s="391"/>
      <c r="D86" s="289"/>
      <c r="E86" s="289"/>
      <c r="F86" s="341"/>
      <c r="G86" s="289"/>
      <c r="H86" s="289"/>
      <c r="I86" s="289"/>
      <c r="J86" s="289"/>
      <c r="K86" s="289"/>
      <c r="L86" s="289"/>
      <c r="M86" s="289"/>
      <c r="N86" s="289"/>
      <c r="O86" s="289"/>
      <c r="P86" s="289"/>
      <c r="Q86" s="289"/>
      <c r="R86" s="289"/>
      <c r="S86" s="289"/>
      <c r="T86" s="289"/>
      <c r="U86" s="289"/>
      <c r="V86" s="289"/>
      <c r="W86" s="289"/>
      <c r="X86" s="289"/>
      <c r="Y86" s="289"/>
      <c r="Z86" s="289"/>
      <c r="AA86" s="289"/>
      <c r="AB86" s="511"/>
      <c r="AC86" s="511"/>
      <c r="AD86" s="511"/>
      <c r="AE86" s="511"/>
      <c r="AF86" s="511"/>
      <c r="AG86" s="511"/>
      <c r="AH86" s="511"/>
      <c r="AI86" s="511"/>
      <c r="AJ86" s="511"/>
      <c r="AK86" s="511"/>
      <c r="AL86" s="511"/>
      <c r="AM86" s="511"/>
      <c r="AN86" s="511"/>
      <c r="AO86" s="511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6"/>
      <c r="BM86" s="296"/>
      <c r="BN86" s="296"/>
      <c r="BO86" s="296"/>
      <c r="BP86" s="296"/>
      <c r="BQ86" s="296"/>
      <c r="BR86" s="296"/>
      <c r="BS86" s="296"/>
      <c r="BT86" s="296"/>
      <c r="BU86" s="296"/>
      <c r="BV86" s="296"/>
      <c r="BW86" s="296"/>
      <c r="BX86" s="296"/>
      <c r="BY86" s="296"/>
      <c r="BZ86" s="296"/>
      <c r="CA86" s="296"/>
      <c r="CB86" s="296"/>
      <c r="CC86" s="296"/>
      <c r="CD86" s="296"/>
      <c r="CE86" s="296"/>
      <c r="CF86" s="296"/>
      <c r="CG86" s="296"/>
      <c r="CH86" s="296"/>
      <c r="CI86" s="296"/>
      <c r="CJ86" s="296"/>
      <c r="CK86" s="296"/>
      <c r="CL86" s="296"/>
      <c r="CM86" s="296"/>
      <c r="CN86" s="296"/>
      <c r="CO86" s="296"/>
      <c r="CP86" s="296"/>
      <c r="CQ86" s="296"/>
      <c r="CR86" s="296"/>
      <c r="CS86" s="296"/>
      <c r="CT86" s="296"/>
      <c r="CU86" s="296"/>
      <c r="CV86" s="296"/>
      <c r="CW86" s="296"/>
      <c r="CX86" s="296"/>
      <c r="CY86" s="296"/>
      <c r="CZ86" s="296"/>
      <c r="DA86" s="296"/>
      <c r="DB86" s="296"/>
      <c r="DC86" s="296"/>
      <c r="DD86" s="296"/>
      <c r="DE86" s="296"/>
      <c r="DF86" s="296"/>
      <c r="DG86" s="296"/>
      <c r="DH86" s="296"/>
      <c r="DI86" s="296"/>
      <c r="DJ86" s="296"/>
      <c r="DK86" s="296"/>
      <c r="DL86" s="296"/>
      <c r="DM86" s="296"/>
      <c r="DN86" s="296"/>
      <c r="DO86" s="296"/>
      <c r="DP86" s="296"/>
      <c r="DQ86" s="296"/>
      <c r="DR86" s="296"/>
      <c r="DS86" s="296"/>
      <c r="DT86" s="296"/>
      <c r="DU86" s="296"/>
      <c r="DV86" s="296"/>
      <c r="DW86" s="296"/>
      <c r="DX86" s="296"/>
      <c r="DY86" s="296"/>
      <c r="DZ86" s="296"/>
      <c r="EA86" s="296"/>
      <c r="EB86" s="296"/>
      <c r="EC86" s="296"/>
      <c r="ED86" s="296"/>
      <c r="EE86" s="296"/>
      <c r="EF86" s="296"/>
      <c r="EG86" s="296"/>
      <c r="EH86" s="296"/>
      <c r="EI86" s="296"/>
      <c r="EJ86" s="296"/>
      <c r="EK86" s="296"/>
      <c r="EL86" s="296"/>
      <c r="EM86" s="296"/>
      <c r="EN86" s="296"/>
      <c r="EO86" s="296"/>
      <c r="EP86" s="296"/>
      <c r="EQ86" s="296"/>
      <c r="ER86" s="296"/>
      <c r="ES86" s="296"/>
      <c r="ET86" s="296"/>
      <c r="EU86" s="296"/>
      <c r="EV86" s="296"/>
      <c r="EW86" s="296"/>
      <c r="EX86" s="296"/>
      <c r="EY86" s="296"/>
      <c r="EZ86" s="296"/>
      <c r="FA86" s="296"/>
      <c r="FB86" s="296"/>
      <c r="FC86" s="296"/>
      <c r="FD86" s="296"/>
      <c r="FE86" s="297"/>
      <c r="FF86" s="296"/>
      <c r="FG86" s="296"/>
      <c r="FH86" s="296"/>
      <c r="FI86" s="296"/>
      <c r="FJ86" s="296"/>
      <c r="FK86" s="296"/>
      <c r="FL86" s="296"/>
      <c r="FM86" s="296"/>
      <c r="FN86" s="296"/>
      <c r="FO86" s="296"/>
      <c r="FP86" s="296"/>
      <c r="FQ86" s="296"/>
      <c r="FR86" s="296"/>
      <c r="FS86" s="296"/>
      <c r="FT86" s="296"/>
      <c r="FU86" s="296"/>
      <c r="FV86" s="296"/>
      <c r="FW86" s="296"/>
      <c r="FX86" s="296"/>
      <c r="FY86" s="296"/>
      <c r="FZ86" s="296"/>
      <c r="GA86" s="296"/>
      <c r="GB86" s="296"/>
      <c r="GC86" s="296"/>
      <c r="GD86" s="296"/>
      <c r="GE86" s="296"/>
      <c r="GF86" s="296"/>
      <c r="GG86" s="296"/>
      <c r="GH86" s="296"/>
      <c r="GI86" s="296"/>
      <c r="GJ86" s="296"/>
      <c r="GK86" s="296"/>
      <c r="GL86" s="296"/>
      <c r="GM86" s="296"/>
      <c r="GN86" s="296"/>
      <c r="GO86" s="296"/>
      <c r="GP86" s="296"/>
      <c r="GQ86" s="296"/>
      <c r="GR86" s="296"/>
      <c r="GS86" s="296"/>
      <c r="GT86" s="296"/>
      <c r="GU86" s="296"/>
      <c r="GV86" s="296"/>
      <c r="GW86" s="296"/>
      <c r="GX86" s="296"/>
      <c r="GY86" s="296"/>
      <c r="GZ86" s="296"/>
      <c r="HA86" s="296"/>
      <c r="HB86" s="296"/>
      <c r="HC86" s="296"/>
      <c r="HD86" s="296"/>
      <c r="HE86" s="296"/>
      <c r="HF86" s="296"/>
      <c r="HG86" s="296"/>
      <c r="HH86" s="296"/>
      <c r="HI86" s="296"/>
    </row>
    <row r="87" spans="1:217" ht="15" customHeight="1">
      <c r="A87" s="150"/>
      <c r="B87" s="150"/>
      <c r="C87" s="391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89"/>
      <c r="P87" s="289"/>
      <c r="Q87" s="289"/>
      <c r="R87" s="289"/>
      <c r="S87" s="289"/>
      <c r="T87" s="289"/>
      <c r="U87" s="289"/>
      <c r="V87" s="289"/>
      <c r="W87" s="289"/>
      <c r="X87" s="289"/>
      <c r="Y87" s="289"/>
      <c r="Z87" s="289"/>
      <c r="AA87" s="289"/>
      <c r="AB87" s="511"/>
      <c r="AC87" s="511"/>
      <c r="AD87" s="511"/>
      <c r="AE87" s="511"/>
      <c r="AF87" s="511"/>
      <c r="AG87" s="511"/>
      <c r="AH87" s="511"/>
      <c r="AI87" s="511"/>
      <c r="AJ87" s="511"/>
      <c r="AK87" s="511"/>
      <c r="AL87" s="511"/>
      <c r="AM87" s="511"/>
      <c r="AN87" s="511"/>
      <c r="AO87" s="511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6"/>
      <c r="BM87" s="296"/>
      <c r="BN87" s="296"/>
      <c r="BO87" s="296"/>
      <c r="BP87" s="296"/>
      <c r="BQ87" s="296"/>
      <c r="BR87" s="296"/>
      <c r="BS87" s="296"/>
      <c r="BT87" s="296"/>
      <c r="BU87" s="296"/>
      <c r="BV87" s="296"/>
      <c r="BW87" s="296"/>
      <c r="BX87" s="296"/>
      <c r="BY87" s="296"/>
      <c r="BZ87" s="296"/>
      <c r="CA87" s="296"/>
      <c r="CB87" s="296"/>
      <c r="CC87" s="296"/>
      <c r="CD87" s="296"/>
      <c r="CE87" s="296"/>
      <c r="CF87" s="296"/>
      <c r="CG87" s="296"/>
      <c r="CH87" s="296"/>
      <c r="CI87" s="296"/>
      <c r="CJ87" s="296"/>
      <c r="CK87" s="296"/>
      <c r="CL87" s="296"/>
      <c r="CM87" s="296"/>
      <c r="CN87" s="296"/>
      <c r="CO87" s="296"/>
      <c r="CP87" s="296"/>
      <c r="CQ87" s="296"/>
      <c r="CR87" s="296"/>
      <c r="CS87" s="296"/>
      <c r="CT87" s="296"/>
      <c r="CU87" s="296"/>
      <c r="CV87" s="296"/>
      <c r="CW87" s="296"/>
      <c r="CX87" s="296"/>
      <c r="CY87" s="296"/>
      <c r="CZ87" s="296"/>
      <c r="DA87" s="296"/>
      <c r="DB87" s="296"/>
      <c r="DC87" s="296"/>
      <c r="DD87" s="296"/>
      <c r="DE87" s="296"/>
      <c r="DF87" s="296"/>
      <c r="DG87" s="296"/>
      <c r="DH87" s="296"/>
      <c r="DI87" s="296"/>
      <c r="DJ87" s="296"/>
      <c r="DK87" s="296"/>
      <c r="DL87" s="296"/>
      <c r="DM87" s="296"/>
      <c r="DN87" s="296"/>
      <c r="DO87" s="296"/>
      <c r="DP87" s="296"/>
      <c r="DQ87" s="296"/>
      <c r="DR87" s="296"/>
      <c r="DS87" s="296"/>
      <c r="DT87" s="296"/>
      <c r="DU87" s="296"/>
      <c r="DV87" s="296"/>
      <c r="DW87" s="296"/>
      <c r="DX87" s="296"/>
      <c r="DY87" s="296"/>
      <c r="DZ87" s="296"/>
      <c r="EA87" s="296"/>
      <c r="EB87" s="296"/>
      <c r="EC87" s="296"/>
      <c r="ED87" s="296"/>
      <c r="EE87" s="296"/>
      <c r="EF87" s="296"/>
      <c r="EG87" s="296"/>
      <c r="EH87" s="296"/>
      <c r="EI87" s="296"/>
      <c r="EJ87" s="296"/>
      <c r="EK87" s="296"/>
      <c r="EL87" s="296"/>
      <c r="EM87" s="296"/>
      <c r="EN87" s="296"/>
      <c r="EO87" s="296"/>
      <c r="EP87" s="296"/>
      <c r="EQ87" s="296"/>
      <c r="ER87" s="296"/>
      <c r="ES87" s="296"/>
      <c r="ET87" s="296"/>
      <c r="EU87" s="296"/>
      <c r="EV87" s="296"/>
      <c r="EW87" s="296"/>
      <c r="EX87" s="296"/>
      <c r="EY87" s="296"/>
      <c r="EZ87" s="296"/>
      <c r="FA87" s="296"/>
      <c r="FB87" s="296"/>
      <c r="FC87" s="296"/>
      <c r="FD87" s="296"/>
      <c r="FE87" s="297"/>
      <c r="FF87" s="296"/>
      <c r="FG87" s="296"/>
      <c r="FH87" s="296"/>
      <c r="FI87" s="296"/>
      <c r="FJ87" s="296"/>
      <c r="FK87" s="296"/>
      <c r="FL87" s="296"/>
      <c r="FM87" s="296"/>
      <c r="FN87" s="296"/>
      <c r="FO87" s="296"/>
      <c r="FP87" s="296"/>
      <c r="FQ87" s="296"/>
      <c r="FR87" s="296"/>
      <c r="FS87" s="296"/>
      <c r="FT87" s="296"/>
      <c r="FU87" s="296"/>
      <c r="FV87" s="296"/>
      <c r="FW87" s="296"/>
      <c r="FX87" s="296"/>
      <c r="FY87" s="296"/>
      <c r="FZ87" s="296"/>
      <c r="GA87" s="296"/>
      <c r="GB87" s="296"/>
      <c r="GC87" s="296"/>
      <c r="GD87" s="296"/>
      <c r="GE87" s="296"/>
      <c r="GF87" s="296"/>
      <c r="GG87" s="296"/>
      <c r="GH87" s="296"/>
      <c r="GI87" s="296"/>
      <c r="GJ87" s="296"/>
      <c r="GK87" s="296"/>
      <c r="GL87" s="296"/>
      <c r="GM87" s="296"/>
      <c r="GN87" s="296"/>
      <c r="GO87" s="296"/>
      <c r="GP87" s="296"/>
      <c r="GQ87" s="296"/>
      <c r="GR87" s="296"/>
      <c r="GS87" s="296"/>
      <c r="GT87" s="296"/>
      <c r="GU87" s="296"/>
      <c r="GV87" s="296"/>
      <c r="GW87" s="296"/>
      <c r="GX87" s="296"/>
      <c r="GY87" s="296"/>
      <c r="GZ87" s="296"/>
      <c r="HA87" s="296"/>
      <c r="HB87" s="296"/>
      <c r="HC87" s="296"/>
      <c r="HD87" s="296"/>
      <c r="HE87" s="296"/>
      <c r="HF87" s="296"/>
      <c r="HG87" s="296"/>
      <c r="HH87" s="296"/>
      <c r="HI87" s="296"/>
    </row>
    <row r="88" spans="1:217" ht="15" customHeight="1">
      <c r="A88" s="150"/>
      <c r="B88" s="150"/>
      <c r="C88" s="391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289"/>
      <c r="P88" s="289"/>
      <c r="Q88" s="289"/>
      <c r="R88" s="289"/>
      <c r="S88" s="289"/>
      <c r="T88" s="289"/>
      <c r="U88" s="289"/>
      <c r="V88" s="289"/>
      <c r="W88" s="289"/>
      <c r="X88" s="289"/>
      <c r="Y88" s="289"/>
      <c r="Z88" s="289"/>
      <c r="AA88" s="289"/>
      <c r="AB88" s="511"/>
      <c r="AC88" s="511"/>
      <c r="AD88" s="511"/>
      <c r="AE88" s="511"/>
      <c r="AF88" s="511"/>
      <c r="AG88" s="511"/>
      <c r="AH88" s="511"/>
      <c r="AI88" s="511"/>
      <c r="AJ88" s="511"/>
      <c r="AK88" s="511"/>
      <c r="AL88" s="511"/>
      <c r="AM88" s="511"/>
      <c r="AN88" s="511"/>
      <c r="AO88" s="511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6"/>
      <c r="BN88" s="296"/>
      <c r="BO88" s="296"/>
      <c r="BP88" s="296"/>
      <c r="BQ88" s="296"/>
      <c r="BR88" s="296"/>
      <c r="BS88" s="296"/>
      <c r="BT88" s="296"/>
      <c r="BU88" s="296"/>
      <c r="BV88" s="296"/>
      <c r="BW88" s="296"/>
      <c r="BX88" s="296"/>
      <c r="BY88" s="296"/>
      <c r="BZ88" s="296"/>
      <c r="CA88" s="296"/>
      <c r="CB88" s="296"/>
      <c r="CC88" s="296"/>
      <c r="CD88" s="296"/>
      <c r="CE88" s="296"/>
      <c r="CF88" s="296"/>
      <c r="CG88" s="296"/>
      <c r="CH88" s="296"/>
      <c r="CI88" s="296"/>
      <c r="CJ88" s="296"/>
      <c r="CK88" s="296"/>
      <c r="CL88" s="296"/>
      <c r="CM88" s="296"/>
      <c r="CN88" s="296"/>
      <c r="CO88" s="296"/>
      <c r="CP88" s="296"/>
      <c r="CQ88" s="296"/>
      <c r="CR88" s="296"/>
      <c r="CS88" s="296"/>
      <c r="CT88" s="296"/>
      <c r="CU88" s="296"/>
      <c r="CV88" s="296"/>
      <c r="CW88" s="296"/>
      <c r="CX88" s="296"/>
      <c r="CY88" s="296"/>
      <c r="CZ88" s="296"/>
      <c r="DA88" s="296"/>
      <c r="DB88" s="296"/>
      <c r="DC88" s="296"/>
      <c r="DD88" s="296"/>
      <c r="DE88" s="296"/>
      <c r="DF88" s="296"/>
      <c r="DG88" s="296"/>
      <c r="DH88" s="296"/>
      <c r="DI88" s="296"/>
      <c r="DJ88" s="296"/>
      <c r="DK88" s="296"/>
      <c r="DL88" s="296"/>
      <c r="DM88" s="296"/>
      <c r="DN88" s="296"/>
      <c r="DO88" s="296"/>
      <c r="DP88" s="296"/>
      <c r="DQ88" s="296"/>
      <c r="DR88" s="296"/>
      <c r="DS88" s="296"/>
      <c r="DT88" s="296"/>
      <c r="DU88" s="296"/>
      <c r="DV88" s="296"/>
      <c r="DW88" s="296"/>
      <c r="DX88" s="296"/>
      <c r="DY88" s="296"/>
      <c r="DZ88" s="296"/>
      <c r="EA88" s="296"/>
      <c r="EB88" s="296"/>
      <c r="EC88" s="296"/>
      <c r="ED88" s="296"/>
      <c r="EE88" s="296"/>
      <c r="EF88" s="296"/>
      <c r="EG88" s="296"/>
      <c r="EH88" s="296"/>
      <c r="EI88" s="296"/>
      <c r="EJ88" s="296"/>
      <c r="EK88" s="296"/>
      <c r="EL88" s="296"/>
      <c r="EM88" s="296"/>
      <c r="EN88" s="296"/>
      <c r="EO88" s="296"/>
      <c r="EP88" s="296"/>
      <c r="EQ88" s="296"/>
      <c r="ER88" s="296"/>
      <c r="ES88" s="296"/>
      <c r="ET88" s="296"/>
      <c r="EU88" s="296"/>
      <c r="EV88" s="296"/>
      <c r="EW88" s="296"/>
      <c r="EX88" s="296"/>
      <c r="EY88" s="296"/>
      <c r="EZ88" s="296"/>
      <c r="FA88" s="296"/>
      <c r="FB88" s="296"/>
      <c r="FC88" s="296"/>
      <c r="FD88" s="296"/>
      <c r="FE88" s="297"/>
      <c r="FF88" s="296"/>
      <c r="FG88" s="296"/>
      <c r="FH88" s="296"/>
      <c r="FI88" s="296"/>
      <c r="FJ88" s="296"/>
      <c r="FK88" s="296"/>
      <c r="FL88" s="296"/>
      <c r="FM88" s="296"/>
      <c r="FN88" s="296"/>
      <c r="FO88" s="296"/>
      <c r="FP88" s="296"/>
      <c r="FQ88" s="296"/>
      <c r="FR88" s="296"/>
      <c r="FS88" s="296"/>
      <c r="FT88" s="296"/>
      <c r="FU88" s="296"/>
      <c r="FV88" s="296"/>
      <c r="FW88" s="296"/>
      <c r="FX88" s="296"/>
      <c r="FY88" s="296"/>
      <c r="FZ88" s="296"/>
      <c r="GA88" s="296"/>
      <c r="GB88" s="296"/>
      <c r="GC88" s="296"/>
      <c r="GD88" s="296"/>
      <c r="GE88" s="296"/>
      <c r="GF88" s="296"/>
      <c r="GG88" s="296"/>
      <c r="GH88" s="296"/>
      <c r="GI88" s="296"/>
      <c r="GJ88" s="296"/>
      <c r="GK88" s="296"/>
      <c r="GL88" s="296"/>
      <c r="GM88" s="296"/>
      <c r="GN88" s="296"/>
      <c r="GO88" s="296"/>
      <c r="GP88" s="296"/>
      <c r="GQ88" s="296"/>
      <c r="GR88" s="296"/>
      <c r="GS88" s="296"/>
      <c r="GT88" s="296"/>
      <c r="GU88" s="296"/>
      <c r="GV88" s="296"/>
      <c r="GW88" s="296"/>
      <c r="GX88" s="296"/>
      <c r="GY88" s="296"/>
      <c r="GZ88" s="296"/>
      <c r="HA88" s="296"/>
      <c r="HB88" s="296"/>
      <c r="HC88" s="296"/>
      <c r="HD88" s="296"/>
      <c r="HE88" s="296"/>
      <c r="HF88" s="296"/>
      <c r="HG88" s="296"/>
      <c r="HH88" s="296"/>
      <c r="HI88" s="296"/>
    </row>
    <row r="89" spans="1:217" ht="15" customHeight="1">
      <c r="A89" s="150"/>
      <c r="B89" s="150"/>
      <c r="C89" s="391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  <c r="P89" s="289"/>
      <c r="Q89" s="289"/>
      <c r="R89" s="289"/>
      <c r="S89" s="289"/>
      <c r="T89" s="289"/>
      <c r="U89" s="289"/>
      <c r="V89" s="289"/>
      <c r="W89" s="289"/>
      <c r="X89" s="289"/>
      <c r="Y89" s="289"/>
      <c r="Z89" s="289"/>
      <c r="AA89" s="289"/>
      <c r="AB89" s="511"/>
      <c r="AC89" s="511"/>
      <c r="AD89" s="511"/>
      <c r="AE89" s="511"/>
      <c r="AF89" s="511"/>
      <c r="AG89" s="511"/>
      <c r="AH89" s="511"/>
      <c r="AI89" s="511"/>
      <c r="AJ89" s="511"/>
      <c r="AK89" s="511"/>
      <c r="AL89" s="511"/>
      <c r="AM89" s="511"/>
      <c r="AN89" s="511"/>
      <c r="AO89" s="511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6"/>
      <c r="BN89" s="296"/>
      <c r="BO89" s="296"/>
      <c r="BP89" s="296"/>
      <c r="BQ89" s="296"/>
      <c r="BR89" s="296"/>
      <c r="BS89" s="296"/>
      <c r="BT89" s="296"/>
      <c r="BU89" s="296"/>
      <c r="BV89" s="296"/>
      <c r="BW89" s="296"/>
      <c r="BX89" s="296"/>
      <c r="BY89" s="296"/>
      <c r="BZ89" s="296"/>
      <c r="CA89" s="296"/>
      <c r="CB89" s="296"/>
      <c r="CC89" s="296"/>
      <c r="CD89" s="296"/>
      <c r="CE89" s="296"/>
      <c r="CF89" s="296"/>
      <c r="CG89" s="296"/>
      <c r="CH89" s="296"/>
      <c r="CI89" s="296"/>
      <c r="CJ89" s="296"/>
      <c r="CK89" s="296"/>
      <c r="CL89" s="296"/>
      <c r="CM89" s="296"/>
      <c r="CN89" s="296"/>
      <c r="CO89" s="296"/>
      <c r="CP89" s="296"/>
      <c r="CQ89" s="296"/>
      <c r="CR89" s="296"/>
      <c r="CS89" s="296"/>
      <c r="CT89" s="296"/>
      <c r="CU89" s="296"/>
      <c r="CV89" s="296"/>
      <c r="CW89" s="296"/>
      <c r="CX89" s="296"/>
      <c r="CY89" s="296"/>
      <c r="CZ89" s="296"/>
      <c r="DA89" s="296"/>
      <c r="DB89" s="296"/>
      <c r="DC89" s="296"/>
      <c r="DD89" s="296"/>
      <c r="DE89" s="296"/>
      <c r="DF89" s="296"/>
      <c r="DG89" s="296"/>
      <c r="DH89" s="296"/>
      <c r="DI89" s="296"/>
      <c r="DJ89" s="296"/>
      <c r="DK89" s="296"/>
      <c r="DL89" s="296"/>
      <c r="DM89" s="296"/>
      <c r="DN89" s="296"/>
      <c r="DO89" s="296"/>
      <c r="DP89" s="296"/>
      <c r="DQ89" s="296"/>
      <c r="DR89" s="296"/>
      <c r="DS89" s="296"/>
      <c r="DT89" s="296"/>
      <c r="DU89" s="296"/>
      <c r="DV89" s="296"/>
      <c r="DW89" s="296"/>
      <c r="DX89" s="296"/>
      <c r="DY89" s="296"/>
      <c r="DZ89" s="296"/>
      <c r="EA89" s="296"/>
      <c r="EB89" s="296"/>
      <c r="EC89" s="296"/>
      <c r="ED89" s="296"/>
      <c r="EE89" s="296"/>
      <c r="EF89" s="296"/>
      <c r="EG89" s="296"/>
      <c r="EH89" s="296"/>
      <c r="EI89" s="296"/>
      <c r="EJ89" s="296"/>
      <c r="EK89" s="296"/>
      <c r="EL89" s="296"/>
      <c r="EM89" s="296"/>
      <c r="EN89" s="296"/>
      <c r="EO89" s="296"/>
      <c r="EP89" s="296"/>
      <c r="EQ89" s="296"/>
      <c r="ER89" s="296"/>
      <c r="ES89" s="296"/>
      <c r="ET89" s="296"/>
      <c r="EU89" s="296"/>
      <c r="EV89" s="296"/>
      <c r="EW89" s="296"/>
      <c r="EX89" s="296"/>
      <c r="EY89" s="296"/>
      <c r="EZ89" s="296"/>
      <c r="FA89" s="296"/>
      <c r="FB89" s="296"/>
      <c r="FC89" s="296"/>
      <c r="FD89" s="296"/>
      <c r="FE89" s="297"/>
      <c r="FF89" s="296"/>
      <c r="FG89" s="296"/>
      <c r="FH89" s="296"/>
      <c r="FI89" s="296"/>
      <c r="FJ89" s="296"/>
      <c r="FK89" s="296"/>
      <c r="FL89" s="296"/>
      <c r="FM89" s="296"/>
      <c r="FN89" s="296"/>
      <c r="FO89" s="296"/>
      <c r="FP89" s="296"/>
      <c r="FQ89" s="296"/>
      <c r="FR89" s="296"/>
      <c r="FS89" s="296"/>
      <c r="FT89" s="296"/>
      <c r="FU89" s="296"/>
      <c r="FV89" s="296"/>
      <c r="FW89" s="296"/>
      <c r="FX89" s="296"/>
      <c r="FY89" s="296"/>
      <c r="FZ89" s="296"/>
      <c r="GA89" s="296"/>
      <c r="GB89" s="296"/>
      <c r="GC89" s="296"/>
      <c r="GD89" s="296"/>
      <c r="GE89" s="296"/>
      <c r="GF89" s="296"/>
      <c r="GG89" s="296"/>
      <c r="GH89" s="296"/>
      <c r="GI89" s="296"/>
      <c r="GJ89" s="296"/>
      <c r="GK89" s="296"/>
      <c r="GL89" s="296"/>
      <c r="GM89" s="296"/>
      <c r="GN89" s="296"/>
      <c r="GO89" s="296"/>
      <c r="GP89" s="296"/>
      <c r="GQ89" s="296"/>
      <c r="GR89" s="296"/>
      <c r="GS89" s="296"/>
      <c r="GT89" s="296"/>
      <c r="GU89" s="296"/>
      <c r="GV89" s="296"/>
      <c r="GW89" s="296"/>
      <c r="GX89" s="296"/>
      <c r="GY89" s="296"/>
      <c r="GZ89" s="296"/>
      <c r="HA89" s="296"/>
      <c r="HB89" s="296"/>
      <c r="HC89" s="296"/>
      <c r="HD89" s="296"/>
      <c r="HE89" s="296"/>
      <c r="HF89" s="296"/>
      <c r="HG89" s="296"/>
      <c r="HH89" s="296"/>
      <c r="HI89" s="296"/>
    </row>
    <row r="90" spans="1:217" ht="15" customHeight="1">
      <c r="A90" s="150"/>
      <c r="B90" s="150"/>
      <c r="C90" s="391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89"/>
      <c r="O90" s="289"/>
      <c r="P90" s="289"/>
      <c r="Q90" s="289"/>
      <c r="R90" s="289"/>
      <c r="S90" s="289"/>
      <c r="T90" s="289"/>
      <c r="U90" s="289"/>
      <c r="V90" s="289"/>
      <c r="W90" s="289"/>
      <c r="X90" s="289"/>
      <c r="Y90" s="289"/>
      <c r="Z90" s="289"/>
      <c r="AA90" s="289"/>
      <c r="AB90" s="511"/>
      <c r="AC90" s="511"/>
      <c r="AD90" s="511"/>
      <c r="AE90" s="511"/>
      <c r="AF90" s="511"/>
      <c r="AG90" s="511"/>
      <c r="AH90" s="511"/>
      <c r="AI90" s="511"/>
      <c r="AJ90" s="511"/>
      <c r="AK90" s="511"/>
      <c r="AL90" s="511"/>
      <c r="AM90" s="511"/>
      <c r="AN90" s="511"/>
      <c r="AO90" s="511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6"/>
      <c r="BN90" s="296"/>
      <c r="BO90" s="296"/>
      <c r="BP90" s="296"/>
      <c r="BQ90" s="296"/>
      <c r="BR90" s="296"/>
      <c r="BS90" s="296"/>
      <c r="BT90" s="296"/>
      <c r="BU90" s="296"/>
      <c r="BV90" s="296"/>
      <c r="BW90" s="296"/>
      <c r="BX90" s="296"/>
      <c r="BY90" s="296"/>
      <c r="BZ90" s="296"/>
      <c r="CA90" s="296"/>
      <c r="CB90" s="296"/>
      <c r="CC90" s="296"/>
      <c r="CD90" s="296"/>
      <c r="CE90" s="296"/>
      <c r="CF90" s="296"/>
      <c r="CG90" s="296"/>
      <c r="CH90" s="296"/>
      <c r="CI90" s="296"/>
      <c r="CJ90" s="296"/>
      <c r="CK90" s="296"/>
      <c r="CL90" s="296"/>
      <c r="CM90" s="296"/>
      <c r="CN90" s="296"/>
      <c r="CO90" s="296"/>
      <c r="CP90" s="296"/>
      <c r="CQ90" s="296"/>
      <c r="CR90" s="296"/>
      <c r="CS90" s="296"/>
      <c r="CT90" s="296"/>
      <c r="CU90" s="296"/>
      <c r="CV90" s="296"/>
      <c r="CW90" s="296"/>
      <c r="CX90" s="296"/>
      <c r="CY90" s="296"/>
      <c r="CZ90" s="296"/>
      <c r="DA90" s="296"/>
      <c r="DB90" s="296"/>
      <c r="DC90" s="296"/>
      <c r="DD90" s="296"/>
      <c r="DE90" s="296"/>
      <c r="DF90" s="296"/>
      <c r="DG90" s="296"/>
      <c r="DH90" s="296"/>
      <c r="DI90" s="296"/>
      <c r="DJ90" s="296"/>
      <c r="DK90" s="296"/>
      <c r="DL90" s="296"/>
      <c r="DM90" s="296"/>
      <c r="DN90" s="296"/>
      <c r="DO90" s="296"/>
      <c r="DP90" s="296"/>
      <c r="DQ90" s="296"/>
      <c r="DR90" s="296"/>
      <c r="DS90" s="296"/>
      <c r="DT90" s="296"/>
      <c r="DU90" s="296"/>
      <c r="DV90" s="296"/>
      <c r="DW90" s="296"/>
      <c r="DX90" s="296"/>
      <c r="DY90" s="296"/>
      <c r="DZ90" s="296"/>
      <c r="EA90" s="296"/>
      <c r="EB90" s="296"/>
      <c r="EC90" s="296"/>
      <c r="ED90" s="296"/>
      <c r="EE90" s="296"/>
      <c r="EF90" s="296"/>
      <c r="EG90" s="296"/>
      <c r="EH90" s="296"/>
      <c r="EI90" s="296"/>
      <c r="EJ90" s="296"/>
      <c r="EK90" s="296"/>
      <c r="EL90" s="296"/>
      <c r="EM90" s="296"/>
      <c r="EN90" s="296"/>
      <c r="EO90" s="296"/>
      <c r="EP90" s="296"/>
      <c r="EQ90" s="296"/>
      <c r="ER90" s="296"/>
      <c r="ES90" s="296"/>
      <c r="ET90" s="296"/>
      <c r="EU90" s="296"/>
      <c r="EV90" s="296"/>
      <c r="EW90" s="296"/>
      <c r="EX90" s="296"/>
      <c r="EY90" s="296"/>
      <c r="EZ90" s="296"/>
      <c r="FA90" s="296"/>
      <c r="FB90" s="296"/>
      <c r="FC90" s="296"/>
      <c r="FD90" s="296"/>
      <c r="FE90" s="297"/>
      <c r="FF90" s="296"/>
      <c r="FG90" s="296"/>
      <c r="FH90" s="296"/>
      <c r="FI90" s="296"/>
      <c r="FJ90" s="296"/>
      <c r="FK90" s="296"/>
      <c r="FL90" s="296"/>
      <c r="FM90" s="296"/>
      <c r="FN90" s="296"/>
      <c r="FO90" s="296"/>
      <c r="FP90" s="296"/>
      <c r="FQ90" s="296"/>
      <c r="FR90" s="296"/>
      <c r="FS90" s="296"/>
      <c r="FT90" s="296"/>
      <c r="FU90" s="296"/>
      <c r="FV90" s="296"/>
      <c r="FW90" s="296"/>
      <c r="FX90" s="296"/>
      <c r="FY90" s="296"/>
      <c r="FZ90" s="296"/>
      <c r="GA90" s="296"/>
      <c r="GB90" s="296"/>
      <c r="GC90" s="296"/>
      <c r="GD90" s="296"/>
      <c r="GE90" s="296"/>
      <c r="GF90" s="296"/>
      <c r="GG90" s="296"/>
      <c r="GH90" s="296"/>
      <c r="GI90" s="296"/>
      <c r="GJ90" s="296"/>
      <c r="GK90" s="296"/>
      <c r="GL90" s="296"/>
      <c r="GM90" s="296"/>
      <c r="GN90" s="296"/>
      <c r="GO90" s="296"/>
      <c r="GP90" s="296"/>
      <c r="GQ90" s="296"/>
      <c r="GR90" s="296"/>
      <c r="GS90" s="296"/>
      <c r="GT90" s="296"/>
      <c r="GU90" s="296"/>
      <c r="GV90" s="296"/>
      <c r="GW90" s="296"/>
      <c r="GX90" s="296"/>
      <c r="GY90" s="296"/>
      <c r="GZ90" s="296"/>
      <c r="HA90" s="296"/>
      <c r="HB90" s="296"/>
      <c r="HC90" s="296"/>
      <c r="HD90" s="296"/>
      <c r="HE90" s="296"/>
      <c r="HF90" s="296"/>
      <c r="HG90" s="296"/>
      <c r="HH90" s="296"/>
      <c r="HI90" s="296"/>
    </row>
    <row r="91" spans="1:217" ht="15" customHeight="1">
      <c r="A91" s="150"/>
      <c r="B91" s="150"/>
      <c r="C91" s="391"/>
      <c r="D91" s="289"/>
      <c r="E91" s="289"/>
      <c r="F91" s="295"/>
      <c r="G91" s="295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289"/>
      <c r="Y91" s="289"/>
      <c r="Z91" s="289"/>
      <c r="AA91" s="289"/>
      <c r="AB91" s="511"/>
      <c r="AC91" s="511"/>
      <c r="AD91" s="511"/>
      <c r="AE91" s="511"/>
      <c r="AF91" s="511"/>
      <c r="AG91" s="511"/>
      <c r="AH91" s="511"/>
      <c r="AI91" s="511"/>
      <c r="AJ91" s="511"/>
      <c r="AK91" s="511"/>
      <c r="AL91" s="511"/>
      <c r="AM91" s="511"/>
      <c r="AN91" s="511"/>
      <c r="AO91" s="511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6"/>
      <c r="BN91" s="296"/>
      <c r="BO91" s="296"/>
      <c r="BP91" s="296"/>
      <c r="BQ91" s="296"/>
      <c r="BR91" s="296"/>
      <c r="BS91" s="296"/>
      <c r="BT91" s="296"/>
      <c r="BU91" s="296"/>
      <c r="BV91" s="296"/>
      <c r="BW91" s="296"/>
      <c r="BX91" s="296"/>
      <c r="BY91" s="296"/>
      <c r="BZ91" s="296"/>
      <c r="CA91" s="296"/>
      <c r="CB91" s="296"/>
      <c r="CC91" s="296"/>
      <c r="CD91" s="296"/>
      <c r="CE91" s="296"/>
      <c r="CF91" s="296"/>
      <c r="CG91" s="296"/>
      <c r="CH91" s="296"/>
      <c r="CI91" s="296"/>
      <c r="CJ91" s="296"/>
      <c r="CK91" s="296"/>
      <c r="CL91" s="296"/>
      <c r="CM91" s="296"/>
      <c r="CN91" s="296"/>
      <c r="CO91" s="296"/>
      <c r="CP91" s="296"/>
      <c r="CQ91" s="296"/>
      <c r="CR91" s="296"/>
      <c r="CS91" s="296"/>
      <c r="CT91" s="296"/>
      <c r="CU91" s="296"/>
      <c r="CV91" s="296"/>
      <c r="CW91" s="296"/>
      <c r="CX91" s="296"/>
      <c r="CY91" s="296"/>
      <c r="CZ91" s="296"/>
      <c r="DA91" s="296"/>
      <c r="DB91" s="296"/>
      <c r="DC91" s="296"/>
      <c r="DD91" s="296"/>
      <c r="DE91" s="296"/>
      <c r="DF91" s="296"/>
      <c r="DG91" s="296"/>
      <c r="DH91" s="296"/>
      <c r="DI91" s="296"/>
      <c r="DJ91" s="296"/>
      <c r="DK91" s="296"/>
      <c r="DL91" s="296"/>
      <c r="DM91" s="296"/>
      <c r="DN91" s="296"/>
      <c r="DO91" s="296"/>
      <c r="DP91" s="296"/>
      <c r="DQ91" s="296"/>
      <c r="DR91" s="296"/>
      <c r="DS91" s="296"/>
      <c r="DT91" s="296"/>
      <c r="DU91" s="296"/>
      <c r="DV91" s="296"/>
      <c r="DW91" s="296"/>
      <c r="DX91" s="296"/>
      <c r="DY91" s="296"/>
      <c r="DZ91" s="296"/>
      <c r="EA91" s="296"/>
      <c r="EB91" s="296"/>
      <c r="EC91" s="296"/>
      <c r="ED91" s="296"/>
      <c r="EE91" s="296"/>
      <c r="EF91" s="296"/>
      <c r="EG91" s="296"/>
      <c r="EH91" s="296"/>
      <c r="EI91" s="296"/>
      <c r="EJ91" s="296"/>
      <c r="EK91" s="296"/>
      <c r="EL91" s="296"/>
      <c r="EM91" s="296"/>
      <c r="EN91" s="296"/>
      <c r="EO91" s="296"/>
      <c r="EP91" s="296"/>
      <c r="EQ91" s="296"/>
      <c r="ER91" s="296"/>
      <c r="ES91" s="296"/>
      <c r="ET91" s="296"/>
      <c r="EU91" s="296"/>
      <c r="EV91" s="296"/>
      <c r="EW91" s="296"/>
      <c r="EX91" s="296"/>
      <c r="EY91" s="296"/>
      <c r="EZ91" s="296"/>
      <c r="FA91" s="296"/>
      <c r="FB91" s="296"/>
      <c r="FC91" s="296"/>
      <c r="FD91" s="296"/>
      <c r="FE91" s="297"/>
      <c r="FF91" s="296"/>
      <c r="FG91" s="296"/>
      <c r="FH91" s="296"/>
      <c r="FI91" s="296"/>
      <c r="FJ91" s="296"/>
      <c r="FK91" s="296"/>
      <c r="FL91" s="296"/>
      <c r="FM91" s="296"/>
      <c r="FN91" s="296"/>
      <c r="FO91" s="296"/>
      <c r="FP91" s="296"/>
      <c r="FQ91" s="296"/>
      <c r="FR91" s="296"/>
      <c r="FS91" s="296"/>
      <c r="FT91" s="296"/>
      <c r="FU91" s="296"/>
      <c r="FV91" s="296"/>
      <c r="FW91" s="296"/>
      <c r="FX91" s="296"/>
      <c r="FY91" s="296"/>
      <c r="FZ91" s="296"/>
      <c r="GA91" s="296"/>
      <c r="GB91" s="296"/>
      <c r="GC91" s="296"/>
      <c r="GD91" s="296"/>
      <c r="GE91" s="296"/>
      <c r="GF91" s="296"/>
      <c r="GG91" s="296"/>
      <c r="GH91" s="296"/>
      <c r="GI91" s="296"/>
      <c r="GJ91" s="296"/>
      <c r="GK91" s="296"/>
      <c r="GL91" s="296"/>
      <c r="GM91" s="296"/>
      <c r="GN91" s="296"/>
      <c r="GO91" s="296"/>
      <c r="GP91" s="296"/>
      <c r="GQ91" s="296"/>
      <c r="GR91" s="296"/>
      <c r="GS91" s="296"/>
      <c r="GT91" s="296"/>
      <c r="GU91" s="296"/>
      <c r="GV91" s="296"/>
      <c r="GW91" s="296"/>
      <c r="GX91" s="296"/>
      <c r="GY91" s="296"/>
      <c r="GZ91" s="296"/>
      <c r="HA91" s="296"/>
      <c r="HB91" s="296"/>
      <c r="HC91" s="296"/>
      <c r="HD91" s="296"/>
      <c r="HE91" s="296"/>
      <c r="HF91" s="296"/>
      <c r="HG91" s="296"/>
      <c r="HH91" s="296"/>
      <c r="HI91" s="296"/>
    </row>
    <row r="92" spans="1:217" ht="15" customHeight="1">
      <c r="A92" s="150"/>
      <c r="B92" s="150"/>
      <c r="C92" s="391"/>
      <c r="D92" s="289"/>
      <c r="E92" s="289"/>
      <c r="F92" s="295"/>
      <c r="G92" s="295"/>
      <c r="H92" s="289"/>
      <c r="I92" s="289"/>
      <c r="J92" s="289"/>
      <c r="K92" s="289"/>
      <c r="L92" s="289"/>
      <c r="M92" s="289"/>
      <c r="N92" s="289"/>
      <c r="O92" s="289"/>
      <c r="P92" s="289"/>
      <c r="Q92" s="289"/>
      <c r="R92" s="289"/>
      <c r="S92" s="289"/>
      <c r="T92" s="289"/>
      <c r="U92" s="289"/>
      <c r="V92" s="289"/>
      <c r="W92" s="289"/>
      <c r="X92" s="289"/>
      <c r="Y92" s="289"/>
      <c r="Z92" s="289"/>
      <c r="AA92" s="289"/>
      <c r="AB92" s="511"/>
      <c r="AC92" s="511"/>
      <c r="AD92" s="511"/>
      <c r="AE92" s="511"/>
      <c r="AF92" s="511"/>
      <c r="AG92" s="511"/>
      <c r="AH92" s="511"/>
      <c r="AI92" s="511"/>
      <c r="AJ92" s="511"/>
      <c r="AK92" s="511"/>
      <c r="AL92" s="511"/>
      <c r="AM92" s="511"/>
      <c r="AN92" s="511"/>
      <c r="AO92" s="511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6"/>
      <c r="BN92" s="296"/>
      <c r="BO92" s="296"/>
      <c r="BP92" s="296"/>
      <c r="BQ92" s="296"/>
      <c r="BR92" s="296"/>
      <c r="BS92" s="296"/>
      <c r="BT92" s="296"/>
      <c r="BU92" s="296"/>
      <c r="BV92" s="296"/>
      <c r="BW92" s="296"/>
      <c r="BX92" s="296"/>
      <c r="BY92" s="296"/>
      <c r="BZ92" s="296"/>
      <c r="CA92" s="296"/>
      <c r="CB92" s="296"/>
      <c r="CC92" s="296"/>
      <c r="CD92" s="296"/>
      <c r="CE92" s="296"/>
      <c r="CF92" s="296"/>
      <c r="CG92" s="296"/>
      <c r="CH92" s="296"/>
      <c r="CI92" s="296"/>
      <c r="CJ92" s="296"/>
      <c r="CK92" s="296"/>
      <c r="CL92" s="296"/>
      <c r="CM92" s="296"/>
      <c r="CN92" s="296"/>
      <c r="CO92" s="296"/>
      <c r="CP92" s="296"/>
      <c r="CQ92" s="296"/>
      <c r="CR92" s="296"/>
      <c r="CS92" s="296"/>
      <c r="CT92" s="296"/>
      <c r="CU92" s="296"/>
      <c r="CV92" s="296"/>
      <c r="CW92" s="296"/>
      <c r="CX92" s="296"/>
      <c r="CY92" s="296"/>
      <c r="CZ92" s="296"/>
      <c r="DA92" s="296"/>
      <c r="DB92" s="296"/>
      <c r="DC92" s="296"/>
      <c r="DD92" s="296"/>
      <c r="DE92" s="296"/>
      <c r="DF92" s="296"/>
      <c r="DG92" s="296"/>
      <c r="DH92" s="296"/>
      <c r="DI92" s="296"/>
      <c r="DJ92" s="296"/>
      <c r="DK92" s="296"/>
      <c r="DL92" s="296"/>
      <c r="DM92" s="296"/>
      <c r="DN92" s="296"/>
      <c r="DO92" s="296"/>
      <c r="DP92" s="296"/>
      <c r="DQ92" s="296"/>
      <c r="DR92" s="296"/>
      <c r="DS92" s="296"/>
      <c r="DT92" s="296"/>
      <c r="DU92" s="296"/>
      <c r="DV92" s="296"/>
      <c r="DW92" s="296"/>
      <c r="DX92" s="296"/>
      <c r="DY92" s="296"/>
      <c r="DZ92" s="296"/>
      <c r="EA92" s="296"/>
      <c r="EB92" s="296"/>
      <c r="EC92" s="296"/>
      <c r="ED92" s="296"/>
      <c r="EE92" s="296"/>
      <c r="EF92" s="296"/>
      <c r="EG92" s="296"/>
      <c r="EH92" s="296"/>
      <c r="EI92" s="296"/>
      <c r="EJ92" s="296"/>
      <c r="EK92" s="296"/>
      <c r="EL92" s="296"/>
      <c r="EM92" s="296"/>
      <c r="EN92" s="296"/>
      <c r="EO92" s="296"/>
      <c r="EP92" s="296"/>
      <c r="EQ92" s="296"/>
      <c r="ER92" s="296"/>
      <c r="ES92" s="296"/>
      <c r="ET92" s="296"/>
      <c r="EU92" s="296"/>
      <c r="EV92" s="296"/>
      <c r="EW92" s="296"/>
      <c r="EX92" s="296"/>
      <c r="EY92" s="296"/>
      <c r="EZ92" s="296"/>
      <c r="FA92" s="296"/>
      <c r="FB92" s="296"/>
      <c r="FC92" s="296"/>
      <c r="FD92" s="296"/>
      <c r="FE92" s="297"/>
      <c r="FF92" s="296"/>
      <c r="FG92" s="296"/>
      <c r="FH92" s="296"/>
      <c r="FI92" s="296"/>
      <c r="FJ92" s="296"/>
      <c r="FK92" s="296"/>
      <c r="FL92" s="296"/>
      <c r="FM92" s="296"/>
      <c r="FN92" s="296"/>
      <c r="FO92" s="296"/>
      <c r="FP92" s="296"/>
      <c r="FQ92" s="296"/>
      <c r="FR92" s="296"/>
      <c r="FS92" s="296"/>
      <c r="FT92" s="296"/>
      <c r="FU92" s="296"/>
      <c r="FV92" s="296"/>
      <c r="FW92" s="296"/>
      <c r="FX92" s="296"/>
      <c r="FY92" s="296"/>
      <c r="FZ92" s="296"/>
      <c r="GA92" s="296"/>
      <c r="GB92" s="296"/>
      <c r="GC92" s="296"/>
      <c r="GD92" s="296"/>
      <c r="GE92" s="296"/>
      <c r="GF92" s="296"/>
      <c r="GG92" s="296"/>
      <c r="GH92" s="296"/>
      <c r="GI92" s="296"/>
      <c r="GJ92" s="296"/>
      <c r="GK92" s="296"/>
      <c r="GL92" s="296"/>
      <c r="GM92" s="296"/>
      <c r="GN92" s="296"/>
      <c r="GO92" s="296"/>
      <c r="GP92" s="296"/>
      <c r="GQ92" s="296"/>
      <c r="GR92" s="296"/>
      <c r="GS92" s="296"/>
      <c r="GT92" s="296"/>
      <c r="GU92" s="296"/>
      <c r="GV92" s="296"/>
      <c r="GW92" s="296"/>
      <c r="GX92" s="296"/>
      <c r="GY92" s="296"/>
      <c r="GZ92" s="296"/>
      <c r="HA92" s="296"/>
      <c r="HB92" s="296"/>
      <c r="HC92" s="296"/>
      <c r="HD92" s="296"/>
      <c r="HE92" s="296"/>
      <c r="HF92" s="296"/>
      <c r="HG92" s="296"/>
      <c r="HH92" s="296"/>
      <c r="HI92" s="296"/>
    </row>
    <row r="93" spans="1:217" ht="15" customHeight="1">
      <c r="A93" s="150"/>
      <c r="B93" s="150"/>
      <c r="C93" s="391"/>
      <c r="D93" s="289"/>
      <c r="E93" s="289"/>
      <c r="F93" s="295"/>
      <c r="G93" s="295"/>
      <c r="H93" s="295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89"/>
      <c r="Y93" s="289"/>
      <c r="Z93" s="289"/>
      <c r="AA93" s="289"/>
      <c r="AB93" s="511"/>
      <c r="AC93" s="511"/>
      <c r="AD93" s="511"/>
      <c r="AE93" s="511"/>
      <c r="AF93" s="511"/>
      <c r="AG93" s="511"/>
      <c r="AH93" s="511"/>
      <c r="AI93" s="511"/>
      <c r="AJ93" s="511"/>
      <c r="AK93" s="511"/>
      <c r="AL93" s="511"/>
      <c r="AM93" s="511"/>
      <c r="AN93" s="511"/>
      <c r="AO93" s="511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6"/>
      <c r="BN93" s="296"/>
      <c r="BO93" s="296"/>
      <c r="BP93" s="296"/>
      <c r="BQ93" s="296"/>
      <c r="BR93" s="296"/>
      <c r="BS93" s="296"/>
      <c r="BT93" s="296"/>
      <c r="BU93" s="296"/>
      <c r="BV93" s="296"/>
      <c r="BW93" s="296"/>
      <c r="BX93" s="296"/>
      <c r="BY93" s="296"/>
      <c r="BZ93" s="296"/>
      <c r="CA93" s="296"/>
      <c r="CB93" s="296"/>
      <c r="CC93" s="296"/>
      <c r="CD93" s="296"/>
      <c r="CE93" s="296"/>
      <c r="CF93" s="296"/>
      <c r="CG93" s="296"/>
      <c r="CH93" s="296"/>
      <c r="CI93" s="296"/>
      <c r="CJ93" s="296"/>
      <c r="CK93" s="296"/>
      <c r="CL93" s="296"/>
      <c r="CM93" s="296"/>
      <c r="CN93" s="296"/>
      <c r="CO93" s="296"/>
      <c r="CP93" s="296"/>
      <c r="CQ93" s="296"/>
      <c r="CR93" s="296"/>
      <c r="CS93" s="296"/>
      <c r="CT93" s="296"/>
      <c r="CU93" s="296"/>
      <c r="CV93" s="296"/>
      <c r="CW93" s="296"/>
      <c r="CX93" s="296"/>
      <c r="CY93" s="296"/>
      <c r="CZ93" s="296"/>
      <c r="DA93" s="296"/>
      <c r="DB93" s="296"/>
      <c r="DC93" s="296"/>
      <c r="DD93" s="296"/>
      <c r="DE93" s="296"/>
      <c r="DF93" s="296"/>
      <c r="DG93" s="296"/>
      <c r="DH93" s="296"/>
      <c r="DI93" s="296"/>
      <c r="DJ93" s="296"/>
      <c r="DK93" s="296"/>
      <c r="DL93" s="296"/>
      <c r="DM93" s="296"/>
      <c r="DN93" s="296"/>
      <c r="DO93" s="296"/>
      <c r="DP93" s="296"/>
      <c r="DQ93" s="296"/>
      <c r="DR93" s="296"/>
      <c r="DS93" s="296"/>
      <c r="DT93" s="296"/>
      <c r="DU93" s="296"/>
      <c r="DV93" s="296"/>
      <c r="DW93" s="296"/>
      <c r="DX93" s="296"/>
      <c r="DY93" s="296"/>
      <c r="DZ93" s="296"/>
      <c r="EA93" s="296"/>
      <c r="EB93" s="296"/>
      <c r="EC93" s="296"/>
      <c r="ED93" s="296"/>
      <c r="EE93" s="296"/>
      <c r="EF93" s="296"/>
      <c r="EG93" s="296"/>
      <c r="EH93" s="296"/>
      <c r="EI93" s="296"/>
      <c r="EJ93" s="296"/>
      <c r="EK93" s="296"/>
      <c r="EL93" s="296"/>
      <c r="EM93" s="296"/>
      <c r="EN93" s="296"/>
      <c r="EO93" s="296"/>
      <c r="EP93" s="296"/>
      <c r="EQ93" s="296"/>
      <c r="ER93" s="296"/>
      <c r="ES93" s="296"/>
      <c r="ET93" s="296"/>
      <c r="EU93" s="296"/>
      <c r="EV93" s="296"/>
      <c r="EW93" s="296"/>
      <c r="EX93" s="296"/>
      <c r="EY93" s="296"/>
      <c r="EZ93" s="296"/>
      <c r="FA93" s="296"/>
      <c r="FB93" s="296"/>
      <c r="FC93" s="296"/>
      <c r="FD93" s="296"/>
      <c r="FE93" s="297"/>
      <c r="FF93" s="296"/>
      <c r="FG93" s="296"/>
      <c r="FH93" s="296"/>
      <c r="FI93" s="296"/>
      <c r="FJ93" s="296"/>
      <c r="FK93" s="296"/>
      <c r="FL93" s="296"/>
      <c r="FM93" s="296"/>
      <c r="FN93" s="296"/>
      <c r="FO93" s="296"/>
      <c r="FP93" s="296"/>
      <c r="FQ93" s="296"/>
      <c r="FR93" s="296"/>
      <c r="FS93" s="296"/>
      <c r="FT93" s="296"/>
      <c r="FU93" s="296"/>
      <c r="FV93" s="296"/>
      <c r="FW93" s="296"/>
      <c r="FX93" s="296"/>
      <c r="FY93" s="296"/>
      <c r="FZ93" s="296"/>
      <c r="GA93" s="296"/>
      <c r="GB93" s="296"/>
      <c r="GC93" s="296"/>
      <c r="GD93" s="296"/>
      <c r="GE93" s="296"/>
      <c r="GF93" s="296"/>
      <c r="GG93" s="296"/>
      <c r="GH93" s="296"/>
      <c r="GI93" s="296"/>
      <c r="GJ93" s="296"/>
      <c r="GK93" s="296"/>
      <c r="GL93" s="296"/>
      <c r="GM93" s="296"/>
      <c r="GN93" s="296"/>
      <c r="GO93" s="296"/>
      <c r="GP93" s="296"/>
      <c r="GQ93" s="296"/>
      <c r="GR93" s="296"/>
      <c r="GS93" s="296"/>
      <c r="GT93" s="296"/>
      <c r="GU93" s="296"/>
      <c r="GV93" s="296"/>
      <c r="GW93" s="296"/>
      <c r="GX93" s="296"/>
      <c r="GY93" s="296"/>
      <c r="GZ93" s="296"/>
      <c r="HA93" s="296"/>
      <c r="HB93" s="296"/>
      <c r="HC93" s="296"/>
      <c r="HD93" s="296"/>
      <c r="HE93" s="296"/>
      <c r="HF93" s="296"/>
      <c r="HG93" s="296"/>
      <c r="HH93" s="296"/>
      <c r="HI93" s="296"/>
    </row>
    <row r="94" spans="1:217" ht="15" customHeight="1">
      <c r="A94" s="150"/>
      <c r="B94" s="150"/>
      <c r="C94" s="391"/>
      <c r="D94" s="289"/>
      <c r="E94" s="289"/>
      <c r="F94" s="295"/>
      <c r="G94" s="289"/>
      <c r="H94" s="289"/>
      <c r="I94" s="289"/>
      <c r="J94" s="289"/>
      <c r="K94" s="289"/>
      <c r="L94" s="289"/>
      <c r="M94" s="289"/>
      <c r="N94" s="289"/>
      <c r="O94" s="289"/>
      <c r="P94" s="289"/>
      <c r="Q94" s="289"/>
      <c r="R94" s="289"/>
      <c r="S94" s="289"/>
      <c r="T94" s="289"/>
      <c r="U94" s="289"/>
      <c r="V94" s="289"/>
      <c r="W94" s="289"/>
      <c r="X94" s="289"/>
      <c r="Y94" s="289"/>
      <c r="Z94" s="289"/>
      <c r="AA94" s="289"/>
      <c r="AB94" s="511"/>
      <c r="AC94" s="511"/>
      <c r="AD94" s="511"/>
      <c r="AE94" s="511"/>
      <c r="AF94" s="511"/>
      <c r="AG94" s="511"/>
      <c r="AH94" s="511"/>
      <c r="AI94" s="511"/>
      <c r="AJ94" s="511"/>
      <c r="AK94" s="511"/>
      <c r="AL94" s="511"/>
      <c r="AM94" s="511"/>
      <c r="AN94" s="511"/>
      <c r="AO94" s="511"/>
      <c r="AP94" s="296"/>
      <c r="AQ94" s="296"/>
      <c r="AR94" s="296"/>
      <c r="AS94" s="296"/>
      <c r="AT94" s="296"/>
      <c r="AU94" s="296"/>
      <c r="AV94" s="296"/>
      <c r="AW94" s="296"/>
      <c r="AX94" s="296"/>
      <c r="AY94" s="296"/>
      <c r="AZ94" s="296"/>
      <c r="BA94" s="296"/>
      <c r="BB94" s="296"/>
      <c r="BC94" s="296"/>
      <c r="BD94" s="296"/>
      <c r="BE94" s="296"/>
      <c r="BF94" s="296"/>
      <c r="BG94" s="296"/>
      <c r="BH94" s="296"/>
      <c r="BI94" s="296"/>
      <c r="BJ94" s="296"/>
      <c r="BK94" s="296"/>
      <c r="BL94" s="296"/>
      <c r="BM94" s="296"/>
      <c r="BN94" s="296"/>
      <c r="BO94" s="296"/>
      <c r="BP94" s="296"/>
      <c r="BQ94" s="296"/>
      <c r="BR94" s="296"/>
      <c r="BS94" s="296"/>
      <c r="BT94" s="296"/>
      <c r="BU94" s="296"/>
      <c r="BV94" s="296"/>
      <c r="BW94" s="296"/>
      <c r="BX94" s="296"/>
      <c r="BY94" s="296"/>
      <c r="BZ94" s="296"/>
      <c r="CA94" s="296"/>
      <c r="CB94" s="296"/>
      <c r="CC94" s="296"/>
      <c r="CD94" s="296"/>
      <c r="CE94" s="296"/>
      <c r="CF94" s="296"/>
      <c r="CG94" s="296"/>
      <c r="CH94" s="296"/>
      <c r="CI94" s="296"/>
      <c r="CJ94" s="296"/>
      <c r="CK94" s="296"/>
      <c r="CL94" s="296"/>
      <c r="CM94" s="296"/>
      <c r="CN94" s="296"/>
      <c r="CO94" s="296"/>
      <c r="CP94" s="296"/>
      <c r="CQ94" s="296"/>
      <c r="CR94" s="296"/>
      <c r="CS94" s="296"/>
      <c r="CT94" s="296"/>
      <c r="CU94" s="296"/>
      <c r="CV94" s="296"/>
      <c r="CW94" s="296"/>
      <c r="CX94" s="296"/>
      <c r="CY94" s="296"/>
      <c r="CZ94" s="296"/>
      <c r="DA94" s="296"/>
      <c r="DB94" s="296"/>
      <c r="DC94" s="296"/>
      <c r="DD94" s="296"/>
      <c r="DE94" s="296"/>
      <c r="DF94" s="296"/>
      <c r="DG94" s="296"/>
      <c r="DH94" s="296"/>
      <c r="DI94" s="296"/>
      <c r="DJ94" s="296"/>
      <c r="DK94" s="296"/>
      <c r="DL94" s="296"/>
      <c r="DM94" s="296"/>
      <c r="DN94" s="296"/>
      <c r="DO94" s="296"/>
      <c r="DP94" s="296"/>
      <c r="DQ94" s="296"/>
      <c r="DR94" s="296"/>
      <c r="DS94" s="296"/>
      <c r="DT94" s="296"/>
      <c r="DU94" s="296"/>
      <c r="DV94" s="296"/>
      <c r="DW94" s="296"/>
      <c r="DX94" s="296"/>
      <c r="DY94" s="296"/>
      <c r="DZ94" s="296"/>
      <c r="EA94" s="296"/>
      <c r="EB94" s="296"/>
      <c r="EC94" s="296"/>
      <c r="ED94" s="296"/>
      <c r="EE94" s="296"/>
      <c r="EF94" s="296"/>
      <c r="EG94" s="296"/>
      <c r="EH94" s="296"/>
      <c r="EI94" s="296"/>
      <c r="EJ94" s="296"/>
      <c r="EK94" s="296"/>
      <c r="EL94" s="296"/>
      <c r="EM94" s="296"/>
      <c r="EN94" s="296"/>
      <c r="EO94" s="296"/>
      <c r="EP94" s="296"/>
      <c r="EQ94" s="296"/>
      <c r="ER94" s="296"/>
      <c r="ES94" s="296"/>
      <c r="ET94" s="296"/>
      <c r="EU94" s="296"/>
      <c r="EV94" s="296"/>
      <c r="EW94" s="296"/>
      <c r="EX94" s="296"/>
      <c r="EY94" s="296"/>
      <c r="EZ94" s="296"/>
      <c r="FA94" s="296"/>
      <c r="FB94" s="296"/>
      <c r="FC94" s="296"/>
      <c r="FD94" s="296"/>
      <c r="FE94" s="297"/>
      <c r="FF94" s="296"/>
      <c r="FG94" s="296"/>
      <c r="FH94" s="296"/>
      <c r="FI94" s="296"/>
      <c r="FJ94" s="296"/>
      <c r="FK94" s="296"/>
      <c r="FL94" s="296"/>
      <c r="FM94" s="296"/>
      <c r="FN94" s="296"/>
      <c r="FO94" s="296"/>
      <c r="FP94" s="296"/>
      <c r="FQ94" s="296"/>
      <c r="FR94" s="296"/>
      <c r="FS94" s="296"/>
      <c r="FT94" s="296"/>
      <c r="FU94" s="296"/>
      <c r="FV94" s="296"/>
      <c r="FW94" s="296"/>
      <c r="FX94" s="296"/>
      <c r="FY94" s="296"/>
      <c r="FZ94" s="296"/>
      <c r="GA94" s="296"/>
      <c r="GB94" s="296"/>
      <c r="GC94" s="296"/>
      <c r="GD94" s="296"/>
      <c r="GE94" s="296"/>
      <c r="GF94" s="296"/>
      <c r="GG94" s="296"/>
      <c r="GH94" s="296"/>
      <c r="GI94" s="296"/>
      <c r="GJ94" s="296"/>
      <c r="GK94" s="296"/>
      <c r="GL94" s="296"/>
      <c r="GM94" s="296"/>
      <c r="GN94" s="296"/>
      <c r="GO94" s="296"/>
      <c r="GP94" s="296"/>
      <c r="GQ94" s="296"/>
      <c r="GR94" s="296"/>
      <c r="GS94" s="296"/>
      <c r="GT94" s="296"/>
      <c r="GU94" s="296"/>
      <c r="GV94" s="296"/>
      <c r="GW94" s="296"/>
      <c r="GX94" s="296"/>
      <c r="GY94" s="296"/>
      <c r="GZ94" s="296"/>
      <c r="HA94" s="296"/>
      <c r="HB94" s="296"/>
      <c r="HC94" s="296"/>
      <c r="HD94" s="296"/>
      <c r="HE94" s="296"/>
      <c r="HF94" s="296"/>
      <c r="HG94" s="296"/>
      <c r="HH94" s="296"/>
      <c r="HI94" s="296"/>
    </row>
    <row r="95" spans="1:217" ht="15" customHeight="1">
      <c r="A95" s="150"/>
      <c r="B95" s="150"/>
      <c r="C95" s="391"/>
      <c r="D95" s="289"/>
      <c r="E95" s="289"/>
      <c r="F95" s="289"/>
      <c r="G95" s="289"/>
      <c r="H95" s="289"/>
      <c r="I95" s="289"/>
      <c r="J95" s="289"/>
      <c r="K95" s="289"/>
      <c r="L95" s="289"/>
      <c r="M95" s="289"/>
      <c r="N95" s="289"/>
      <c r="O95" s="289"/>
      <c r="P95" s="289"/>
      <c r="Q95" s="289"/>
      <c r="R95" s="289"/>
      <c r="S95" s="289"/>
      <c r="T95" s="289"/>
      <c r="U95" s="289"/>
      <c r="V95" s="289"/>
      <c r="W95" s="289"/>
      <c r="X95" s="289"/>
      <c r="Y95" s="289"/>
      <c r="Z95" s="289"/>
      <c r="AA95" s="289"/>
      <c r="AB95" s="511"/>
      <c r="AC95" s="511"/>
      <c r="AD95" s="511"/>
      <c r="AE95" s="511"/>
      <c r="AF95" s="511"/>
      <c r="AG95" s="511"/>
      <c r="AH95" s="511"/>
      <c r="AI95" s="511"/>
      <c r="AJ95" s="511"/>
      <c r="AK95" s="511"/>
      <c r="AL95" s="511"/>
      <c r="AM95" s="511"/>
      <c r="AN95" s="511"/>
      <c r="AO95" s="511"/>
      <c r="AP95" s="296"/>
      <c r="AQ95" s="296"/>
      <c r="AR95" s="296"/>
      <c r="AS95" s="296"/>
      <c r="AT95" s="296"/>
      <c r="AU95" s="296"/>
      <c r="AV95" s="296"/>
      <c r="AW95" s="296"/>
      <c r="AX95" s="296"/>
      <c r="AY95" s="296"/>
      <c r="AZ95" s="296"/>
      <c r="BA95" s="296"/>
      <c r="BB95" s="296"/>
      <c r="BC95" s="296"/>
      <c r="BD95" s="296"/>
      <c r="BE95" s="296"/>
      <c r="BF95" s="296"/>
      <c r="BG95" s="296"/>
      <c r="BH95" s="296"/>
      <c r="BI95" s="296"/>
      <c r="BJ95" s="296"/>
      <c r="BK95" s="296"/>
      <c r="BL95" s="296"/>
      <c r="BM95" s="296"/>
      <c r="BN95" s="296"/>
      <c r="BO95" s="296"/>
      <c r="BP95" s="296"/>
      <c r="BQ95" s="296"/>
      <c r="BR95" s="296"/>
      <c r="BS95" s="296"/>
      <c r="BT95" s="296"/>
      <c r="BU95" s="296"/>
      <c r="BV95" s="296"/>
      <c r="BW95" s="296"/>
      <c r="BX95" s="296"/>
      <c r="BY95" s="296"/>
      <c r="BZ95" s="296"/>
      <c r="CA95" s="296"/>
      <c r="CB95" s="296"/>
      <c r="CC95" s="296"/>
      <c r="CD95" s="296"/>
      <c r="CE95" s="296"/>
      <c r="CF95" s="296"/>
      <c r="CG95" s="296"/>
      <c r="CH95" s="296"/>
      <c r="CI95" s="296"/>
      <c r="CJ95" s="296"/>
      <c r="CK95" s="296"/>
      <c r="CL95" s="296"/>
      <c r="CM95" s="296"/>
      <c r="CN95" s="296"/>
      <c r="CO95" s="296"/>
      <c r="CP95" s="296"/>
      <c r="CQ95" s="296"/>
      <c r="CR95" s="296"/>
      <c r="CS95" s="296"/>
      <c r="CT95" s="296"/>
      <c r="CU95" s="296"/>
      <c r="CV95" s="296"/>
      <c r="CW95" s="296"/>
      <c r="CX95" s="296"/>
      <c r="CY95" s="296"/>
      <c r="CZ95" s="296"/>
      <c r="DA95" s="296"/>
      <c r="DB95" s="296"/>
      <c r="DC95" s="296"/>
      <c r="DD95" s="296"/>
      <c r="DE95" s="296"/>
      <c r="DF95" s="296"/>
      <c r="DG95" s="296"/>
      <c r="DH95" s="296"/>
      <c r="DI95" s="296"/>
      <c r="DJ95" s="296"/>
      <c r="DK95" s="296"/>
      <c r="DL95" s="296"/>
      <c r="DM95" s="296"/>
      <c r="DN95" s="296"/>
      <c r="DO95" s="296"/>
      <c r="DP95" s="296"/>
      <c r="DQ95" s="296"/>
      <c r="DR95" s="296"/>
      <c r="DS95" s="296"/>
      <c r="DT95" s="296"/>
      <c r="DU95" s="296"/>
      <c r="DV95" s="296"/>
      <c r="DW95" s="296"/>
      <c r="DX95" s="296"/>
      <c r="DY95" s="296"/>
      <c r="DZ95" s="296"/>
      <c r="EA95" s="296"/>
      <c r="EB95" s="296"/>
      <c r="EC95" s="296"/>
      <c r="ED95" s="296"/>
      <c r="EE95" s="296"/>
      <c r="EF95" s="296"/>
      <c r="EG95" s="296"/>
      <c r="EH95" s="296"/>
      <c r="EI95" s="296"/>
      <c r="EJ95" s="296"/>
      <c r="EK95" s="296"/>
      <c r="EL95" s="296"/>
      <c r="EM95" s="296"/>
      <c r="EN95" s="296"/>
      <c r="EO95" s="296"/>
      <c r="EP95" s="296"/>
      <c r="EQ95" s="296"/>
      <c r="ER95" s="296"/>
      <c r="ES95" s="296"/>
      <c r="ET95" s="296"/>
      <c r="EU95" s="296"/>
      <c r="EV95" s="296"/>
      <c r="EW95" s="296"/>
      <c r="EX95" s="296"/>
      <c r="EY95" s="296"/>
      <c r="EZ95" s="296"/>
      <c r="FA95" s="296"/>
      <c r="FB95" s="296"/>
      <c r="FC95" s="296"/>
      <c r="FD95" s="296"/>
      <c r="FE95" s="297"/>
      <c r="FF95" s="296"/>
      <c r="FG95" s="296"/>
      <c r="FH95" s="296"/>
      <c r="FI95" s="296"/>
      <c r="FJ95" s="296"/>
      <c r="FK95" s="296"/>
      <c r="FL95" s="296"/>
      <c r="FM95" s="296"/>
      <c r="FN95" s="296"/>
      <c r="FO95" s="296"/>
      <c r="FP95" s="296"/>
      <c r="FQ95" s="296"/>
      <c r="FR95" s="296"/>
      <c r="FS95" s="296"/>
      <c r="FT95" s="296"/>
      <c r="FU95" s="296"/>
      <c r="FV95" s="296"/>
      <c r="FW95" s="296"/>
      <c r="FX95" s="296"/>
      <c r="FY95" s="296"/>
      <c r="FZ95" s="296"/>
      <c r="GA95" s="296"/>
      <c r="GB95" s="296"/>
      <c r="GC95" s="296"/>
      <c r="GD95" s="296"/>
      <c r="GE95" s="296"/>
      <c r="GF95" s="296"/>
      <c r="GG95" s="296"/>
      <c r="GH95" s="296"/>
      <c r="GI95" s="296"/>
      <c r="GJ95" s="296"/>
      <c r="GK95" s="296"/>
      <c r="GL95" s="296"/>
      <c r="GM95" s="296"/>
      <c r="GN95" s="296"/>
      <c r="GO95" s="296"/>
      <c r="GP95" s="296"/>
      <c r="GQ95" s="296"/>
      <c r="GR95" s="296"/>
      <c r="GS95" s="296"/>
      <c r="GT95" s="296"/>
      <c r="GU95" s="296"/>
      <c r="GV95" s="296"/>
      <c r="GW95" s="296"/>
      <c r="GX95" s="296"/>
      <c r="GY95" s="296"/>
      <c r="GZ95" s="296"/>
      <c r="HA95" s="296"/>
      <c r="HB95" s="296"/>
      <c r="HC95" s="296"/>
      <c r="HD95" s="296"/>
      <c r="HE95" s="296"/>
      <c r="HF95" s="296"/>
      <c r="HG95" s="296"/>
      <c r="HH95" s="296"/>
      <c r="HI95" s="296"/>
    </row>
    <row r="96" spans="1:217" ht="15" customHeight="1">
      <c r="A96" s="150"/>
      <c r="B96" s="150"/>
      <c r="C96" s="405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AB96" s="511"/>
      <c r="AC96" s="511"/>
      <c r="AD96" s="511"/>
      <c r="AE96" s="511"/>
      <c r="AF96" s="511"/>
      <c r="AG96" s="511"/>
      <c r="AH96" s="511"/>
      <c r="AI96" s="511"/>
      <c r="AJ96" s="511"/>
      <c r="AK96" s="511"/>
      <c r="AL96" s="511"/>
      <c r="AM96" s="511"/>
      <c r="AN96" s="511"/>
      <c r="AO96" s="511"/>
      <c r="AP96" s="296"/>
      <c r="AQ96" s="296"/>
      <c r="AR96" s="296"/>
      <c r="AS96" s="296"/>
      <c r="AT96" s="296"/>
      <c r="AU96" s="296"/>
      <c r="AV96" s="296"/>
      <c r="AW96" s="296"/>
      <c r="AX96" s="296"/>
      <c r="AY96" s="296"/>
      <c r="AZ96" s="296"/>
      <c r="BA96" s="296"/>
      <c r="BB96" s="296"/>
      <c r="BC96" s="296"/>
      <c r="BD96" s="296"/>
      <c r="BE96" s="296"/>
      <c r="BF96" s="296"/>
      <c r="BG96" s="296"/>
      <c r="BH96" s="296"/>
      <c r="BI96" s="296"/>
      <c r="BJ96" s="296"/>
      <c r="BK96" s="296"/>
      <c r="BL96" s="296"/>
      <c r="BM96" s="296"/>
      <c r="BN96" s="296"/>
      <c r="BO96" s="296"/>
      <c r="BP96" s="296"/>
      <c r="BQ96" s="296"/>
      <c r="BR96" s="296"/>
      <c r="BS96" s="296"/>
      <c r="BT96" s="296"/>
      <c r="BU96" s="296"/>
      <c r="BV96" s="296"/>
      <c r="BW96" s="296"/>
      <c r="BX96" s="296"/>
      <c r="BY96" s="296"/>
      <c r="BZ96" s="296"/>
      <c r="CA96" s="296"/>
      <c r="CB96" s="296"/>
      <c r="CC96" s="296"/>
      <c r="CD96" s="296"/>
      <c r="CE96" s="296"/>
      <c r="CF96" s="296"/>
      <c r="CG96" s="296"/>
      <c r="CH96" s="296"/>
      <c r="CI96" s="296"/>
      <c r="CJ96" s="296"/>
      <c r="CK96" s="296"/>
      <c r="CL96" s="296"/>
      <c r="CM96" s="296"/>
      <c r="CN96" s="296"/>
      <c r="CO96" s="296"/>
      <c r="CP96" s="296"/>
      <c r="CQ96" s="296"/>
      <c r="CR96" s="296"/>
      <c r="CS96" s="296"/>
      <c r="CT96" s="296"/>
      <c r="CU96" s="296"/>
      <c r="CV96" s="296"/>
      <c r="CW96" s="296"/>
      <c r="CX96" s="296"/>
      <c r="CY96" s="296"/>
      <c r="CZ96" s="296"/>
      <c r="DA96" s="296"/>
      <c r="DB96" s="296"/>
      <c r="DC96" s="296"/>
      <c r="DD96" s="296"/>
      <c r="DE96" s="296"/>
      <c r="DF96" s="296"/>
      <c r="DG96" s="296"/>
      <c r="DH96" s="296"/>
      <c r="DI96" s="296"/>
      <c r="DJ96" s="296"/>
      <c r="DK96" s="296"/>
      <c r="DL96" s="296"/>
      <c r="DM96" s="296"/>
      <c r="DN96" s="296"/>
      <c r="DO96" s="296"/>
      <c r="DP96" s="296"/>
      <c r="DQ96" s="296"/>
      <c r="DR96" s="296"/>
      <c r="DS96" s="296"/>
      <c r="DT96" s="296"/>
      <c r="DU96" s="296"/>
      <c r="DV96" s="296"/>
      <c r="DW96" s="296"/>
      <c r="DX96" s="296"/>
      <c r="DY96" s="296"/>
      <c r="DZ96" s="296"/>
      <c r="EA96" s="296"/>
      <c r="EB96" s="296"/>
      <c r="EC96" s="296"/>
      <c r="ED96" s="296"/>
      <c r="EE96" s="296"/>
      <c r="EF96" s="296"/>
      <c r="EG96" s="296"/>
      <c r="EH96" s="296"/>
      <c r="EI96" s="296"/>
      <c r="EJ96" s="296"/>
      <c r="EK96" s="296"/>
      <c r="EL96" s="296"/>
      <c r="EM96" s="296"/>
      <c r="EN96" s="296"/>
      <c r="EO96" s="296"/>
      <c r="EP96" s="296"/>
      <c r="EQ96" s="296"/>
      <c r="ER96" s="296"/>
      <c r="ES96" s="296"/>
      <c r="ET96" s="296"/>
      <c r="EU96" s="296"/>
      <c r="EV96" s="296"/>
      <c r="EW96" s="296"/>
      <c r="EX96" s="296"/>
      <c r="EY96" s="296"/>
      <c r="EZ96" s="296"/>
      <c r="FA96" s="296"/>
      <c r="FB96" s="296"/>
      <c r="FC96" s="296"/>
      <c r="FD96" s="296"/>
      <c r="FE96" s="297"/>
      <c r="FF96" s="296"/>
      <c r="FG96" s="296"/>
      <c r="FH96" s="296"/>
      <c r="FI96" s="296"/>
      <c r="FJ96" s="296"/>
      <c r="FK96" s="296"/>
      <c r="FL96" s="296"/>
      <c r="FM96" s="296"/>
      <c r="FN96" s="296"/>
      <c r="FO96" s="296"/>
      <c r="FP96" s="296"/>
      <c r="FQ96" s="296"/>
      <c r="FR96" s="296"/>
      <c r="FS96" s="296"/>
      <c r="FT96" s="296"/>
      <c r="FU96" s="296"/>
      <c r="FV96" s="296"/>
      <c r="FW96" s="296"/>
      <c r="FX96" s="296"/>
      <c r="FY96" s="296"/>
      <c r="FZ96" s="296"/>
      <c r="GA96" s="296"/>
      <c r="GB96" s="296"/>
      <c r="GC96" s="296"/>
      <c r="GD96" s="296"/>
      <c r="GE96" s="296"/>
      <c r="GF96" s="296"/>
      <c r="GG96" s="296"/>
      <c r="GH96" s="296"/>
      <c r="GI96" s="296"/>
      <c r="GJ96" s="296"/>
      <c r="GK96" s="296"/>
      <c r="GL96" s="296"/>
      <c r="GM96" s="296"/>
      <c r="GN96" s="296"/>
      <c r="GO96" s="296"/>
      <c r="GP96" s="296"/>
      <c r="GQ96" s="296"/>
      <c r="GR96" s="296"/>
      <c r="GS96" s="296"/>
      <c r="GT96" s="296"/>
      <c r="GU96" s="296"/>
      <c r="GV96" s="296"/>
      <c r="GW96" s="296"/>
      <c r="GX96" s="296"/>
      <c r="GY96" s="296"/>
      <c r="GZ96" s="296"/>
      <c r="HA96" s="296"/>
      <c r="HB96" s="296"/>
      <c r="HC96" s="296"/>
      <c r="HD96" s="296"/>
      <c r="HE96" s="296"/>
      <c r="HF96" s="296"/>
      <c r="HG96" s="296"/>
      <c r="HH96" s="296"/>
      <c r="HI96" s="296"/>
    </row>
    <row r="97" spans="1:217" ht="15" customHeight="1">
      <c r="A97" s="150"/>
      <c r="B97" s="150"/>
      <c r="C97" s="405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AB97" s="511"/>
      <c r="AC97" s="511"/>
      <c r="AD97" s="511"/>
      <c r="AE97" s="511"/>
      <c r="AF97" s="511"/>
      <c r="AG97" s="511"/>
      <c r="AH97" s="511"/>
      <c r="AI97" s="511"/>
      <c r="AJ97" s="511"/>
      <c r="AK97" s="511"/>
      <c r="AL97" s="511"/>
      <c r="AM97" s="511"/>
      <c r="AN97" s="511"/>
      <c r="AO97" s="511"/>
      <c r="AP97" s="296"/>
      <c r="AQ97" s="296"/>
      <c r="AR97" s="296"/>
      <c r="AS97" s="296"/>
      <c r="AT97" s="296"/>
      <c r="AU97" s="296"/>
      <c r="AV97" s="296"/>
      <c r="AW97" s="296"/>
      <c r="AX97" s="296"/>
      <c r="AY97" s="296"/>
      <c r="AZ97" s="296"/>
      <c r="BA97" s="296"/>
      <c r="BB97" s="296"/>
      <c r="BC97" s="296"/>
      <c r="BD97" s="296"/>
      <c r="BE97" s="296"/>
      <c r="BF97" s="296"/>
      <c r="BG97" s="296"/>
      <c r="BH97" s="296"/>
      <c r="BI97" s="296"/>
      <c r="BJ97" s="296"/>
      <c r="BK97" s="296"/>
      <c r="BL97" s="296"/>
      <c r="BM97" s="296"/>
      <c r="BN97" s="296"/>
      <c r="BO97" s="296"/>
      <c r="BP97" s="296"/>
      <c r="BQ97" s="296"/>
      <c r="BR97" s="296"/>
      <c r="BS97" s="296"/>
      <c r="BT97" s="296"/>
      <c r="BU97" s="296"/>
      <c r="BV97" s="296"/>
      <c r="BW97" s="296"/>
      <c r="BX97" s="296"/>
      <c r="BY97" s="296"/>
      <c r="BZ97" s="296"/>
      <c r="CA97" s="296"/>
      <c r="CB97" s="296"/>
      <c r="CC97" s="296"/>
      <c r="CD97" s="296"/>
      <c r="CE97" s="296"/>
      <c r="CF97" s="296"/>
      <c r="CG97" s="296"/>
      <c r="CH97" s="296"/>
      <c r="CI97" s="296"/>
      <c r="CJ97" s="296"/>
      <c r="CK97" s="296"/>
      <c r="CL97" s="296"/>
      <c r="CM97" s="296"/>
      <c r="CN97" s="296"/>
      <c r="CO97" s="296"/>
      <c r="CP97" s="296"/>
      <c r="CQ97" s="296"/>
      <c r="CR97" s="296"/>
      <c r="CS97" s="296"/>
      <c r="CT97" s="296"/>
      <c r="CU97" s="296"/>
      <c r="CV97" s="296"/>
      <c r="CW97" s="296"/>
      <c r="CX97" s="296"/>
      <c r="CY97" s="296"/>
      <c r="CZ97" s="296"/>
      <c r="DA97" s="296"/>
      <c r="DB97" s="296"/>
      <c r="DC97" s="296"/>
      <c r="DD97" s="296"/>
      <c r="DE97" s="296"/>
      <c r="DF97" s="296"/>
      <c r="DG97" s="296"/>
      <c r="DH97" s="296"/>
      <c r="DI97" s="296"/>
      <c r="DJ97" s="296"/>
      <c r="DK97" s="296"/>
      <c r="DL97" s="296"/>
      <c r="DM97" s="296"/>
      <c r="DN97" s="296"/>
      <c r="DO97" s="296"/>
      <c r="DP97" s="296"/>
      <c r="DQ97" s="296"/>
      <c r="DR97" s="296"/>
      <c r="DS97" s="296"/>
      <c r="DT97" s="296"/>
      <c r="DU97" s="296"/>
      <c r="DV97" s="296"/>
      <c r="DW97" s="296"/>
      <c r="DX97" s="296"/>
      <c r="DY97" s="296"/>
      <c r="DZ97" s="296"/>
      <c r="EA97" s="296"/>
      <c r="EB97" s="296"/>
      <c r="EC97" s="296"/>
      <c r="ED97" s="296"/>
      <c r="EE97" s="296"/>
      <c r="EF97" s="296"/>
      <c r="EG97" s="296"/>
      <c r="EH97" s="296"/>
      <c r="EI97" s="296"/>
      <c r="EJ97" s="296"/>
      <c r="EK97" s="296"/>
      <c r="EL97" s="296"/>
      <c r="EM97" s="296"/>
      <c r="EN97" s="296"/>
      <c r="EO97" s="296"/>
      <c r="EP97" s="296"/>
      <c r="EQ97" s="296"/>
      <c r="ER97" s="296"/>
      <c r="ES97" s="296"/>
      <c r="ET97" s="296"/>
      <c r="EU97" s="296"/>
      <c r="EV97" s="296"/>
      <c r="EW97" s="296"/>
      <c r="EX97" s="296"/>
      <c r="EY97" s="296"/>
      <c r="EZ97" s="296"/>
      <c r="FA97" s="296"/>
      <c r="FB97" s="296"/>
      <c r="FC97" s="296"/>
      <c r="FD97" s="296"/>
      <c r="FE97" s="297"/>
      <c r="FF97" s="296"/>
      <c r="FG97" s="296"/>
      <c r="FH97" s="296"/>
      <c r="FI97" s="296"/>
      <c r="FJ97" s="296"/>
      <c r="FK97" s="296"/>
      <c r="FL97" s="296"/>
      <c r="FM97" s="296"/>
      <c r="FN97" s="296"/>
      <c r="FO97" s="296"/>
      <c r="FP97" s="296"/>
      <c r="FQ97" s="296"/>
      <c r="FR97" s="296"/>
      <c r="FS97" s="296"/>
      <c r="FT97" s="296"/>
      <c r="FU97" s="296"/>
      <c r="FV97" s="296"/>
      <c r="FW97" s="296"/>
      <c r="FX97" s="296"/>
      <c r="FY97" s="296"/>
      <c r="FZ97" s="296"/>
      <c r="GA97" s="296"/>
      <c r="GB97" s="296"/>
      <c r="GC97" s="296"/>
      <c r="GD97" s="296"/>
      <c r="GE97" s="296"/>
      <c r="GF97" s="296"/>
      <c r="GG97" s="296"/>
      <c r="GH97" s="296"/>
      <c r="GI97" s="296"/>
      <c r="GJ97" s="296"/>
      <c r="GK97" s="296"/>
      <c r="GL97" s="296"/>
      <c r="GM97" s="296"/>
      <c r="GN97" s="296"/>
      <c r="GO97" s="296"/>
      <c r="GP97" s="296"/>
      <c r="GQ97" s="296"/>
      <c r="GR97" s="296"/>
      <c r="GS97" s="296"/>
      <c r="GT97" s="296"/>
      <c r="GU97" s="296"/>
      <c r="GV97" s="296"/>
      <c r="GW97" s="296"/>
      <c r="GX97" s="296"/>
      <c r="GY97" s="296"/>
      <c r="GZ97" s="296"/>
      <c r="HA97" s="296"/>
      <c r="HB97" s="296"/>
      <c r="HC97" s="296"/>
      <c r="HD97" s="296"/>
      <c r="HE97" s="296"/>
      <c r="HF97" s="296"/>
      <c r="HG97" s="296"/>
      <c r="HH97" s="296"/>
      <c r="HI97" s="296"/>
    </row>
    <row r="98" spans="1:217" ht="15" customHeight="1">
      <c r="A98" s="150"/>
      <c r="B98" s="150"/>
      <c r="C98" s="405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AB98" s="511"/>
      <c r="AC98" s="511"/>
      <c r="AD98" s="511"/>
      <c r="AE98" s="511"/>
      <c r="AF98" s="511"/>
      <c r="AG98" s="511"/>
      <c r="AH98" s="511"/>
      <c r="AI98" s="511"/>
      <c r="AJ98" s="511"/>
      <c r="AK98" s="511"/>
      <c r="AL98" s="511"/>
      <c r="AM98" s="511"/>
      <c r="AN98" s="511"/>
      <c r="AO98" s="511"/>
      <c r="AP98" s="296"/>
      <c r="AQ98" s="296"/>
      <c r="AR98" s="296"/>
      <c r="AS98" s="296"/>
      <c r="AT98" s="296"/>
      <c r="AU98" s="296"/>
      <c r="AV98" s="296"/>
      <c r="AW98" s="296"/>
      <c r="AX98" s="296"/>
      <c r="AY98" s="296"/>
      <c r="AZ98" s="296"/>
      <c r="BA98" s="296"/>
      <c r="BB98" s="296"/>
      <c r="BC98" s="296"/>
      <c r="BD98" s="296"/>
      <c r="BE98" s="296"/>
      <c r="BF98" s="296"/>
      <c r="BG98" s="296"/>
      <c r="BH98" s="296"/>
      <c r="BI98" s="296"/>
      <c r="BJ98" s="296"/>
      <c r="BK98" s="296"/>
      <c r="BL98" s="296"/>
      <c r="BM98" s="296"/>
      <c r="BN98" s="296"/>
      <c r="BO98" s="296"/>
      <c r="BP98" s="296"/>
      <c r="BQ98" s="296"/>
      <c r="BR98" s="296"/>
      <c r="BS98" s="296"/>
      <c r="BT98" s="296"/>
      <c r="BU98" s="296"/>
      <c r="BV98" s="296"/>
      <c r="BW98" s="296"/>
      <c r="BX98" s="296"/>
      <c r="BY98" s="296"/>
      <c r="BZ98" s="296"/>
      <c r="CA98" s="296"/>
      <c r="CB98" s="296"/>
      <c r="CC98" s="296"/>
      <c r="CD98" s="296"/>
      <c r="CE98" s="296"/>
      <c r="CF98" s="296"/>
      <c r="CG98" s="296"/>
      <c r="CH98" s="296"/>
      <c r="CI98" s="296"/>
      <c r="CJ98" s="296"/>
      <c r="CK98" s="296"/>
      <c r="CL98" s="296"/>
      <c r="CM98" s="296"/>
      <c r="CN98" s="296"/>
      <c r="CO98" s="296"/>
      <c r="CP98" s="296"/>
      <c r="CQ98" s="296"/>
      <c r="CR98" s="296"/>
      <c r="CS98" s="296"/>
      <c r="CT98" s="296"/>
      <c r="CU98" s="296"/>
      <c r="CV98" s="296"/>
      <c r="CW98" s="296"/>
      <c r="CX98" s="296"/>
      <c r="CY98" s="296"/>
      <c r="CZ98" s="296"/>
      <c r="DA98" s="296"/>
      <c r="DB98" s="296"/>
      <c r="DC98" s="296"/>
      <c r="DD98" s="296"/>
      <c r="DE98" s="296"/>
      <c r="DF98" s="296"/>
      <c r="DG98" s="296"/>
      <c r="DH98" s="296"/>
      <c r="DI98" s="296"/>
      <c r="DJ98" s="296"/>
      <c r="DK98" s="296"/>
      <c r="DL98" s="296"/>
      <c r="DM98" s="296"/>
      <c r="DN98" s="296"/>
      <c r="DO98" s="296"/>
      <c r="DP98" s="296"/>
      <c r="DQ98" s="296"/>
      <c r="DR98" s="296"/>
      <c r="DS98" s="296"/>
      <c r="DT98" s="296"/>
      <c r="DU98" s="296"/>
      <c r="DV98" s="296"/>
      <c r="DW98" s="296"/>
      <c r="DX98" s="296"/>
      <c r="DY98" s="296"/>
      <c r="DZ98" s="296"/>
      <c r="EA98" s="296"/>
      <c r="EB98" s="296"/>
      <c r="EC98" s="296"/>
      <c r="ED98" s="296"/>
      <c r="EE98" s="296"/>
      <c r="EF98" s="296"/>
      <c r="EG98" s="296"/>
      <c r="EH98" s="296"/>
      <c r="EI98" s="296"/>
      <c r="EJ98" s="296"/>
      <c r="EK98" s="296"/>
      <c r="EL98" s="296"/>
      <c r="EM98" s="296"/>
      <c r="EN98" s="296"/>
      <c r="EO98" s="296"/>
      <c r="EP98" s="296"/>
      <c r="EQ98" s="296"/>
      <c r="ER98" s="296"/>
      <c r="ES98" s="296"/>
      <c r="ET98" s="296"/>
      <c r="EU98" s="296"/>
      <c r="EV98" s="296"/>
      <c r="EW98" s="296"/>
      <c r="EX98" s="296"/>
      <c r="EY98" s="296"/>
      <c r="EZ98" s="296"/>
      <c r="FA98" s="296"/>
      <c r="FB98" s="296"/>
      <c r="FC98" s="296"/>
      <c r="FD98" s="296"/>
      <c r="FE98" s="297"/>
      <c r="FF98" s="296"/>
      <c r="FG98" s="296"/>
      <c r="FH98" s="296"/>
      <c r="FI98" s="296"/>
      <c r="FJ98" s="296"/>
      <c r="FK98" s="296"/>
      <c r="FL98" s="296"/>
      <c r="FM98" s="296"/>
      <c r="FN98" s="296"/>
      <c r="FO98" s="296"/>
      <c r="FP98" s="296"/>
      <c r="FQ98" s="296"/>
      <c r="FR98" s="296"/>
      <c r="FS98" s="296"/>
      <c r="FT98" s="296"/>
      <c r="FU98" s="296"/>
      <c r="FV98" s="296"/>
      <c r="FW98" s="296"/>
      <c r="FX98" s="296"/>
      <c r="FY98" s="296"/>
      <c r="FZ98" s="296"/>
      <c r="GA98" s="296"/>
      <c r="GB98" s="296"/>
      <c r="GC98" s="296"/>
      <c r="GD98" s="296"/>
      <c r="GE98" s="296"/>
      <c r="GF98" s="296"/>
      <c r="GG98" s="296"/>
      <c r="GH98" s="296"/>
      <c r="GI98" s="296"/>
      <c r="GJ98" s="296"/>
      <c r="GK98" s="296"/>
      <c r="GL98" s="296"/>
      <c r="GM98" s="296"/>
      <c r="GN98" s="296"/>
      <c r="GO98" s="296"/>
      <c r="GP98" s="296"/>
      <c r="GQ98" s="296"/>
      <c r="GR98" s="296"/>
      <c r="GS98" s="296"/>
      <c r="GT98" s="296"/>
      <c r="GU98" s="296"/>
      <c r="GV98" s="296"/>
      <c r="GW98" s="296"/>
      <c r="GX98" s="296"/>
      <c r="GY98" s="296"/>
      <c r="GZ98" s="296"/>
      <c r="HA98" s="296"/>
      <c r="HB98" s="296"/>
      <c r="HC98" s="296"/>
      <c r="HD98" s="296"/>
      <c r="HE98" s="296"/>
      <c r="HF98" s="296"/>
      <c r="HG98" s="296"/>
      <c r="HH98" s="296"/>
      <c r="HI98" s="296"/>
    </row>
    <row r="99" spans="1:217" ht="15" customHeight="1">
      <c r="A99" s="150"/>
      <c r="B99" s="150"/>
      <c r="C99" s="405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AB99" s="511"/>
      <c r="AC99" s="511"/>
      <c r="AD99" s="511"/>
      <c r="AE99" s="511"/>
      <c r="AF99" s="511"/>
      <c r="AG99" s="511"/>
      <c r="AH99" s="511"/>
      <c r="AI99" s="511"/>
      <c r="AJ99" s="511"/>
      <c r="AK99" s="511"/>
      <c r="AL99" s="511"/>
      <c r="AM99" s="511"/>
      <c r="AN99" s="511"/>
      <c r="AO99" s="511"/>
      <c r="AP99" s="296"/>
      <c r="AQ99" s="296"/>
      <c r="AR99" s="296"/>
      <c r="AS99" s="296"/>
      <c r="AT99" s="296"/>
      <c r="AU99" s="296"/>
      <c r="AV99" s="296"/>
      <c r="AW99" s="296"/>
      <c r="AX99" s="296"/>
      <c r="AY99" s="296"/>
      <c r="AZ99" s="296"/>
      <c r="BA99" s="296"/>
      <c r="BB99" s="296"/>
      <c r="BC99" s="296"/>
      <c r="BD99" s="296"/>
      <c r="BE99" s="296"/>
      <c r="BF99" s="296"/>
      <c r="BG99" s="296"/>
      <c r="BH99" s="296"/>
      <c r="BI99" s="296"/>
      <c r="BJ99" s="296"/>
      <c r="BK99" s="296"/>
      <c r="BL99" s="296"/>
      <c r="BM99" s="296"/>
      <c r="BN99" s="296"/>
      <c r="BO99" s="296"/>
      <c r="BP99" s="296"/>
      <c r="BQ99" s="296"/>
      <c r="BR99" s="296"/>
      <c r="BS99" s="296"/>
      <c r="BT99" s="296"/>
      <c r="BU99" s="296"/>
      <c r="BV99" s="296"/>
      <c r="BW99" s="296"/>
      <c r="BX99" s="296"/>
      <c r="BY99" s="296"/>
      <c r="BZ99" s="296"/>
      <c r="CA99" s="296"/>
      <c r="CB99" s="296"/>
      <c r="CC99" s="296"/>
      <c r="CD99" s="296"/>
      <c r="CE99" s="296"/>
      <c r="CF99" s="296"/>
      <c r="CG99" s="296"/>
      <c r="CH99" s="296"/>
      <c r="CI99" s="296"/>
      <c r="CJ99" s="296"/>
      <c r="CK99" s="296"/>
      <c r="CL99" s="296"/>
      <c r="CM99" s="296"/>
      <c r="CN99" s="296"/>
      <c r="CO99" s="296"/>
      <c r="CP99" s="296"/>
      <c r="CQ99" s="296"/>
      <c r="CR99" s="296"/>
      <c r="CS99" s="296"/>
      <c r="CT99" s="296"/>
      <c r="CU99" s="296"/>
      <c r="CV99" s="296"/>
      <c r="CW99" s="296"/>
      <c r="CX99" s="296"/>
      <c r="CY99" s="296"/>
      <c r="CZ99" s="296"/>
      <c r="DA99" s="296"/>
      <c r="DB99" s="296"/>
      <c r="DC99" s="296"/>
      <c r="DD99" s="296"/>
      <c r="DE99" s="296"/>
      <c r="DF99" s="296"/>
      <c r="DG99" s="296"/>
      <c r="DH99" s="296"/>
      <c r="DI99" s="296"/>
      <c r="DJ99" s="296"/>
      <c r="DK99" s="296"/>
      <c r="DL99" s="296"/>
      <c r="DM99" s="296"/>
      <c r="DN99" s="296"/>
      <c r="DO99" s="296"/>
      <c r="DP99" s="296"/>
      <c r="DQ99" s="296"/>
      <c r="DR99" s="296"/>
      <c r="DS99" s="296"/>
      <c r="DT99" s="296"/>
      <c r="DU99" s="296"/>
      <c r="DV99" s="296"/>
      <c r="DW99" s="296"/>
      <c r="DX99" s="296"/>
      <c r="DY99" s="296"/>
      <c r="DZ99" s="296"/>
      <c r="EA99" s="296"/>
      <c r="EB99" s="296"/>
      <c r="EC99" s="296"/>
      <c r="ED99" s="296"/>
      <c r="EE99" s="296"/>
      <c r="EF99" s="296"/>
      <c r="EG99" s="296"/>
      <c r="EH99" s="296"/>
      <c r="EI99" s="296"/>
      <c r="EJ99" s="296"/>
      <c r="EK99" s="296"/>
      <c r="EL99" s="296"/>
      <c r="EM99" s="296"/>
      <c r="EN99" s="296"/>
      <c r="EO99" s="296"/>
      <c r="EP99" s="296"/>
      <c r="EQ99" s="296"/>
      <c r="ER99" s="296"/>
      <c r="ES99" s="296"/>
      <c r="ET99" s="296"/>
      <c r="EU99" s="296"/>
      <c r="EV99" s="296"/>
      <c r="EW99" s="296"/>
      <c r="EX99" s="296"/>
      <c r="EY99" s="296"/>
      <c r="EZ99" s="296"/>
      <c r="FA99" s="296"/>
      <c r="FB99" s="296"/>
      <c r="FC99" s="296"/>
      <c r="FD99" s="296"/>
      <c r="FE99" s="297"/>
      <c r="FF99" s="296"/>
      <c r="FG99" s="296"/>
      <c r="FH99" s="296"/>
      <c r="FI99" s="296"/>
      <c r="FJ99" s="296"/>
      <c r="FK99" s="296"/>
      <c r="FL99" s="296"/>
      <c r="FM99" s="296"/>
      <c r="FN99" s="296"/>
      <c r="FO99" s="296"/>
      <c r="FP99" s="296"/>
      <c r="FQ99" s="296"/>
      <c r="FR99" s="296"/>
      <c r="FS99" s="296"/>
      <c r="FT99" s="296"/>
      <c r="FU99" s="296"/>
      <c r="FV99" s="296"/>
      <c r="FW99" s="296"/>
      <c r="FX99" s="296"/>
      <c r="FY99" s="296"/>
      <c r="FZ99" s="296"/>
      <c r="GA99" s="296"/>
      <c r="GB99" s="296"/>
      <c r="GC99" s="296"/>
      <c r="GD99" s="296"/>
      <c r="GE99" s="296"/>
      <c r="GF99" s="296"/>
      <c r="GG99" s="296"/>
      <c r="GH99" s="296"/>
      <c r="GI99" s="296"/>
      <c r="GJ99" s="296"/>
      <c r="GK99" s="296"/>
      <c r="GL99" s="296"/>
      <c r="GM99" s="296"/>
      <c r="GN99" s="296"/>
      <c r="GO99" s="296"/>
      <c r="GP99" s="296"/>
      <c r="GQ99" s="296"/>
      <c r="GR99" s="296"/>
      <c r="GS99" s="296"/>
      <c r="GT99" s="296"/>
      <c r="GU99" s="296"/>
      <c r="GV99" s="296"/>
      <c r="GW99" s="296"/>
      <c r="GX99" s="296"/>
      <c r="GY99" s="296"/>
      <c r="GZ99" s="296"/>
      <c r="HA99" s="296"/>
      <c r="HB99" s="296"/>
      <c r="HC99" s="296"/>
      <c r="HD99" s="296"/>
      <c r="HE99" s="296"/>
      <c r="HF99" s="296"/>
      <c r="HG99" s="296"/>
      <c r="HH99" s="296"/>
      <c r="HI99" s="296"/>
    </row>
    <row r="100" spans="1:217" ht="15" customHeight="1">
      <c r="A100" s="150"/>
      <c r="B100" s="150"/>
      <c r="C100" s="405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AB100" s="511"/>
      <c r="AC100" s="511"/>
      <c r="AD100" s="511"/>
      <c r="AE100" s="511"/>
      <c r="AF100" s="511"/>
      <c r="AG100" s="511"/>
      <c r="AH100" s="511"/>
      <c r="AI100" s="511"/>
      <c r="AJ100" s="511"/>
      <c r="AK100" s="511"/>
      <c r="AL100" s="511"/>
      <c r="AM100" s="511"/>
      <c r="AN100" s="511"/>
      <c r="AO100" s="511"/>
      <c r="AP100" s="296"/>
      <c r="AQ100" s="296"/>
      <c r="AR100" s="296"/>
      <c r="AS100" s="296"/>
      <c r="AT100" s="296"/>
      <c r="AU100" s="296"/>
      <c r="AV100" s="296"/>
      <c r="AW100" s="296"/>
      <c r="AX100" s="296"/>
      <c r="AY100" s="296"/>
      <c r="AZ100" s="296"/>
      <c r="BA100" s="296"/>
      <c r="BB100" s="296"/>
      <c r="BC100" s="296"/>
      <c r="BD100" s="296"/>
      <c r="BE100" s="296"/>
      <c r="BF100" s="296"/>
      <c r="BG100" s="296"/>
      <c r="BH100" s="296"/>
      <c r="BI100" s="296"/>
      <c r="BJ100" s="296"/>
      <c r="BK100" s="296"/>
      <c r="BL100" s="296"/>
      <c r="BM100" s="296"/>
      <c r="BN100" s="296"/>
      <c r="BO100" s="296"/>
      <c r="BP100" s="296"/>
      <c r="BQ100" s="296"/>
      <c r="BR100" s="296"/>
      <c r="BS100" s="296"/>
      <c r="BT100" s="296"/>
      <c r="BU100" s="296"/>
      <c r="BV100" s="296"/>
      <c r="BW100" s="296"/>
      <c r="BX100" s="296"/>
      <c r="BY100" s="296"/>
      <c r="BZ100" s="296"/>
      <c r="CA100" s="296"/>
      <c r="CB100" s="296"/>
      <c r="CC100" s="296"/>
      <c r="CD100" s="296"/>
      <c r="CE100" s="296"/>
      <c r="CF100" s="296"/>
      <c r="CG100" s="296"/>
      <c r="CH100" s="296"/>
      <c r="CI100" s="296"/>
      <c r="CJ100" s="296"/>
      <c r="CK100" s="296"/>
      <c r="CL100" s="296"/>
      <c r="CM100" s="296"/>
      <c r="CN100" s="296"/>
      <c r="CO100" s="296"/>
      <c r="CP100" s="296"/>
      <c r="CQ100" s="296"/>
      <c r="CR100" s="296"/>
      <c r="CS100" s="296"/>
      <c r="CT100" s="296"/>
      <c r="CU100" s="296"/>
      <c r="CV100" s="296"/>
      <c r="CW100" s="296"/>
      <c r="CX100" s="296"/>
      <c r="CY100" s="296"/>
      <c r="CZ100" s="296"/>
      <c r="DA100" s="296"/>
      <c r="DB100" s="296"/>
      <c r="DC100" s="296"/>
      <c r="DD100" s="296"/>
      <c r="DE100" s="296"/>
      <c r="DF100" s="296"/>
      <c r="DG100" s="296"/>
      <c r="DH100" s="296"/>
      <c r="DI100" s="296"/>
      <c r="DJ100" s="296"/>
      <c r="DK100" s="296"/>
      <c r="DL100" s="296"/>
      <c r="DM100" s="296"/>
      <c r="DN100" s="296"/>
      <c r="DO100" s="296"/>
      <c r="DP100" s="296"/>
      <c r="DQ100" s="296"/>
      <c r="DR100" s="296"/>
      <c r="DS100" s="296"/>
      <c r="DT100" s="296"/>
      <c r="DU100" s="296"/>
      <c r="DV100" s="296"/>
      <c r="DW100" s="296"/>
      <c r="DX100" s="296"/>
      <c r="DY100" s="296"/>
      <c r="DZ100" s="296"/>
      <c r="EA100" s="296"/>
      <c r="EB100" s="296"/>
      <c r="EC100" s="296"/>
      <c r="ED100" s="296"/>
      <c r="EE100" s="296"/>
      <c r="EF100" s="296"/>
      <c r="EG100" s="296"/>
      <c r="EH100" s="296"/>
      <c r="EI100" s="296"/>
      <c r="EJ100" s="296"/>
      <c r="EK100" s="296"/>
      <c r="EL100" s="296"/>
      <c r="EM100" s="296"/>
      <c r="EN100" s="296"/>
      <c r="EO100" s="296"/>
      <c r="EP100" s="296"/>
      <c r="EQ100" s="296"/>
      <c r="ER100" s="296"/>
      <c r="ES100" s="296"/>
      <c r="ET100" s="296"/>
      <c r="EU100" s="296"/>
      <c r="EV100" s="296"/>
      <c r="EW100" s="296"/>
      <c r="EX100" s="296"/>
      <c r="EY100" s="296"/>
      <c r="EZ100" s="296"/>
      <c r="FA100" s="296"/>
      <c r="FB100" s="296"/>
      <c r="FC100" s="296"/>
      <c r="FD100" s="296"/>
      <c r="FE100" s="297"/>
      <c r="FF100" s="296"/>
      <c r="FG100" s="296"/>
      <c r="FH100" s="296"/>
      <c r="FI100" s="296"/>
      <c r="FJ100" s="296"/>
      <c r="FK100" s="296"/>
      <c r="FL100" s="296"/>
      <c r="FM100" s="296"/>
      <c r="FN100" s="296"/>
      <c r="FO100" s="296"/>
      <c r="FP100" s="296"/>
      <c r="FQ100" s="296"/>
      <c r="FR100" s="296"/>
      <c r="FS100" s="296"/>
      <c r="FT100" s="296"/>
      <c r="FU100" s="296"/>
      <c r="FV100" s="296"/>
      <c r="FW100" s="296"/>
      <c r="FX100" s="296"/>
      <c r="FY100" s="296"/>
      <c r="FZ100" s="296"/>
      <c r="GA100" s="296"/>
      <c r="GB100" s="296"/>
      <c r="GC100" s="296"/>
      <c r="GD100" s="296"/>
      <c r="GE100" s="296"/>
      <c r="GF100" s="296"/>
      <c r="GG100" s="296"/>
      <c r="GH100" s="296"/>
      <c r="GI100" s="296"/>
      <c r="GJ100" s="296"/>
      <c r="GK100" s="296"/>
      <c r="GL100" s="296"/>
      <c r="GM100" s="296"/>
      <c r="GN100" s="296"/>
      <c r="GO100" s="296"/>
      <c r="GP100" s="296"/>
      <c r="GQ100" s="296"/>
      <c r="GR100" s="296"/>
      <c r="GS100" s="296"/>
      <c r="GT100" s="296"/>
      <c r="GU100" s="296"/>
      <c r="GV100" s="296"/>
      <c r="GW100" s="296"/>
      <c r="GX100" s="296"/>
      <c r="GY100" s="296"/>
      <c r="GZ100" s="296"/>
      <c r="HA100" s="296"/>
      <c r="HB100" s="296"/>
      <c r="HC100" s="296"/>
      <c r="HD100" s="296"/>
      <c r="HE100" s="296"/>
      <c r="HF100" s="296"/>
      <c r="HG100" s="296"/>
      <c r="HH100" s="296"/>
      <c r="HI100" s="296"/>
    </row>
    <row r="101" spans="1:217" ht="15" customHeight="1">
      <c r="A101" s="150"/>
      <c r="B101" s="150"/>
      <c r="C101" s="405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AB101" s="511"/>
      <c r="AC101" s="511"/>
      <c r="AD101" s="511"/>
      <c r="AE101" s="511"/>
      <c r="AF101" s="511"/>
      <c r="AG101" s="511"/>
      <c r="AH101" s="511"/>
      <c r="AI101" s="511"/>
      <c r="AJ101" s="511"/>
      <c r="AK101" s="511"/>
      <c r="AL101" s="511"/>
      <c r="AM101" s="511"/>
      <c r="AN101" s="511"/>
      <c r="AO101" s="511"/>
      <c r="AP101" s="296"/>
      <c r="AQ101" s="296"/>
      <c r="AR101" s="296"/>
      <c r="AS101" s="296"/>
      <c r="AT101" s="296"/>
      <c r="AU101" s="296"/>
      <c r="AV101" s="296"/>
      <c r="AW101" s="296"/>
      <c r="AX101" s="296"/>
      <c r="AY101" s="296"/>
      <c r="AZ101" s="296"/>
      <c r="BA101" s="296"/>
      <c r="BB101" s="296"/>
      <c r="BC101" s="296"/>
      <c r="BD101" s="296"/>
      <c r="BE101" s="296"/>
      <c r="BF101" s="296"/>
      <c r="BG101" s="296"/>
      <c r="BH101" s="296"/>
      <c r="BI101" s="296"/>
      <c r="BJ101" s="296"/>
      <c r="BK101" s="296"/>
      <c r="BL101" s="296"/>
      <c r="BM101" s="296"/>
      <c r="BN101" s="296"/>
      <c r="BO101" s="296"/>
      <c r="BP101" s="296"/>
      <c r="BQ101" s="296"/>
      <c r="BR101" s="296"/>
      <c r="BS101" s="296"/>
      <c r="BT101" s="296"/>
      <c r="BU101" s="296"/>
      <c r="BV101" s="296"/>
      <c r="BW101" s="296"/>
      <c r="BX101" s="296"/>
      <c r="BY101" s="296"/>
      <c r="BZ101" s="296"/>
      <c r="CA101" s="296"/>
      <c r="CB101" s="296"/>
      <c r="CC101" s="296"/>
      <c r="CD101" s="296"/>
      <c r="CE101" s="296"/>
      <c r="CF101" s="296"/>
      <c r="CG101" s="296"/>
      <c r="CH101" s="296"/>
      <c r="CI101" s="296"/>
      <c r="CJ101" s="296"/>
      <c r="CK101" s="296"/>
      <c r="CL101" s="296"/>
      <c r="CM101" s="296"/>
      <c r="CN101" s="296"/>
      <c r="CO101" s="296"/>
      <c r="CP101" s="296"/>
      <c r="CQ101" s="296"/>
      <c r="CR101" s="296"/>
      <c r="CS101" s="296"/>
      <c r="CT101" s="296"/>
      <c r="CU101" s="296"/>
      <c r="CV101" s="296"/>
      <c r="CW101" s="296"/>
      <c r="CX101" s="296"/>
      <c r="CY101" s="296"/>
      <c r="CZ101" s="296"/>
      <c r="DA101" s="296"/>
      <c r="DB101" s="296"/>
      <c r="DC101" s="296"/>
      <c r="DD101" s="296"/>
      <c r="DE101" s="296"/>
      <c r="DF101" s="296"/>
      <c r="DG101" s="296"/>
      <c r="DH101" s="296"/>
      <c r="DI101" s="296"/>
      <c r="DJ101" s="296"/>
      <c r="DK101" s="296"/>
      <c r="DL101" s="296"/>
      <c r="DM101" s="296"/>
      <c r="DN101" s="296"/>
      <c r="DO101" s="296"/>
      <c r="DP101" s="296"/>
      <c r="DQ101" s="296"/>
      <c r="DR101" s="296"/>
      <c r="DS101" s="296"/>
      <c r="DT101" s="296"/>
      <c r="DU101" s="296"/>
      <c r="DV101" s="296"/>
      <c r="DW101" s="296"/>
      <c r="DX101" s="296"/>
      <c r="DY101" s="296"/>
      <c r="DZ101" s="296"/>
      <c r="EA101" s="296"/>
      <c r="EB101" s="296"/>
      <c r="EC101" s="296"/>
      <c r="ED101" s="296"/>
      <c r="EE101" s="296"/>
      <c r="EF101" s="296"/>
      <c r="EG101" s="296"/>
      <c r="EH101" s="296"/>
      <c r="EI101" s="296"/>
      <c r="EJ101" s="296"/>
      <c r="EK101" s="296"/>
      <c r="EL101" s="296"/>
      <c r="EM101" s="296"/>
      <c r="EN101" s="296"/>
      <c r="EO101" s="296"/>
      <c r="EP101" s="296"/>
      <c r="EQ101" s="296"/>
      <c r="ER101" s="296"/>
      <c r="ES101" s="296"/>
      <c r="ET101" s="296"/>
      <c r="EU101" s="296"/>
      <c r="EV101" s="296"/>
      <c r="EW101" s="296"/>
      <c r="EX101" s="296"/>
      <c r="EY101" s="296"/>
      <c r="EZ101" s="296"/>
      <c r="FA101" s="296"/>
      <c r="FB101" s="296"/>
      <c r="FC101" s="296"/>
      <c r="FD101" s="296"/>
      <c r="FE101" s="297"/>
      <c r="FF101" s="296"/>
      <c r="FG101" s="296"/>
      <c r="FH101" s="296"/>
      <c r="FI101" s="296"/>
      <c r="FJ101" s="296"/>
      <c r="FK101" s="296"/>
      <c r="FL101" s="296"/>
      <c r="FM101" s="296"/>
      <c r="FN101" s="296"/>
      <c r="FO101" s="296"/>
      <c r="FP101" s="296"/>
      <c r="FQ101" s="296"/>
      <c r="FR101" s="296"/>
      <c r="FS101" s="296"/>
      <c r="FT101" s="296"/>
      <c r="FU101" s="296"/>
      <c r="FV101" s="296"/>
      <c r="FW101" s="296"/>
      <c r="FX101" s="296"/>
      <c r="FY101" s="296"/>
      <c r="FZ101" s="296"/>
      <c r="GA101" s="296"/>
      <c r="GB101" s="296"/>
      <c r="GC101" s="296"/>
      <c r="GD101" s="296"/>
      <c r="GE101" s="296"/>
      <c r="GF101" s="296"/>
      <c r="GG101" s="296"/>
      <c r="GH101" s="296"/>
      <c r="GI101" s="296"/>
      <c r="GJ101" s="296"/>
      <c r="GK101" s="296"/>
      <c r="GL101" s="296"/>
      <c r="GM101" s="296"/>
      <c r="GN101" s="296"/>
      <c r="GO101" s="296"/>
      <c r="GP101" s="296"/>
      <c r="GQ101" s="296"/>
      <c r="GR101" s="296"/>
      <c r="GS101" s="296"/>
      <c r="GT101" s="296"/>
      <c r="GU101" s="296"/>
      <c r="GV101" s="296"/>
      <c r="GW101" s="296"/>
      <c r="GX101" s="296"/>
      <c r="GY101" s="296"/>
      <c r="GZ101" s="296"/>
      <c r="HA101" s="296"/>
      <c r="HB101" s="296"/>
      <c r="HC101" s="296"/>
      <c r="HD101" s="296"/>
      <c r="HE101" s="296"/>
      <c r="HF101" s="296"/>
      <c r="HG101" s="296"/>
      <c r="HH101" s="296"/>
      <c r="HI101" s="296"/>
    </row>
    <row r="102" spans="1:217" ht="15" customHeight="1">
      <c r="A102" s="150"/>
      <c r="B102" s="150"/>
      <c r="C102" s="405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AB102" s="511"/>
      <c r="AC102" s="511"/>
      <c r="AD102" s="511"/>
      <c r="AE102" s="511"/>
      <c r="AF102" s="511"/>
      <c r="AG102" s="511"/>
      <c r="AH102" s="511"/>
      <c r="AI102" s="511"/>
      <c r="AJ102" s="511"/>
      <c r="AK102" s="511"/>
      <c r="AL102" s="511"/>
      <c r="AM102" s="511"/>
      <c r="AN102" s="511"/>
      <c r="AO102" s="511"/>
      <c r="AP102" s="296"/>
      <c r="AQ102" s="296"/>
      <c r="AR102" s="296"/>
      <c r="AS102" s="296"/>
      <c r="AT102" s="296"/>
      <c r="AU102" s="296"/>
      <c r="AV102" s="296"/>
      <c r="AW102" s="296"/>
      <c r="AX102" s="296"/>
      <c r="AY102" s="296"/>
      <c r="AZ102" s="296"/>
      <c r="BA102" s="296"/>
      <c r="BB102" s="296"/>
      <c r="BC102" s="296"/>
      <c r="BD102" s="296"/>
      <c r="BE102" s="296"/>
      <c r="BF102" s="296"/>
      <c r="BG102" s="296"/>
      <c r="BH102" s="296"/>
      <c r="BI102" s="296"/>
      <c r="BJ102" s="296"/>
      <c r="BK102" s="296"/>
      <c r="BL102" s="296"/>
      <c r="BM102" s="296"/>
      <c r="BN102" s="296"/>
      <c r="BO102" s="296"/>
      <c r="BP102" s="296"/>
      <c r="BQ102" s="296"/>
      <c r="BR102" s="296"/>
      <c r="BS102" s="296"/>
      <c r="BT102" s="296"/>
      <c r="BU102" s="296"/>
      <c r="BV102" s="296"/>
      <c r="BW102" s="296"/>
      <c r="BX102" s="296"/>
      <c r="BY102" s="296"/>
      <c r="BZ102" s="296"/>
      <c r="CA102" s="296"/>
      <c r="CB102" s="296"/>
      <c r="CC102" s="296"/>
      <c r="CD102" s="296"/>
      <c r="CE102" s="296"/>
      <c r="CF102" s="296"/>
      <c r="CG102" s="296"/>
      <c r="CH102" s="296"/>
      <c r="CI102" s="296"/>
      <c r="CJ102" s="296"/>
      <c r="CK102" s="296"/>
      <c r="CL102" s="296"/>
      <c r="CM102" s="296"/>
      <c r="CN102" s="296"/>
      <c r="CO102" s="296"/>
      <c r="CP102" s="296"/>
      <c r="CQ102" s="296"/>
      <c r="CR102" s="296"/>
      <c r="CS102" s="296"/>
      <c r="CT102" s="296"/>
      <c r="CU102" s="296"/>
      <c r="CV102" s="296"/>
      <c r="CW102" s="296"/>
      <c r="CX102" s="296"/>
      <c r="CY102" s="296"/>
      <c r="CZ102" s="296"/>
      <c r="DA102" s="296"/>
      <c r="DB102" s="296"/>
      <c r="DC102" s="296"/>
      <c r="DD102" s="296"/>
      <c r="DE102" s="296"/>
      <c r="DF102" s="296"/>
      <c r="DG102" s="296"/>
      <c r="DH102" s="296"/>
      <c r="DI102" s="296"/>
      <c r="DJ102" s="296"/>
      <c r="DK102" s="296"/>
      <c r="DL102" s="296"/>
      <c r="DM102" s="296"/>
      <c r="DN102" s="296"/>
      <c r="DO102" s="296"/>
      <c r="DP102" s="296"/>
      <c r="DQ102" s="296"/>
      <c r="DR102" s="296"/>
      <c r="DS102" s="296"/>
      <c r="DT102" s="296"/>
      <c r="DU102" s="296"/>
      <c r="DV102" s="296"/>
      <c r="DW102" s="296"/>
      <c r="DX102" s="296"/>
      <c r="DY102" s="296"/>
      <c r="DZ102" s="296"/>
      <c r="EA102" s="296"/>
      <c r="EB102" s="296"/>
      <c r="EC102" s="296"/>
      <c r="ED102" s="296"/>
      <c r="EE102" s="296"/>
      <c r="EF102" s="296"/>
      <c r="EG102" s="296"/>
      <c r="EH102" s="296"/>
      <c r="EI102" s="296"/>
      <c r="EJ102" s="296"/>
      <c r="EK102" s="296"/>
      <c r="EL102" s="296"/>
      <c r="EM102" s="296"/>
      <c r="EN102" s="296"/>
      <c r="EO102" s="296"/>
      <c r="EP102" s="296"/>
      <c r="EQ102" s="296"/>
      <c r="ER102" s="296"/>
      <c r="ES102" s="296"/>
      <c r="ET102" s="296"/>
      <c r="EU102" s="296"/>
      <c r="EV102" s="296"/>
      <c r="EW102" s="296"/>
      <c r="EX102" s="296"/>
      <c r="EY102" s="296"/>
      <c r="EZ102" s="296"/>
      <c r="FA102" s="296"/>
      <c r="FB102" s="296"/>
      <c r="FC102" s="296"/>
      <c r="FD102" s="296"/>
      <c r="FE102" s="297"/>
      <c r="FF102" s="296"/>
      <c r="FG102" s="296"/>
      <c r="FH102" s="296"/>
      <c r="FI102" s="296"/>
      <c r="FJ102" s="296"/>
      <c r="FK102" s="296"/>
      <c r="FL102" s="296"/>
      <c r="FM102" s="296"/>
      <c r="FN102" s="296"/>
      <c r="FO102" s="296"/>
      <c r="FP102" s="296"/>
      <c r="FQ102" s="296"/>
      <c r="FR102" s="296"/>
      <c r="FS102" s="296"/>
      <c r="FT102" s="296"/>
      <c r="FU102" s="296"/>
      <c r="FV102" s="296"/>
      <c r="FW102" s="296"/>
      <c r="FX102" s="296"/>
      <c r="FY102" s="296"/>
      <c r="FZ102" s="296"/>
      <c r="GA102" s="296"/>
      <c r="GB102" s="296"/>
      <c r="GC102" s="296"/>
      <c r="GD102" s="296"/>
      <c r="GE102" s="296"/>
      <c r="GF102" s="296"/>
      <c r="GG102" s="296"/>
      <c r="GH102" s="296"/>
      <c r="GI102" s="296"/>
      <c r="GJ102" s="296"/>
      <c r="GK102" s="296"/>
      <c r="GL102" s="296"/>
      <c r="GM102" s="296"/>
      <c r="GN102" s="296"/>
      <c r="GO102" s="296"/>
      <c r="GP102" s="296"/>
      <c r="GQ102" s="296"/>
      <c r="GR102" s="296"/>
      <c r="GS102" s="296"/>
      <c r="GT102" s="296"/>
      <c r="GU102" s="296"/>
      <c r="GV102" s="296"/>
      <c r="GW102" s="296"/>
      <c r="GX102" s="296"/>
      <c r="GY102" s="296"/>
      <c r="GZ102" s="296"/>
      <c r="HA102" s="296"/>
      <c r="HB102" s="296"/>
      <c r="HC102" s="296"/>
      <c r="HD102" s="296"/>
      <c r="HE102" s="296"/>
      <c r="HF102" s="296"/>
      <c r="HG102" s="296"/>
      <c r="HH102" s="296"/>
      <c r="HI102" s="296"/>
    </row>
    <row r="103" spans="1:217" ht="15" customHeight="1">
      <c r="A103" s="150"/>
      <c r="B103" s="150"/>
      <c r="C103" s="405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AB103" s="511"/>
      <c r="AC103" s="511"/>
      <c r="AD103" s="511"/>
      <c r="AE103" s="511"/>
      <c r="AF103" s="511"/>
      <c r="AG103" s="511"/>
      <c r="AH103" s="511"/>
      <c r="AI103" s="511"/>
      <c r="AJ103" s="511"/>
      <c r="AK103" s="511"/>
      <c r="AL103" s="511"/>
      <c r="AM103" s="511"/>
      <c r="AN103" s="511"/>
      <c r="AO103" s="511"/>
      <c r="AP103" s="296"/>
      <c r="AQ103" s="296"/>
      <c r="AR103" s="296"/>
      <c r="AS103" s="296"/>
      <c r="AT103" s="296"/>
      <c r="AU103" s="296"/>
      <c r="AV103" s="296"/>
      <c r="AW103" s="296"/>
      <c r="AX103" s="296"/>
      <c r="AY103" s="296"/>
      <c r="AZ103" s="296"/>
      <c r="BA103" s="296"/>
      <c r="BB103" s="296"/>
      <c r="BC103" s="296"/>
      <c r="BD103" s="296"/>
      <c r="BE103" s="296"/>
      <c r="BF103" s="296"/>
      <c r="BG103" s="296"/>
      <c r="BH103" s="296"/>
      <c r="BI103" s="296"/>
      <c r="BJ103" s="296"/>
      <c r="BK103" s="296"/>
      <c r="BL103" s="296"/>
      <c r="BM103" s="296"/>
      <c r="BN103" s="296"/>
      <c r="BO103" s="296"/>
      <c r="BP103" s="296"/>
      <c r="BQ103" s="296"/>
      <c r="BR103" s="296"/>
      <c r="BS103" s="296"/>
      <c r="BT103" s="296"/>
      <c r="BU103" s="296"/>
      <c r="BV103" s="296"/>
      <c r="BW103" s="296"/>
      <c r="BX103" s="296"/>
      <c r="BY103" s="296"/>
      <c r="BZ103" s="296"/>
      <c r="CA103" s="296"/>
      <c r="CB103" s="296"/>
      <c r="CC103" s="296"/>
      <c r="CD103" s="296"/>
      <c r="CE103" s="296"/>
      <c r="CF103" s="296"/>
      <c r="CG103" s="296"/>
      <c r="CH103" s="296"/>
      <c r="CI103" s="296"/>
      <c r="CJ103" s="296"/>
      <c r="CK103" s="296"/>
      <c r="CL103" s="296"/>
      <c r="CM103" s="296"/>
      <c r="CN103" s="296"/>
      <c r="CO103" s="296"/>
      <c r="CP103" s="296"/>
      <c r="CQ103" s="296"/>
      <c r="CR103" s="296"/>
      <c r="CS103" s="296"/>
      <c r="CT103" s="296"/>
      <c r="CU103" s="296"/>
      <c r="CV103" s="296"/>
      <c r="CW103" s="296"/>
      <c r="CX103" s="296"/>
      <c r="CY103" s="296"/>
      <c r="CZ103" s="296"/>
      <c r="DA103" s="296"/>
      <c r="DB103" s="296"/>
      <c r="DC103" s="296"/>
      <c r="DD103" s="296"/>
      <c r="DE103" s="296"/>
      <c r="DF103" s="296"/>
      <c r="DG103" s="296"/>
      <c r="DH103" s="296"/>
      <c r="DI103" s="296"/>
      <c r="DJ103" s="296"/>
      <c r="DK103" s="296"/>
      <c r="DL103" s="296"/>
      <c r="DM103" s="296"/>
      <c r="DN103" s="296"/>
      <c r="DO103" s="296"/>
      <c r="DP103" s="296"/>
      <c r="DQ103" s="296"/>
      <c r="DR103" s="296"/>
      <c r="DS103" s="296"/>
      <c r="DT103" s="296"/>
      <c r="DU103" s="296"/>
      <c r="DV103" s="296"/>
      <c r="DW103" s="296"/>
      <c r="DX103" s="296"/>
      <c r="DY103" s="296"/>
      <c r="DZ103" s="296"/>
      <c r="EA103" s="296"/>
      <c r="EB103" s="296"/>
      <c r="EC103" s="296"/>
      <c r="ED103" s="296"/>
      <c r="EE103" s="296"/>
      <c r="EF103" s="296"/>
      <c r="EG103" s="296"/>
      <c r="EH103" s="296"/>
      <c r="EI103" s="296"/>
      <c r="EJ103" s="296"/>
      <c r="EK103" s="296"/>
      <c r="EL103" s="296"/>
      <c r="EM103" s="296"/>
      <c r="EN103" s="296"/>
      <c r="EO103" s="296"/>
      <c r="EP103" s="296"/>
      <c r="EQ103" s="296"/>
      <c r="ER103" s="296"/>
      <c r="ES103" s="296"/>
      <c r="ET103" s="296"/>
      <c r="EU103" s="296"/>
      <c r="EV103" s="296"/>
      <c r="EW103" s="296"/>
      <c r="EX103" s="296"/>
      <c r="EY103" s="296"/>
      <c r="EZ103" s="296"/>
      <c r="FA103" s="296"/>
      <c r="FB103" s="296"/>
      <c r="FC103" s="296"/>
      <c r="FD103" s="296"/>
      <c r="FE103" s="297"/>
      <c r="FF103" s="296"/>
      <c r="FG103" s="296"/>
      <c r="FH103" s="296"/>
      <c r="FI103" s="296"/>
      <c r="FJ103" s="296"/>
      <c r="FK103" s="296"/>
      <c r="FL103" s="296"/>
      <c r="FM103" s="296"/>
      <c r="FN103" s="296"/>
      <c r="FO103" s="296"/>
      <c r="FP103" s="296"/>
      <c r="FQ103" s="296"/>
      <c r="FR103" s="296"/>
      <c r="FS103" s="296"/>
      <c r="FT103" s="296"/>
      <c r="FU103" s="296"/>
      <c r="FV103" s="296"/>
      <c r="FW103" s="296"/>
      <c r="FX103" s="296"/>
      <c r="FY103" s="296"/>
      <c r="FZ103" s="296"/>
      <c r="GA103" s="296"/>
      <c r="GB103" s="296"/>
      <c r="GC103" s="296"/>
      <c r="GD103" s="296"/>
      <c r="GE103" s="296"/>
      <c r="GF103" s="296"/>
      <c r="GG103" s="296"/>
      <c r="GH103" s="296"/>
      <c r="GI103" s="296"/>
      <c r="GJ103" s="296"/>
      <c r="GK103" s="296"/>
      <c r="GL103" s="296"/>
      <c r="GM103" s="296"/>
      <c r="GN103" s="296"/>
      <c r="GO103" s="296"/>
      <c r="GP103" s="296"/>
      <c r="GQ103" s="296"/>
      <c r="GR103" s="296"/>
      <c r="GS103" s="296"/>
      <c r="GT103" s="296"/>
      <c r="GU103" s="296"/>
      <c r="GV103" s="296"/>
      <c r="GW103" s="296"/>
      <c r="GX103" s="296"/>
      <c r="GY103" s="296"/>
      <c r="GZ103" s="296"/>
      <c r="HA103" s="296"/>
      <c r="HB103" s="296"/>
      <c r="HC103" s="296"/>
      <c r="HD103" s="296"/>
      <c r="HE103" s="296"/>
      <c r="HF103" s="296"/>
      <c r="HG103" s="296"/>
      <c r="HH103" s="296"/>
      <c r="HI103" s="296"/>
    </row>
    <row r="104" spans="1:217" ht="15" customHeight="1">
      <c r="A104" s="150"/>
      <c r="B104" s="150"/>
      <c r="C104" s="405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AB104" s="511"/>
      <c r="AC104" s="511"/>
      <c r="AD104" s="511"/>
      <c r="AE104" s="511"/>
      <c r="AF104" s="511"/>
      <c r="AG104" s="511"/>
      <c r="AH104" s="511"/>
      <c r="AI104" s="511"/>
      <c r="AJ104" s="511"/>
      <c r="AK104" s="511"/>
      <c r="AL104" s="511"/>
      <c r="AM104" s="511"/>
      <c r="AN104" s="511"/>
      <c r="AO104" s="511"/>
      <c r="AP104" s="296"/>
      <c r="AQ104" s="296"/>
      <c r="AR104" s="296"/>
      <c r="AS104" s="296"/>
      <c r="AT104" s="296"/>
      <c r="AU104" s="296"/>
      <c r="AV104" s="296"/>
      <c r="AW104" s="296"/>
      <c r="AX104" s="296"/>
      <c r="AY104" s="296"/>
      <c r="AZ104" s="296"/>
      <c r="BA104" s="296"/>
      <c r="BB104" s="296"/>
      <c r="BC104" s="296"/>
      <c r="BD104" s="296"/>
      <c r="BE104" s="296"/>
      <c r="BF104" s="296"/>
      <c r="BG104" s="296"/>
      <c r="BH104" s="296"/>
      <c r="BI104" s="296"/>
      <c r="BJ104" s="296"/>
      <c r="BK104" s="296"/>
      <c r="BL104" s="296"/>
      <c r="BM104" s="296"/>
      <c r="BN104" s="296"/>
      <c r="BO104" s="296"/>
      <c r="BP104" s="296"/>
      <c r="BQ104" s="296"/>
      <c r="BR104" s="296"/>
      <c r="BS104" s="296"/>
      <c r="BT104" s="296"/>
      <c r="BU104" s="296"/>
      <c r="BV104" s="296"/>
      <c r="BW104" s="296"/>
      <c r="BX104" s="296"/>
      <c r="BY104" s="296"/>
      <c r="BZ104" s="296"/>
      <c r="CA104" s="296"/>
      <c r="CB104" s="296"/>
      <c r="CC104" s="296"/>
      <c r="CD104" s="296"/>
      <c r="CE104" s="296"/>
      <c r="CF104" s="296"/>
      <c r="CG104" s="296"/>
      <c r="CH104" s="296"/>
      <c r="CI104" s="296"/>
      <c r="CJ104" s="296"/>
      <c r="CK104" s="296"/>
      <c r="CL104" s="296"/>
      <c r="CM104" s="296"/>
      <c r="CN104" s="296"/>
      <c r="CO104" s="296"/>
      <c r="CP104" s="296"/>
      <c r="CQ104" s="296"/>
      <c r="CR104" s="296"/>
      <c r="CS104" s="296"/>
      <c r="CT104" s="296"/>
      <c r="CU104" s="296"/>
      <c r="CV104" s="296"/>
      <c r="CW104" s="296"/>
      <c r="CX104" s="296"/>
      <c r="CY104" s="296"/>
      <c r="CZ104" s="296"/>
      <c r="DA104" s="296"/>
      <c r="DB104" s="296"/>
      <c r="DC104" s="296"/>
      <c r="DD104" s="296"/>
      <c r="DE104" s="296"/>
      <c r="DF104" s="296"/>
      <c r="DG104" s="296"/>
      <c r="DH104" s="296"/>
      <c r="DI104" s="296"/>
      <c r="DJ104" s="296"/>
      <c r="DK104" s="296"/>
      <c r="DL104" s="296"/>
      <c r="DM104" s="296"/>
      <c r="DN104" s="296"/>
      <c r="DO104" s="296"/>
      <c r="DP104" s="296"/>
      <c r="DQ104" s="296"/>
      <c r="DR104" s="296"/>
      <c r="DS104" s="296"/>
      <c r="DT104" s="296"/>
      <c r="DU104" s="296"/>
      <c r="DV104" s="296"/>
      <c r="DW104" s="296"/>
      <c r="DX104" s="296"/>
      <c r="DY104" s="296"/>
      <c r="DZ104" s="296"/>
      <c r="EA104" s="296"/>
      <c r="EB104" s="296"/>
      <c r="EC104" s="296"/>
      <c r="ED104" s="296"/>
      <c r="EE104" s="296"/>
      <c r="EF104" s="296"/>
      <c r="EG104" s="296"/>
      <c r="EH104" s="296"/>
      <c r="EI104" s="296"/>
      <c r="EJ104" s="296"/>
      <c r="EK104" s="296"/>
      <c r="EL104" s="296"/>
      <c r="EM104" s="296"/>
      <c r="EN104" s="296"/>
      <c r="EO104" s="296"/>
      <c r="EP104" s="296"/>
      <c r="EQ104" s="296"/>
      <c r="ER104" s="296"/>
      <c r="ES104" s="296"/>
      <c r="ET104" s="296"/>
      <c r="EU104" s="296"/>
      <c r="EV104" s="296"/>
      <c r="EW104" s="296"/>
      <c r="EX104" s="296"/>
      <c r="EY104" s="296"/>
      <c r="EZ104" s="296"/>
      <c r="FA104" s="296"/>
      <c r="FB104" s="296"/>
      <c r="FC104" s="296"/>
      <c r="FD104" s="296"/>
      <c r="FE104" s="297"/>
      <c r="FF104" s="296"/>
      <c r="FG104" s="296"/>
      <c r="FH104" s="296"/>
      <c r="FI104" s="296"/>
      <c r="FJ104" s="296"/>
      <c r="FK104" s="296"/>
      <c r="FL104" s="296"/>
      <c r="FM104" s="296"/>
      <c r="FN104" s="296"/>
      <c r="FO104" s="296"/>
      <c r="FP104" s="296"/>
      <c r="FQ104" s="296"/>
      <c r="FR104" s="296"/>
      <c r="FS104" s="296"/>
      <c r="FT104" s="296"/>
      <c r="FU104" s="296"/>
      <c r="FV104" s="296"/>
      <c r="FW104" s="296"/>
      <c r="FX104" s="296"/>
      <c r="FY104" s="296"/>
      <c r="FZ104" s="296"/>
      <c r="GA104" s="296"/>
      <c r="GB104" s="296"/>
      <c r="GC104" s="296"/>
      <c r="GD104" s="296"/>
      <c r="GE104" s="296"/>
      <c r="GF104" s="296"/>
      <c r="GG104" s="296"/>
      <c r="GH104" s="296"/>
      <c r="GI104" s="296"/>
      <c r="GJ104" s="296"/>
      <c r="GK104" s="296"/>
      <c r="GL104" s="296"/>
      <c r="GM104" s="296"/>
      <c r="GN104" s="296"/>
      <c r="GO104" s="296"/>
      <c r="GP104" s="296"/>
      <c r="GQ104" s="296"/>
      <c r="GR104" s="296"/>
      <c r="GS104" s="296"/>
      <c r="GT104" s="296"/>
      <c r="GU104" s="296"/>
      <c r="GV104" s="296"/>
      <c r="GW104" s="296"/>
      <c r="GX104" s="296"/>
      <c r="GY104" s="296"/>
      <c r="GZ104" s="296"/>
      <c r="HA104" s="296"/>
      <c r="HB104" s="296"/>
      <c r="HC104" s="296"/>
      <c r="HD104" s="296"/>
      <c r="HE104" s="296"/>
      <c r="HF104" s="296"/>
      <c r="HG104" s="296"/>
      <c r="HH104" s="296"/>
      <c r="HI104" s="296"/>
    </row>
    <row r="105" spans="1:217" ht="15" customHeight="1">
      <c r="A105" s="150"/>
      <c r="B105" s="150"/>
      <c r="C105" s="405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AB105" s="511"/>
      <c r="AC105" s="511"/>
      <c r="AD105" s="511"/>
      <c r="AE105" s="511"/>
      <c r="AF105" s="511"/>
      <c r="AG105" s="511"/>
      <c r="AH105" s="511"/>
      <c r="AI105" s="511"/>
      <c r="AJ105" s="511"/>
      <c r="AK105" s="511"/>
      <c r="AL105" s="511"/>
      <c r="AM105" s="511"/>
      <c r="AN105" s="511"/>
      <c r="AO105" s="511"/>
      <c r="AP105" s="296"/>
      <c r="AQ105" s="296"/>
      <c r="AR105" s="296"/>
      <c r="AS105" s="296"/>
      <c r="AT105" s="296"/>
      <c r="AU105" s="296"/>
      <c r="AV105" s="296"/>
      <c r="AW105" s="296"/>
      <c r="AX105" s="296"/>
      <c r="AY105" s="296"/>
      <c r="AZ105" s="296"/>
      <c r="BA105" s="296"/>
      <c r="BB105" s="296"/>
      <c r="BC105" s="296"/>
      <c r="BD105" s="296"/>
      <c r="BE105" s="296"/>
      <c r="BF105" s="296"/>
      <c r="BG105" s="296"/>
      <c r="BH105" s="296"/>
      <c r="BI105" s="296"/>
      <c r="BJ105" s="296"/>
      <c r="BK105" s="296"/>
      <c r="BL105" s="296"/>
      <c r="BM105" s="296"/>
      <c r="BN105" s="296"/>
      <c r="BO105" s="296"/>
      <c r="BP105" s="296"/>
      <c r="BQ105" s="296"/>
      <c r="BR105" s="296"/>
      <c r="BS105" s="296"/>
      <c r="BT105" s="296"/>
      <c r="BU105" s="296"/>
      <c r="BV105" s="296"/>
      <c r="BW105" s="296"/>
      <c r="BX105" s="296"/>
      <c r="BY105" s="296"/>
      <c r="BZ105" s="296"/>
      <c r="CA105" s="296"/>
      <c r="CB105" s="296"/>
      <c r="CC105" s="296"/>
      <c r="CD105" s="296"/>
      <c r="CE105" s="296"/>
      <c r="CF105" s="296"/>
      <c r="CG105" s="296"/>
      <c r="CH105" s="296"/>
      <c r="CI105" s="296"/>
      <c r="CJ105" s="296"/>
      <c r="CK105" s="296"/>
      <c r="CL105" s="296"/>
      <c r="CM105" s="296"/>
      <c r="CN105" s="296"/>
      <c r="CO105" s="296"/>
      <c r="CP105" s="296"/>
      <c r="CQ105" s="296"/>
      <c r="CR105" s="296"/>
      <c r="CS105" s="296"/>
      <c r="CT105" s="296"/>
      <c r="CU105" s="296"/>
      <c r="CV105" s="296"/>
      <c r="CW105" s="296"/>
      <c r="CX105" s="296"/>
      <c r="CY105" s="296"/>
      <c r="CZ105" s="296"/>
      <c r="DA105" s="296"/>
      <c r="DB105" s="296"/>
      <c r="DC105" s="296"/>
      <c r="DD105" s="296"/>
      <c r="DE105" s="296"/>
      <c r="DF105" s="296"/>
      <c r="DG105" s="296"/>
      <c r="DH105" s="296"/>
      <c r="DI105" s="296"/>
      <c r="DJ105" s="296"/>
      <c r="DK105" s="296"/>
      <c r="DL105" s="296"/>
      <c r="DM105" s="296"/>
      <c r="DN105" s="296"/>
      <c r="DO105" s="296"/>
      <c r="DP105" s="296"/>
      <c r="DQ105" s="296"/>
      <c r="DR105" s="296"/>
      <c r="DS105" s="296"/>
      <c r="DT105" s="296"/>
      <c r="DU105" s="296"/>
      <c r="DV105" s="296"/>
      <c r="DW105" s="296"/>
      <c r="DX105" s="296"/>
      <c r="DY105" s="296"/>
      <c r="DZ105" s="296"/>
      <c r="EA105" s="296"/>
      <c r="EB105" s="296"/>
      <c r="EC105" s="296"/>
      <c r="ED105" s="296"/>
      <c r="EE105" s="296"/>
      <c r="EF105" s="296"/>
      <c r="EG105" s="296"/>
      <c r="EH105" s="296"/>
      <c r="EI105" s="296"/>
      <c r="EJ105" s="296"/>
      <c r="EK105" s="296"/>
      <c r="EL105" s="296"/>
      <c r="EM105" s="296"/>
      <c r="EN105" s="296"/>
      <c r="EO105" s="296"/>
      <c r="EP105" s="296"/>
      <c r="EQ105" s="296"/>
      <c r="ER105" s="296"/>
      <c r="ES105" s="296"/>
      <c r="ET105" s="296"/>
      <c r="EU105" s="296"/>
      <c r="EV105" s="296"/>
      <c r="EW105" s="296"/>
      <c r="EX105" s="296"/>
      <c r="EY105" s="296"/>
      <c r="EZ105" s="296"/>
      <c r="FA105" s="296"/>
      <c r="FB105" s="296"/>
      <c r="FC105" s="296"/>
      <c r="FD105" s="296"/>
      <c r="FE105" s="297"/>
      <c r="FF105" s="296"/>
      <c r="FG105" s="296"/>
      <c r="FH105" s="296"/>
      <c r="FI105" s="296"/>
      <c r="FJ105" s="296"/>
      <c r="FK105" s="296"/>
      <c r="FL105" s="296"/>
      <c r="FM105" s="296"/>
      <c r="FN105" s="296"/>
      <c r="FO105" s="296"/>
      <c r="FP105" s="296"/>
      <c r="FQ105" s="296"/>
      <c r="FR105" s="296"/>
      <c r="FS105" s="296"/>
      <c r="FT105" s="296"/>
      <c r="FU105" s="296"/>
      <c r="FV105" s="296"/>
      <c r="FW105" s="296"/>
      <c r="FX105" s="296"/>
      <c r="FY105" s="296"/>
      <c r="FZ105" s="296"/>
      <c r="GA105" s="296"/>
      <c r="GB105" s="296"/>
      <c r="GC105" s="296"/>
      <c r="GD105" s="296"/>
      <c r="GE105" s="296"/>
      <c r="GF105" s="296"/>
      <c r="GG105" s="296"/>
      <c r="GH105" s="296"/>
      <c r="GI105" s="296"/>
      <c r="GJ105" s="296"/>
      <c r="GK105" s="296"/>
      <c r="GL105" s="296"/>
      <c r="GM105" s="296"/>
      <c r="GN105" s="296"/>
      <c r="GO105" s="296"/>
      <c r="GP105" s="296"/>
      <c r="GQ105" s="296"/>
      <c r="GR105" s="296"/>
      <c r="GS105" s="296"/>
      <c r="GT105" s="296"/>
      <c r="GU105" s="296"/>
      <c r="GV105" s="296"/>
      <c r="GW105" s="296"/>
      <c r="GX105" s="296"/>
      <c r="GY105" s="296"/>
      <c r="GZ105" s="296"/>
      <c r="HA105" s="296"/>
      <c r="HB105" s="296"/>
      <c r="HC105" s="296"/>
      <c r="HD105" s="296"/>
      <c r="HE105" s="296"/>
      <c r="HF105" s="296"/>
      <c r="HG105" s="296"/>
      <c r="HH105" s="296"/>
      <c r="HI105" s="296"/>
    </row>
    <row r="106" spans="1:217" ht="15" customHeight="1">
      <c r="A106" s="150"/>
      <c r="B106" s="150"/>
      <c r="C106" s="405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AB106" s="511"/>
      <c r="AC106" s="511"/>
      <c r="AD106" s="511"/>
      <c r="AE106" s="511"/>
      <c r="AF106" s="511"/>
      <c r="AG106" s="511"/>
      <c r="AH106" s="511"/>
      <c r="AI106" s="511"/>
      <c r="AJ106" s="511"/>
      <c r="AK106" s="511"/>
      <c r="AL106" s="511"/>
      <c r="AM106" s="511"/>
      <c r="AN106" s="511"/>
      <c r="AO106" s="511"/>
      <c r="AP106" s="296"/>
      <c r="AQ106" s="296"/>
      <c r="AR106" s="296"/>
      <c r="AS106" s="296"/>
      <c r="AT106" s="296"/>
      <c r="AU106" s="296"/>
      <c r="AV106" s="296"/>
      <c r="AW106" s="296"/>
      <c r="AX106" s="296"/>
      <c r="AY106" s="296"/>
      <c r="AZ106" s="296"/>
      <c r="BA106" s="296"/>
      <c r="BB106" s="296"/>
      <c r="BC106" s="296"/>
      <c r="BD106" s="296"/>
      <c r="BE106" s="296"/>
      <c r="BF106" s="296"/>
      <c r="BG106" s="296"/>
      <c r="BH106" s="296"/>
      <c r="BI106" s="296"/>
      <c r="BJ106" s="296"/>
      <c r="BK106" s="296"/>
      <c r="BL106" s="296"/>
      <c r="BM106" s="296"/>
      <c r="BN106" s="296"/>
      <c r="BO106" s="296"/>
      <c r="BP106" s="296"/>
      <c r="BQ106" s="296"/>
      <c r="BR106" s="296"/>
      <c r="BS106" s="296"/>
      <c r="BT106" s="296"/>
      <c r="BU106" s="296"/>
      <c r="BV106" s="296"/>
      <c r="BW106" s="296"/>
      <c r="BX106" s="296"/>
      <c r="BY106" s="296"/>
      <c r="BZ106" s="296"/>
      <c r="CA106" s="296"/>
      <c r="CB106" s="296"/>
      <c r="CC106" s="296"/>
      <c r="CD106" s="296"/>
      <c r="CE106" s="296"/>
      <c r="CF106" s="296"/>
      <c r="CG106" s="296"/>
      <c r="CH106" s="296"/>
      <c r="CI106" s="296"/>
      <c r="CJ106" s="296"/>
      <c r="CK106" s="296"/>
      <c r="CL106" s="296"/>
      <c r="CM106" s="296"/>
      <c r="CN106" s="296"/>
      <c r="CO106" s="296"/>
      <c r="CP106" s="296"/>
      <c r="CQ106" s="296"/>
      <c r="CR106" s="296"/>
      <c r="CS106" s="296"/>
      <c r="CT106" s="296"/>
      <c r="CU106" s="296"/>
      <c r="CV106" s="296"/>
      <c r="CW106" s="296"/>
      <c r="CX106" s="296"/>
      <c r="CY106" s="296"/>
      <c r="CZ106" s="296"/>
      <c r="DA106" s="296"/>
      <c r="DB106" s="296"/>
      <c r="DC106" s="296"/>
      <c r="DD106" s="296"/>
      <c r="DE106" s="296"/>
      <c r="DF106" s="296"/>
      <c r="DG106" s="296"/>
      <c r="DH106" s="296"/>
      <c r="DI106" s="296"/>
      <c r="DJ106" s="296"/>
      <c r="DK106" s="296"/>
      <c r="DL106" s="296"/>
      <c r="DM106" s="296"/>
      <c r="DN106" s="296"/>
      <c r="DO106" s="296"/>
      <c r="DP106" s="296"/>
      <c r="DQ106" s="296"/>
      <c r="DR106" s="296"/>
      <c r="DS106" s="296"/>
      <c r="DT106" s="296"/>
      <c r="DU106" s="296"/>
      <c r="DV106" s="296"/>
      <c r="DW106" s="296"/>
      <c r="DX106" s="296"/>
      <c r="DY106" s="296"/>
      <c r="DZ106" s="296"/>
      <c r="EA106" s="296"/>
      <c r="EB106" s="296"/>
      <c r="EC106" s="296"/>
      <c r="ED106" s="296"/>
      <c r="EE106" s="296"/>
      <c r="EF106" s="296"/>
      <c r="EG106" s="296"/>
      <c r="EH106" s="296"/>
      <c r="EI106" s="296"/>
      <c r="EJ106" s="296"/>
      <c r="EK106" s="296"/>
      <c r="EL106" s="296"/>
      <c r="EM106" s="296"/>
      <c r="EN106" s="296"/>
      <c r="EO106" s="296"/>
      <c r="EP106" s="296"/>
      <c r="EQ106" s="296"/>
      <c r="ER106" s="296"/>
      <c r="ES106" s="296"/>
      <c r="ET106" s="296"/>
      <c r="EU106" s="296"/>
      <c r="EV106" s="296"/>
      <c r="EW106" s="296"/>
      <c r="EX106" s="296"/>
      <c r="EY106" s="296"/>
      <c r="EZ106" s="296"/>
      <c r="FA106" s="296"/>
      <c r="FB106" s="296"/>
      <c r="FC106" s="296"/>
      <c r="FD106" s="296"/>
      <c r="FE106" s="297"/>
      <c r="FF106" s="296"/>
      <c r="FG106" s="296"/>
      <c r="FH106" s="296"/>
      <c r="FI106" s="296"/>
      <c r="FJ106" s="296"/>
      <c r="FK106" s="296"/>
      <c r="FL106" s="296"/>
      <c r="FM106" s="296"/>
      <c r="FN106" s="296"/>
      <c r="FO106" s="296"/>
      <c r="FP106" s="296"/>
      <c r="FQ106" s="296"/>
      <c r="FR106" s="296"/>
      <c r="FS106" s="296"/>
      <c r="FT106" s="296"/>
      <c r="FU106" s="296"/>
      <c r="FV106" s="296"/>
      <c r="FW106" s="296"/>
      <c r="FX106" s="296"/>
      <c r="FY106" s="296"/>
      <c r="FZ106" s="296"/>
      <c r="GA106" s="296"/>
      <c r="GB106" s="296"/>
      <c r="GC106" s="296"/>
      <c r="GD106" s="296"/>
      <c r="GE106" s="296"/>
      <c r="GF106" s="296"/>
      <c r="GG106" s="296"/>
      <c r="GH106" s="296"/>
      <c r="GI106" s="296"/>
      <c r="GJ106" s="296"/>
      <c r="GK106" s="296"/>
      <c r="GL106" s="296"/>
      <c r="GM106" s="296"/>
      <c r="GN106" s="296"/>
      <c r="GO106" s="296"/>
      <c r="GP106" s="296"/>
      <c r="GQ106" s="296"/>
      <c r="GR106" s="296"/>
      <c r="GS106" s="296"/>
      <c r="GT106" s="296"/>
      <c r="GU106" s="296"/>
      <c r="GV106" s="296"/>
      <c r="GW106" s="296"/>
      <c r="GX106" s="296"/>
      <c r="GY106" s="296"/>
      <c r="GZ106" s="296"/>
      <c r="HA106" s="296"/>
      <c r="HB106" s="296"/>
      <c r="HC106" s="296"/>
      <c r="HD106" s="296"/>
      <c r="HE106" s="296"/>
      <c r="HF106" s="296"/>
      <c r="HG106" s="296"/>
      <c r="HH106" s="296"/>
      <c r="HI106" s="296"/>
    </row>
    <row r="107" spans="1:217" ht="15" customHeight="1">
      <c r="A107" s="150"/>
      <c r="B107" s="150"/>
      <c r="C107" s="405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AB107" s="511"/>
      <c r="AC107" s="511"/>
      <c r="AD107" s="511"/>
      <c r="AE107" s="511"/>
      <c r="AF107" s="511"/>
      <c r="AG107" s="511"/>
      <c r="AH107" s="511"/>
      <c r="AI107" s="511"/>
      <c r="AJ107" s="511"/>
      <c r="AK107" s="511"/>
      <c r="AL107" s="511"/>
      <c r="AM107" s="511"/>
      <c r="AN107" s="511"/>
      <c r="AO107" s="511"/>
      <c r="AP107" s="296"/>
      <c r="AQ107" s="296"/>
      <c r="AR107" s="296"/>
      <c r="AS107" s="296"/>
      <c r="AT107" s="296"/>
      <c r="AU107" s="296"/>
      <c r="AV107" s="296"/>
      <c r="AW107" s="296"/>
      <c r="AX107" s="296"/>
      <c r="AY107" s="296"/>
      <c r="AZ107" s="296"/>
      <c r="BA107" s="296"/>
      <c r="BB107" s="296"/>
      <c r="BC107" s="296"/>
      <c r="BD107" s="296"/>
      <c r="BE107" s="296"/>
      <c r="BF107" s="296"/>
      <c r="BG107" s="296"/>
      <c r="BH107" s="296"/>
      <c r="BI107" s="296"/>
      <c r="BJ107" s="296"/>
      <c r="BK107" s="296"/>
      <c r="BL107" s="296"/>
      <c r="BM107" s="296"/>
      <c r="BN107" s="296"/>
      <c r="BO107" s="296"/>
      <c r="BP107" s="296"/>
      <c r="BQ107" s="296"/>
      <c r="BR107" s="296"/>
      <c r="BS107" s="296"/>
      <c r="BT107" s="296"/>
      <c r="BU107" s="296"/>
      <c r="BV107" s="296"/>
      <c r="BW107" s="296"/>
      <c r="BX107" s="296"/>
      <c r="BY107" s="296"/>
      <c r="BZ107" s="296"/>
      <c r="CA107" s="296"/>
      <c r="CB107" s="296"/>
      <c r="CC107" s="296"/>
      <c r="CD107" s="296"/>
      <c r="CE107" s="296"/>
      <c r="CF107" s="296"/>
      <c r="CG107" s="296"/>
      <c r="CH107" s="296"/>
      <c r="CI107" s="296"/>
      <c r="CJ107" s="296"/>
      <c r="CK107" s="296"/>
      <c r="CL107" s="296"/>
      <c r="CM107" s="296"/>
      <c r="CN107" s="296"/>
      <c r="CO107" s="296"/>
      <c r="CP107" s="296"/>
      <c r="CQ107" s="296"/>
      <c r="CR107" s="296"/>
      <c r="CS107" s="296"/>
      <c r="CT107" s="296"/>
      <c r="CU107" s="296"/>
      <c r="CV107" s="296"/>
      <c r="CW107" s="296"/>
      <c r="CX107" s="296"/>
      <c r="CY107" s="296"/>
      <c r="CZ107" s="296"/>
      <c r="DA107" s="296"/>
      <c r="DB107" s="296"/>
      <c r="DC107" s="296"/>
      <c r="DD107" s="296"/>
      <c r="DE107" s="296"/>
      <c r="DF107" s="296"/>
      <c r="DG107" s="296"/>
      <c r="DH107" s="296"/>
      <c r="DI107" s="296"/>
      <c r="DJ107" s="296"/>
      <c r="DK107" s="296"/>
      <c r="DL107" s="296"/>
      <c r="DM107" s="296"/>
      <c r="DN107" s="296"/>
      <c r="DO107" s="296"/>
      <c r="DP107" s="296"/>
      <c r="DQ107" s="296"/>
      <c r="DR107" s="296"/>
      <c r="DS107" s="296"/>
      <c r="DT107" s="296"/>
      <c r="DU107" s="296"/>
      <c r="DV107" s="296"/>
      <c r="DW107" s="296"/>
      <c r="DX107" s="296"/>
      <c r="DY107" s="296"/>
      <c r="DZ107" s="296"/>
      <c r="EA107" s="296"/>
      <c r="EB107" s="296"/>
      <c r="EC107" s="296"/>
      <c r="ED107" s="296"/>
      <c r="EE107" s="296"/>
      <c r="EF107" s="296"/>
      <c r="EG107" s="296"/>
      <c r="EH107" s="296"/>
      <c r="EI107" s="296"/>
      <c r="EJ107" s="296"/>
      <c r="EK107" s="296"/>
      <c r="EL107" s="296"/>
      <c r="EM107" s="296"/>
      <c r="EN107" s="296"/>
      <c r="EO107" s="296"/>
      <c r="EP107" s="296"/>
      <c r="EQ107" s="296"/>
      <c r="ER107" s="296"/>
      <c r="ES107" s="296"/>
      <c r="ET107" s="296"/>
      <c r="EU107" s="296"/>
      <c r="EV107" s="296"/>
      <c r="EW107" s="296"/>
      <c r="EX107" s="296"/>
      <c r="EY107" s="296"/>
      <c r="EZ107" s="296"/>
      <c r="FA107" s="296"/>
      <c r="FB107" s="296"/>
      <c r="FC107" s="296"/>
      <c r="FD107" s="296"/>
      <c r="FE107" s="297"/>
      <c r="FF107" s="296"/>
      <c r="FG107" s="296"/>
      <c r="FH107" s="296"/>
      <c r="FI107" s="296"/>
      <c r="FJ107" s="296"/>
      <c r="FK107" s="296"/>
      <c r="FL107" s="296"/>
      <c r="FM107" s="296"/>
      <c r="FN107" s="296"/>
      <c r="FO107" s="296"/>
      <c r="FP107" s="296"/>
      <c r="FQ107" s="296"/>
      <c r="FR107" s="296"/>
      <c r="FS107" s="296"/>
      <c r="FT107" s="296"/>
      <c r="FU107" s="296"/>
      <c r="FV107" s="296"/>
      <c r="FW107" s="296"/>
      <c r="FX107" s="296"/>
      <c r="FY107" s="296"/>
      <c r="FZ107" s="296"/>
      <c r="GA107" s="296"/>
      <c r="GB107" s="296"/>
      <c r="GC107" s="296"/>
      <c r="GD107" s="296"/>
      <c r="GE107" s="296"/>
      <c r="GF107" s="296"/>
      <c r="GG107" s="296"/>
      <c r="GH107" s="296"/>
      <c r="GI107" s="296"/>
      <c r="GJ107" s="296"/>
      <c r="GK107" s="296"/>
      <c r="GL107" s="296"/>
      <c r="GM107" s="296"/>
      <c r="GN107" s="296"/>
      <c r="GO107" s="296"/>
      <c r="GP107" s="296"/>
      <c r="GQ107" s="296"/>
      <c r="GR107" s="296"/>
      <c r="GS107" s="296"/>
      <c r="GT107" s="296"/>
      <c r="GU107" s="296"/>
      <c r="GV107" s="296"/>
      <c r="GW107" s="296"/>
      <c r="GX107" s="296"/>
      <c r="GY107" s="296"/>
      <c r="GZ107" s="296"/>
      <c r="HA107" s="296"/>
      <c r="HB107" s="296"/>
      <c r="HC107" s="296"/>
      <c r="HD107" s="296"/>
      <c r="HE107" s="296"/>
      <c r="HF107" s="296"/>
      <c r="HG107" s="296"/>
      <c r="HH107" s="296"/>
      <c r="HI107" s="296"/>
    </row>
    <row r="108" spans="1:217" ht="15" customHeight="1">
      <c r="A108" s="150"/>
      <c r="B108" s="150"/>
      <c r="C108" s="405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AB108" s="511"/>
      <c r="AC108" s="511"/>
      <c r="AD108" s="511"/>
      <c r="AE108" s="511"/>
      <c r="AF108" s="511"/>
      <c r="AG108" s="511"/>
      <c r="AH108" s="511"/>
      <c r="AI108" s="511"/>
      <c r="AJ108" s="511"/>
      <c r="AK108" s="511"/>
      <c r="AL108" s="511"/>
      <c r="AM108" s="511"/>
      <c r="AN108" s="511"/>
      <c r="AO108" s="511"/>
      <c r="AP108" s="296"/>
      <c r="AQ108" s="296"/>
      <c r="AR108" s="296"/>
      <c r="AS108" s="296"/>
      <c r="AT108" s="296"/>
      <c r="AU108" s="296"/>
      <c r="AV108" s="296"/>
      <c r="AW108" s="296"/>
      <c r="AX108" s="296"/>
      <c r="AY108" s="296"/>
      <c r="AZ108" s="296"/>
      <c r="BA108" s="296"/>
      <c r="BB108" s="296"/>
      <c r="BC108" s="296"/>
      <c r="BD108" s="296"/>
      <c r="BE108" s="296"/>
      <c r="BF108" s="296"/>
      <c r="BG108" s="296"/>
      <c r="BH108" s="296"/>
      <c r="BI108" s="296"/>
      <c r="BJ108" s="296"/>
      <c r="BK108" s="296"/>
      <c r="BL108" s="296"/>
      <c r="BM108" s="296"/>
      <c r="BN108" s="296"/>
      <c r="BO108" s="296"/>
      <c r="BP108" s="296"/>
      <c r="BQ108" s="296"/>
      <c r="BR108" s="296"/>
      <c r="BS108" s="296"/>
      <c r="BT108" s="296"/>
      <c r="BU108" s="296"/>
      <c r="BV108" s="296"/>
      <c r="BW108" s="296"/>
      <c r="BX108" s="296"/>
      <c r="BY108" s="296"/>
      <c r="BZ108" s="296"/>
      <c r="CA108" s="296"/>
      <c r="CB108" s="296"/>
      <c r="CC108" s="296"/>
      <c r="CD108" s="296"/>
      <c r="CE108" s="296"/>
      <c r="CF108" s="296"/>
      <c r="CG108" s="296"/>
      <c r="CH108" s="296"/>
      <c r="CI108" s="296"/>
      <c r="CJ108" s="296"/>
      <c r="CK108" s="296"/>
      <c r="CL108" s="296"/>
      <c r="CM108" s="296"/>
      <c r="CN108" s="296"/>
      <c r="CO108" s="296"/>
      <c r="CP108" s="296"/>
      <c r="CQ108" s="296"/>
      <c r="CR108" s="296"/>
      <c r="CS108" s="296"/>
      <c r="CT108" s="296"/>
      <c r="CU108" s="296"/>
      <c r="CV108" s="296"/>
      <c r="CW108" s="296"/>
      <c r="CX108" s="296"/>
      <c r="CY108" s="296"/>
      <c r="CZ108" s="296"/>
      <c r="DA108" s="296"/>
      <c r="DB108" s="296"/>
      <c r="DC108" s="296"/>
      <c r="DD108" s="296"/>
      <c r="DE108" s="296"/>
      <c r="DF108" s="296"/>
      <c r="DG108" s="296"/>
      <c r="DH108" s="296"/>
      <c r="DI108" s="296"/>
      <c r="DJ108" s="296"/>
      <c r="DK108" s="296"/>
      <c r="DL108" s="296"/>
      <c r="DM108" s="296"/>
      <c r="DN108" s="296"/>
      <c r="DO108" s="296"/>
      <c r="DP108" s="296"/>
      <c r="DQ108" s="296"/>
      <c r="DR108" s="296"/>
      <c r="DS108" s="296"/>
      <c r="DT108" s="296"/>
      <c r="DU108" s="296"/>
      <c r="DV108" s="296"/>
      <c r="DW108" s="296"/>
      <c r="DX108" s="296"/>
      <c r="DY108" s="296"/>
      <c r="DZ108" s="296"/>
      <c r="EA108" s="296"/>
      <c r="EB108" s="296"/>
      <c r="EC108" s="296"/>
      <c r="ED108" s="296"/>
      <c r="EE108" s="296"/>
      <c r="EF108" s="296"/>
      <c r="EG108" s="296"/>
      <c r="EH108" s="296"/>
      <c r="EI108" s="296"/>
      <c r="EJ108" s="296"/>
      <c r="EK108" s="296"/>
      <c r="EL108" s="296"/>
      <c r="EM108" s="296"/>
      <c r="EN108" s="296"/>
      <c r="EO108" s="296"/>
      <c r="EP108" s="296"/>
      <c r="EQ108" s="296"/>
      <c r="ER108" s="296"/>
      <c r="ES108" s="296"/>
      <c r="ET108" s="296"/>
      <c r="EU108" s="296"/>
      <c r="EV108" s="296"/>
      <c r="EW108" s="296"/>
      <c r="EX108" s="296"/>
      <c r="EY108" s="296"/>
      <c r="EZ108" s="296"/>
      <c r="FA108" s="296"/>
      <c r="FB108" s="296"/>
      <c r="FC108" s="296"/>
      <c r="FD108" s="296"/>
      <c r="FE108" s="297"/>
      <c r="FF108" s="296"/>
      <c r="FG108" s="296"/>
      <c r="FH108" s="296"/>
      <c r="FI108" s="296"/>
      <c r="FJ108" s="296"/>
      <c r="FK108" s="296"/>
      <c r="FL108" s="296"/>
      <c r="FM108" s="296"/>
      <c r="FN108" s="296"/>
      <c r="FO108" s="296"/>
      <c r="FP108" s="296"/>
      <c r="FQ108" s="296"/>
      <c r="FR108" s="296"/>
      <c r="FS108" s="296"/>
      <c r="FT108" s="296"/>
      <c r="FU108" s="296"/>
      <c r="FV108" s="296"/>
      <c r="FW108" s="296"/>
      <c r="FX108" s="296"/>
      <c r="FY108" s="296"/>
      <c r="FZ108" s="296"/>
      <c r="GA108" s="296"/>
      <c r="GB108" s="296"/>
      <c r="GC108" s="296"/>
      <c r="GD108" s="296"/>
      <c r="GE108" s="296"/>
      <c r="GF108" s="296"/>
      <c r="GG108" s="296"/>
      <c r="GH108" s="296"/>
      <c r="GI108" s="296"/>
      <c r="GJ108" s="296"/>
      <c r="GK108" s="296"/>
      <c r="GL108" s="296"/>
      <c r="GM108" s="296"/>
      <c r="GN108" s="296"/>
      <c r="GO108" s="296"/>
      <c r="GP108" s="296"/>
      <c r="GQ108" s="296"/>
      <c r="GR108" s="296"/>
      <c r="GS108" s="296"/>
      <c r="GT108" s="296"/>
      <c r="GU108" s="296"/>
      <c r="GV108" s="296"/>
      <c r="GW108" s="296"/>
      <c r="GX108" s="296"/>
      <c r="GY108" s="296"/>
      <c r="GZ108" s="296"/>
      <c r="HA108" s="296"/>
      <c r="HB108" s="296"/>
      <c r="HC108" s="296"/>
      <c r="HD108" s="296"/>
      <c r="HE108" s="296"/>
      <c r="HF108" s="296"/>
      <c r="HG108" s="296"/>
      <c r="HH108" s="296"/>
      <c r="HI108" s="296"/>
    </row>
    <row r="109" spans="1:217" ht="15" customHeight="1">
      <c r="A109" s="150"/>
      <c r="B109" s="150"/>
      <c r="C109" s="405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AB109" s="511"/>
      <c r="AC109" s="511"/>
      <c r="AD109" s="511"/>
      <c r="AE109" s="511"/>
      <c r="AF109" s="511"/>
      <c r="AG109" s="511"/>
      <c r="AH109" s="511"/>
      <c r="AI109" s="511"/>
      <c r="AJ109" s="511"/>
      <c r="AK109" s="511"/>
      <c r="AL109" s="511"/>
      <c r="AM109" s="511"/>
      <c r="AN109" s="511"/>
      <c r="AO109" s="511"/>
      <c r="AP109" s="296"/>
      <c r="AQ109" s="296"/>
      <c r="AR109" s="296"/>
      <c r="AS109" s="296"/>
      <c r="AT109" s="296"/>
      <c r="AU109" s="296"/>
      <c r="AV109" s="296"/>
      <c r="AW109" s="296"/>
      <c r="AX109" s="296"/>
      <c r="AY109" s="296"/>
      <c r="AZ109" s="296"/>
      <c r="BA109" s="296"/>
      <c r="BB109" s="296"/>
      <c r="BC109" s="296"/>
      <c r="BD109" s="296"/>
      <c r="BE109" s="296"/>
      <c r="BF109" s="296"/>
      <c r="BG109" s="296"/>
      <c r="BH109" s="296"/>
      <c r="BI109" s="296"/>
      <c r="BJ109" s="296"/>
      <c r="BK109" s="296"/>
      <c r="BL109" s="296"/>
      <c r="BM109" s="296"/>
      <c r="BN109" s="296"/>
      <c r="BO109" s="296"/>
      <c r="BP109" s="296"/>
      <c r="BQ109" s="296"/>
      <c r="BR109" s="296"/>
      <c r="BS109" s="296"/>
      <c r="BT109" s="296"/>
      <c r="BU109" s="296"/>
      <c r="BV109" s="296"/>
      <c r="BW109" s="296"/>
      <c r="BX109" s="296"/>
      <c r="BY109" s="296"/>
      <c r="BZ109" s="296"/>
      <c r="CA109" s="296"/>
      <c r="CB109" s="296"/>
      <c r="CC109" s="296"/>
      <c r="CD109" s="296"/>
      <c r="CE109" s="296"/>
      <c r="CF109" s="296"/>
      <c r="CG109" s="296"/>
      <c r="CH109" s="296"/>
      <c r="CI109" s="296"/>
      <c r="CJ109" s="296"/>
      <c r="CK109" s="296"/>
      <c r="CL109" s="296"/>
      <c r="CM109" s="296"/>
      <c r="CN109" s="296"/>
      <c r="CO109" s="296"/>
      <c r="CP109" s="296"/>
      <c r="CQ109" s="296"/>
      <c r="CR109" s="296"/>
      <c r="CS109" s="296"/>
      <c r="CT109" s="296"/>
      <c r="CU109" s="296"/>
      <c r="CV109" s="296"/>
      <c r="CW109" s="296"/>
      <c r="CX109" s="296"/>
      <c r="CY109" s="296"/>
      <c r="CZ109" s="296"/>
      <c r="DA109" s="296"/>
      <c r="DB109" s="296"/>
      <c r="DC109" s="296"/>
      <c r="DD109" s="296"/>
      <c r="DE109" s="296"/>
      <c r="DF109" s="296"/>
      <c r="DG109" s="296"/>
      <c r="DH109" s="296"/>
      <c r="DI109" s="296"/>
      <c r="DJ109" s="296"/>
      <c r="DK109" s="296"/>
      <c r="DL109" s="296"/>
      <c r="DM109" s="296"/>
      <c r="DN109" s="296"/>
      <c r="DO109" s="296"/>
      <c r="DP109" s="296"/>
      <c r="DQ109" s="296"/>
      <c r="DR109" s="296"/>
      <c r="DS109" s="296"/>
      <c r="DT109" s="296"/>
      <c r="DU109" s="296"/>
      <c r="DV109" s="296"/>
      <c r="DW109" s="296"/>
      <c r="DX109" s="296"/>
      <c r="DY109" s="296"/>
      <c r="DZ109" s="296"/>
      <c r="EA109" s="296"/>
      <c r="EB109" s="296"/>
      <c r="EC109" s="296"/>
      <c r="ED109" s="296"/>
      <c r="EE109" s="296"/>
      <c r="EF109" s="296"/>
      <c r="EG109" s="296"/>
      <c r="EH109" s="296"/>
      <c r="EI109" s="296"/>
      <c r="EJ109" s="296"/>
      <c r="EK109" s="296"/>
      <c r="EL109" s="296"/>
      <c r="EM109" s="296"/>
      <c r="EN109" s="296"/>
      <c r="EO109" s="296"/>
      <c r="EP109" s="296"/>
      <c r="EQ109" s="296"/>
      <c r="ER109" s="296"/>
      <c r="ES109" s="296"/>
      <c r="ET109" s="296"/>
      <c r="EU109" s="296"/>
      <c r="EV109" s="296"/>
      <c r="EW109" s="296"/>
      <c r="EX109" s="296"/>
      <c r="EY109" s="296"/>
      <c r="EZ109" s="296"/>
      <c r="FA109" s="296"/>
      <c r="FB109" s="296"/>
      <c r="FC109" s="296"/>
      <c r="FD109" s="296"/>
      <c r="FE109" s="297"/>
      <c r="FF109" s="296"/>
      <c r="FG109" s="296"/>
      <c r="FH109" s="296"/>
      <c r="FI109" s="296"/>
      <c r="FJ109" s="296"/>
      <c r="FK109" s="296"/>
      <c r="FL109" s="296"/>
      <c r="FM109" s="296"/>
      <c r="FN109" s="296"/>
      <c r="FO109" s="296"/>
      <c r="FP109" s="296"/>
      <c r="FQ109" s="296"/>
      <c r="FR109" s="296"/>
      <c r="FS109" s="296"/>
      <c r="FT109" s="296"/>
      <c r="FU109" s="296"/>
      <c r="FV109" s="296"/>
      <c r="FW109" s="296"/>
      <c r="FX109" s="296"/>
      <c r="FY109" s="296"/>
      <c r="FZ109" s="296"/>
      <c r="GA109" s="296"/>
      <c r="GB109" s="296"/>
      <c r="GC109" s="296"/>
      <c r="GD109" s="296"/>
      <c r="GE109" s="296"/>
      <c r="GF109" s="296"/>
      <c r="GG109" s="296"/>
      <c r="GH109" s="296"/>
      <c r="GI109" s="296"/>
      <c r="GJ109" s="296"/>
      <c r="GK109" s="296"/>
      <c r="GL109" s="296"/>
      <c r="GM109" s="296"/>
      <c r="GN109" s="296"/>
      <c r="GO109" s="296"/>
      <c r="GP109" s="296"/>
      <c r="GQ109" s="296"/>
      <c r="GR109" s="296"/>
      <c r="GS109" s="296"/>
      <c r="GT109" s="296"/>
      <c r="GU109" s="296"/>
      <c r="GV109" s="296"/>
      <c r="GW109" s="296"/>
      <c r="GX109" s="296"/>
      <c r="GY109" s="296"/>
      <c r="GZ109" s="296"/>
      <c r="HA109" s="296"/>
      <c r="HB109" s="296"/>
      <c r="HC109" s="296"/>
      <c r="HD109" s="296"/>
      <c r="HE109" s="296"/>
      <c r="HF109" s="296"/>
      <c r="HG109" s="296"/>
      <c r="HH109" s="296"/>
      <c r="HI109" s="296"/>
    </row>
    <row r="110" spans="1:217" ht="15" customHeight="1">
      <c r="A110" s="150"/>
      <c r="B110" s="150"/>
      <c r="C110" s="405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AB110" s="511"/>
      <c r="AC110" s="511"/>
      <c r="AD110" s="511"/>
      <c r="AE110" s="511"/>
      <c r="AF110" s="511"/>
      <c r="AG110" s="511"/>
      <c r="AH110" s="511"/>
      <c r="AI110" s="511"/>
      <c r="AJ110" s="511"/>
      <c r="AK110" s="511"/>
      <c r="AL110" s="511"/>
      <c r="AM110" s="511"/>
      <c r="AN110" s="511"/>
      <c r="AO110" s="511"/>
      <c r="AP110" s="296"/>
      <c r="AQ110" s="296"/>
      <c r="AR110" s="296"/>
      <c r="AS110" s="296"/>
      <c r="AT110" s="296"/>
      <c r="AU110" s="296"/>
      <c r="AV110" s="296"/>
      <c r="AW110" s="296"/>
      <c r="AX110" s="296"/>
      <c r="AY110" s="296"/>
      <c r="AZ110" s="296"/>
      <c r="BA110" s="296"/>
      <c r="BB110" s="296"/>
      <c r="BC110" s="296"/>
      <c r="BD110" s="296"/>
      <c r="BE110" s="296"/>
      <c r="BF110" s="296"/>
      <c r="BG110" s="296"/>
      <c r="BH110" s="296"/>
      <c r="BI110" s="296"/>
      <c r="BJ110" s="296"/>
      <c r="BK110" s="296"/>
      <c r="BL110" s="296"/>
      <c r="BM110" s="296"/>
      <c r="BN110" s="296"/>
      <c r="BO110" s="296"/>
      <c r="BP110" s="296"/>
      <c r="BQ110" s="296"/>
      <c r="BR110" s="296"/>
      <c r="BS110" s="296"/>
      <c r="BT110" s="296"/>
      <c r="BU110" s="296"/>
      <c r="BV110" s="296"/>
      <c r="BW110" s="296"/>
      <c r="BX110" s="296"/>
      <c r="BY110" s="296"/>
      <c r="BZ110" s="296"/>
      <c r="CA110" s="296"/>
      <c r="CB110" s="296"/>
      <c r="CC110" s="296"/>
      <c r="CD110" s="296"/>
      <c r="CE110" s="296"/>
      <c r="CF110" s="296"/>
      <c r="CG110" s="296"/>
      <c r="CH110" s="296"/>
      <c r="CI110" s="296"/>
      <c r="CJ110" s="296"/>
      <c r="CK110" s="296"/>
      <c r="CL110" s="296"/>
      <c r="CM110" s="296"/>
      <c r="CN110" s="296"/>
      <c r="CO110" s="296"/>
      <c r="CP110" s="296"/>
      <c r="CQ110" s="296"/>
      <c r="CR110" s="296"/>
      <c r="CS110" s="296"/>
      <c r="CT110" s="296"/>
      <c r="CU110" s="296"/>
      <c r="CV110" s="296"/>
      <c r="CW110" s="296"/>
      <c r="CX110" s="296"/>
      <c r="CY110" s="296"/>
      <c r="CZ110" s="296"/>
      <c r="DA110" s="296"/>
      <c r="DB110" s="296"/>
      <c r="DC110" s="296"/>
      <c r="DD110" s="296"/>
      <c r="DE110" s="296"/>
      <c r="DF110" s="296"/>
      <c r="DG110" s="296"/>
      <c r="DH110" s="296"/>
      <c r="DI110" s="296"/>
      <c r="DJ110" s="296"/>
      <c r="DK110" s="296"/>
      <c r="DL110" s="296"/>
      <c r="DM110" s="296"/>
      <c r="DN110" s="296"/>
      <c r="DO110" s="296"/>
      <c r="DP110" s="296"/>
      <c r="DQ110" s="296"/>
      <c r="DR110" s="296"/>
      <c r="DS110" s="296"/>
      <c r="DT110" s="296"/>
      <c r="DU110" s="296"/>
      <c r="DV110" s="296"/>
      <c r="DW110" s="296"/>
      <c r="DX110" s="296"/>
      <c r="DY110" s="296"/>
      <c r="DZ110" s="296"/>
      <c r="EA110" s="296"/>
      <c r="EB110" s="296"/>
      <c r="EC110" s="296"/>
      <c r="ED110" s="296"/>
      <c r="EE110" s="296"/>
      <c r="EF110" s="296"/>
      <c r="EG110" s="296"/>
      <c r="EH110" s="296"/>
      <c r="EI110" s="296"/>
      <c r="EJ110" s="296"/>
      <c r="EK110" s="296"/>
      <c r="EL110" s="296"/>
      <c r="EM110" s="296"/>
      <c r="EN110" s="296"/>
      <c r="EO110" s="296"/>
      <c r="EP110" s="296"/>
      <c r="EQ110" s="296"/>
      <c r="ER110" s="296"/>
      <c r="ES110" s="296"/>
      <c r="ET110" s="296"/>
      <c r="EU110" s="296"/>
      <c r="EV110" s="296"/>
      <c r="EW110" s="296"/>
      <c r="EX110" s="296"/>
      <c r="EY110" s="296"/>
      <c r="EZ110" s="296"/>
      <c r="FA110" s="296"/>
      <c r="FB110" s="296"/>
      <c r="FC110" s="296"/>
      <c r="FD110" s="296"/>
      <c r="FE110" s="297"/>
      <c r="FF110" s="296"/>
      <c r="FG110" s="296"/>
      <c r="FH110" s="296"/>
      <c r="FI110" s="296"/>
      <c r="FJ110" s="296"/>
      <c r="FK110" s="296"/>
      <c r="FL110" s="296"/>
      <c r="FM110" s="296"/>
      <c r="FN110" s="296"/>
      <c r="FO110" s="296"/>
      <c r="FP110" s="296"/>
      <c r="FQ110" s="296"/>
      <c r="FR110" s="296"/>
      <c r="FS110" s="296"/>
      <c r="FT110" s="296"/>
      <c r="FU110" s="296"/>
      <c r="FV110" s="296"/>
      <c r="FW110" s="296"/>
      <c r="FX110" s="296"/>
      <c r="FY110" s="296"/>
      <c r="FZ110" s="296"/>
      <c r="GA110" s="296"/>
      <c r="GB110" s="296"/>
      <c r="GC110" s="296"/>
      <c r="GD110" s="296"/>
      <c r="GE110" s="296"/>
      <c r="GF110" s="296"/>
      <c r="GG110" s="296"/>
      <c r="GH110" s="296"/>
      <c r="GI110" s="296"/>
      <c r="GJ110" s="296"/>
      <c r="GK110" s="296"/>
      <c r="GL110" s="296"/>
      <c r="GM110" s="296"/>
      <c r="GN110" s="296"/>
      <c r="GO110" s="296"/>
      <c r="GP110" s="296"/>
      <c r="GQ110" s="296"/>
      <c r="GR110" s="296"/>
      <c r="GS110" s="296"/>
      <c r="GT110" s="296"/>
      <c r="GU110" s="296"/>
      <c r="GV110" s="296"/>
      <c r="GW110" s="296"/>
      <c r="GX110" s="296"/>
      <c r="GY110" s="296"/>
      <c r="GZ110" s="296"/>
      <c r="HA110" s="296"/>
      <c r="HB110" s="296"/>
      <c r="HC110" s="296"/>
      <c r="HD110" s="296"/>
      <c r="HE110" s="296"/>
      <c r="HF110" s="296"/>
      <c r="HG110" s="296"/>
      <c r="HH110" s="296"/>
      <c r="HI110" s="296"/>
    </row>
    <row r="111" spans="1:217" ht="15" customHeight="1">
      <c r="A111" s="150"/>
      <c r="B111" s="150"/>
      <c r="C111" s="405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AB111" s="511"/>
      <c r="AC111" s="511"/>
      <c r="AD111" s="511"/>
      <c r="AE111" s="511"/>
      <c r="AF111" s="511"/>
      <c r="AG111" s="511"/>
      <c r="AH111" s="511"/>
      <c r="AI111" s="511"/>
      <c r="AJ111" s="511"/>
      <c r="AK111" s="511"/>
      <c r="AL111" s="511"/>
      <c r="AM111" s="511"/>
      <c r="AN111" s="511"/>
      <c r="AO111" s="511"/>
      <c r="AP111" s="296"/>
      <c r="AQ111" s="296"/>
      <c r="AR111" s="296"/>
      <c r="AS111" s="296"/>
      <c r="AT111" s="296"/>
      <c r="AU111" s="296"/>
      <c r="AV111" s="296"/>
      <c r="AW111" s="296"/>
      <c r="AX111" s="296"/>
      <c r="AY111" s="296"/>
      <c r="AZ111" s="296"/>
      <c r="BA111" s="296"/>
      <c r="BB111" s="296"/>
      <c r="BC111" s="296"/>
      <c r="BD111" s="296"/>
      <c r="BE111" s="296"/>
      <c r="BF111" s="296"/>
      <c r="BG111" s="296"/>
      <c r="BH111" s="296"/>
      <c r="BI111" s="296"/>
      <c r="BJ111" s="296"/>
      <c r="BK111" s="296"/>
      <c r="BL111" s="296"/>
      <c r="BM111" s="296"/>
      <c r="BN111" s="296"/>
      <c r="BO111" s="296"/>
      <c r="BP111" s="296"/>
      <c r="BQ111" s="296"/>
      <c r="BR111" s="296"/>
      <c r="BS111" s="296"/>
      <c r="BT111" s="296"/>
      <c r="BU111" s="296"/>
      <c r="BV111" s="296"/>
      <c r="BW111" s="296"/>
      <c r="BX111" s="296"/>
      <c r="BY111" s="296"/>
      <c r="BZ111" s="296"/>
      <c r="CA111" s="296"/>
      <c r="CB111" s="296"/>
      <c r="CC111" s="296"/>
      <c r="CD111" s="296"/>
      <c r="CE111" s="296"/>
      <c r="CF111" s="296"/>
      <c r="CG111" s="296"/>
      <c r="CH111" s="296"/>
      <c r="CI111" s="296"/>
      <c r="CJ111" s="296"/>
      <c r="CK111" s="296"/>
      <c r="CL111" s="296"/>
      <c r="CM111" s="296"/>
      <c r="CN111" s="296"/>
      <c r="CO111" s="296"/>
      <c r="CP111" s="296"/>
      <c r="CQ111" s="296"/>
      <c r="CR111" s="296"/>
      <c r="CS111" s="296"/>
      <c r="CT111" s="296"/>
      <c r="CU111" s="296"/>
      <c r="CV111" s="296"/>
      <c r="CW111" s="296"/>
      <c r="CX111" s="296"/>
      <c r="CY111" s="296"/>
      <c r="CZ111" s="296"/>
      <c r="DA111" s="296"/>
      <c r="DB111" s="296"/>
      <c r="DC111" s="296"/>
      <c r="DD111" s="296"/>
      <c r="DE111" s="296"/>
      <c r="DF111" s="296"/>
      <c r="DG111" s="296"/>
      <c r="DH111" s="296"/>
      <c r="DI111" s="296"/>
      <c r="DJ111" s="296"/>
      <c r="DK111" s="296"/>
      <c r="DL111" s="296"/>
      <c r="DM111" s="296"/>
      <c r="DN111" s="296"/>
      <c r="DO111" s="296"/>
      <c r="DP111" s="296"/>
      <c r="DQ111" s="296"/>
      <c r="DR111" s="296"/>
      <c r="DS111" s="296"/>
      <c r="DT111" s="296"/>
      <c r="DU111" s="296"/>
      <c r="DV111" s="296"/>
      <c r="DW111" s="296"/>
      <c r="DX111" s="296"/>
      <c r="DY111" s="296"/>
      <c r="DZ111" s="296"/>
      <c r="EA111" s="296"/>
      <c r="EB111" s="296"/>
      <c r="EC111" s="296"/>
      <c r="ED111" s="296"/>
      <c r="EE111" s="296"/>
      <c r="EF111" s="296"/>
      <c r="EG111" s="296"/>
      <c r="EH111" s="296"/>
      <c r="EI111" s="296"/>
      <c r="EJ111" s="296"/>
      <c r="EK111" s="296"/>
      <c r="EL111" s="296"/>
      <c r="EM111" s="296"/>
      <c r="EN111" s="296"/>
      <c r="EO111" s="296"/>
      <c r="EP111" s="296"/>
      <c r="EQ111" s="296"/>
      <c r="ER111" s="296"/>
      <c r="ES111" s="296"/>
      <c r="ET111" s="296"/>
      <c r="EU111" s="296"/>
      <c r="EV111" s="296"/>
      <c r="EW111" s="296"/>
      <c r="EX111" s="296"/>
      <c r="EY111" s="296"/>
      <c r="EZ111" s="296"/>
      <c r="FA111" s="296"/>
      <c r="FB111" s="296"/>
      <c r="FC111" s="296"/>
      <c r="FD111" s="296"/>
      <c r="FE111" s="297"/>
      <c r="FF111" s="296"/>
      <c r="FG111" s="296"/>
      <c r="FH111" s="296"/>
      <c r="FI111" s="296"/>
      <c r="FJ111" s="296"/>
      <c r="FK111" s="296"/>
      <c r="FL111" s="296"/>
      <c r="FM111" s="296"/>
      <c r="FN111" s="296"/>
      <c r="FO111" s="296"/>
      <c r="FP111" s="296"/>
      <c r="FQ111" s="296"/>
      <c r="FR111" s="296"/>
      <c r="FS111" s="296"/>
      <c r="FT111" s="296"/>
      <c r="FU111" s="296"/>
      <c r="FV111" s="296"/>
      <c r="FW111" s="296"/>
      <c r="FX111" s="296"/>
      <c r="FY111" s="296"/>
      <c r="FZ111" s="296"/>
      <c r="GA111" s="296"/>
      <c r="GB111" s="296"/>
      <c r="GC111" s="296"/>
      <c r="GD111" s="296"/>
      <c r="GE111" s="296"/>
      <c r="GF111" s="296"/>
      <c r="GG111" s="296"/>
      <c r="GH111" s="296"/>
      <c r="GI111" s="296"/>
      <c r="GJ111" s="296"/>
      <c r="GK111" s="296"/>
      <c r="GL111" s="296"/>
      <c r="GM111" s="296"/>
      <c r="GN111" s="296"/>
      <c r="GO111" s="296"/>
      <c r="GP111" s="296"/>
      <c r="GQ111" s="296"/>
      <c r="GR111" s="296"/>
      <c r="GS111" s="296"/>
      <c r="GT111" s="296"/>
      <c r="GU111" s="296"/>
      <c r="GV111" s="296"/>
      <c r="GW111" s="296"/>
      <c r="GX111" s="296"/>
      <c r="GY111" s="296"/>
      <c r="GZ111" s="296"/>
      <c r="HA111" s="296"/>
      <c r="HB111" s="296"/>
      <c r="HC111" s="296"/>
      <c r="HD111" s="296"/>
      <c r="HE111" s="296"/>
      <c r="HF111" s="296"/>
      <c r="HG111" s="296"/>
      <c r="HH111" s="296"/>
      <c r="HI111" s="296"/>
    </row>
    <row r="112" spans="1:217" ht="15" customHeight="1">
      <c r="A112" s="150"/>
      <c r="B112" s="150"/>
      <c r="C112" s="405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AB112" s="511"/>
      <c r="AC112" s="511"/>
      <c r="AD112" s="511"/>
      <c r="AE112" s="511"/>
      <c r="AF112" s="511"/>
      <c r="AG112" s="511"/>
      <c r="AH112" s="511"/>
      <c r="AI112" s="511"/>
      <c r="AJ112" s="511"/>
      <c r="AK112" s="511"/>
      <c r="AL112" s="511"/>
      <c r="AM112" s="511"/>
      <c r="AN112" s="511"/>
      <c r="AO112" s="511"/>
      <c r="AP112" s="296"/>
      <c r="AQ112" s="296"/>
      <c r="AR112" s="296"/>
      <c r="AS112" s="296"/>
      <c r="AT112" s="296"/>
      <c r="AU112" s="296"/>
      <c r="AV112" s="296"/>
      <c r="AW112" s="296"/>
      <c r="AX112" s="296"/>
      <c r="AY112" s="296"/>
      <c r="AZ112" s="296"/>
      <c r="BA112" s="296"/>
      <c r="BB112" s="296"/>
      <c r="BC112" s="296"/>
      <c r="BD112" s="296"/>
      <c r="BE112" s="296"/>
      <c r="BF112" s="296"/>
      <c r="BG112" s="296"/>
      <c r="BH112" s="296"/>
      <c r="BI112" s="296"/>
      <c r="BJ112" s="296"/>
      <c r="BK112" s="296"/>
      <c r="BL112" s="296"/>
      <c r="BM112" s="296"/>
      <c r="BN112" s="296"/>
      <c r="BO112" s="296"/>
      <c r="BP112" s="296"/>
      <c r="BQ112" s="296"/>
      <c r="BR112" s="296"/>
      <c r="BS112" s="296"/>
      <c r="BT112" s="296"/>
      <c r="BU112" s="296"/>
      <c r="BV112" s="296"/>
      <c r="BW112" s="296"/>
      <c r="BX112" s="296"/>
      <c r="BY112" s="296"/>
      <c r="BZ112" s="296"/>
      <c r="CA112" s="296"/>
      <c r="CB112" s="296"/>
      <c r="CC112" s="296"/>
      <c r="CD112" s="296"/>
      <c r="CE112" s="296"/>
      <c r="CF112" s="296"/>
      <c r="CG112" s="296"/>
      <c r="CH112" s="296"/>
      <c r="CI112" s="296"/>
      <c r="CJ112" s="296"/>
      <c r="CK112" s="296"/>
      <c r="CL112" s="296"/>
      <c r="CM112" s="296"/>
      <c r="CN112" s="296"/>
      <c r="CO112" s="296"/>
      <c r="CP112" s="296"/>
      <c r="CQ112" s="296"/>
      <c r="CR112" s="296"/>
      <c r="CS112" s="296"/>
      <c r="CT112" s="296"/>
      <c r="CU112" s="296"/>
      <c r="CV112" s="296"/>
      <c r="CW112" s="296"/>
      <c r="CX112" s="296"/>
      <c r="CY112" s="296"/>
      <c r="CZ112" s="296"/>
      <c r="DA112" s="296"/>
      <c r="DB112" s="296"/>
      <c r="DC112" s="296"/>
      <c r="DD112" s="296"/>
      <c r="DE112" s="296"/>
      <c r="DF112" s="296"/>
      <c r="DG112" s="296"/>
      <c r="DH112" s="296"/>
      <c r="DI112" s="296"/>
      <c r="DJ112" s="296"/>
      <c r="DK112" s="296"/>
      <c r="DL112" s="296"/>
      <c r="DM112" s="296"/>
      <c r="DN112" s="296"/>
      <c r="DO112" s="296"/>
      <c r="DP112" s="296"/>
      <c r="DQ112" s="296"/>
      <c r="DR112" s="296"/>
      <c r="DS112" s="296"/>
      <c r="DT112" s="296"/>
      <c r="DU112" s="296"/>
      <c r="DV112" s="296"/>
      <c r="DW112" s="296"/>
      <c r="DX112" s="296"/>
      <c r="DY112" s="296"/>
      <c r="DZ112" s="296"/>
      <c r="EA112" s="296"/>
      <c r="EB112" s="296"/>
      <c r="EC112" s="296"/>
      <c r="ED112" s="296"/>
      <c r="EE112" s="296"/>
      <c r="EF112" s="296"/>
      <c r="EG112" s="296"/>
      <c r="EH112" s="296"/>
      <c r="EI112" s="296"/>
      <c r="EJ112" s="296"/>
      <c r="EK112" s="296"/>
      <c r="EL112" s="296"/>
      <c r="EM112" s="296"/>
      <c r="EN112" s="296"/>
      <c r="EO112" s="296"/>
      <c r="EP112" s="296"/>
      <c r="EQ112" s="296"/>
      <c r="ER112" s="296"/>
      <c r="ES112" s="296"/>
      <c r="ET112" s="296"/>
      <c r="EU112" s="296"/>
      <c r="EV112" s="296"/>
      <c r="EW112" s="296"/>
      <c r="EX112" s="296"/>
      <c r="EY112" s="296"/>
      <c r="EZ112" s="296"/>
      <c r="FA112" s="296"/>
      <c r="FB112" s="296"/>
      <c r="FC112" s="296"/>
      <c r="FD112" s="296"/>
      <c r="FE112" s="297"/>
      <c r="FF112" s="296"/>
      <c r="FG112" s="296"/>
      <c r="FH112" s="296"/>
      <c r="FI112" s="296"/>
      <c r="FJ112" s="296"/>
      <c r="FK112" s="296"/>
      <c r="FL112" s="296"/>
      <c r="FM112" s="296"/>
      <c r="FN112" s="296"/>
      <c r="FO112" s="296"/>
      <c r="FP112" s="296"/>
      <c r="FQ112" s="296"/>
      <c r="FR112" s="296"/>
      <c r="FS112" s="296"/>
      <c r="FT112" s="296"/>
      <c r="FU112" s="296"/>
      <c r="FV112" s="296"/>
      <c r="FW112" s="296"/>
      <c r="FX112" s="296"/>
      <c r="FY112" s="296"/>
      <c r="FZ112" s="296"/>
      <c r="GA112" s="296"/>
      <c r="GB112" s="296"/>
      <c r="GC112" s="296"/>
      <c r="GD112" s="296"/>
      <c r="GE112" s="296"/>
      <c r="GF112" s="296"/>
      <c r="GG112" s="296"/>
      <c r="GH112" s="296"/>
      <c r="GI112" s="296"/>
      <c r="GJ112" s="296"/>
      <c r="GK112" s="296"/>
      <c r="GL112" s="296"/>
      <c r="GM112" s="296"/>
      <c r="GN112" s="296"/>
      <c r="GO112" s="296"/>
      <c r="GP112" s="296"/>
      <c r="GQ112" s="296"/>
      <c r="GR112" s="296"/>
      <c r="GS112" s="296"/>
      <c r="GT112" s="296"/>
      <c r="GU112" s="296"/>
      <c r="GV112" s="296"/>
      <c r="GW112" s="296"/>
      <c r="GX112" s="296"/>
      <c r="GY112" s="296"/>
      <c r="GZ112" s="296"/>
      <c r="HA112" s="296"/>
      <c r="HB112" s="296"/>
      <c r="HC112" s="296"/>
      <c r="HD112" s="296"/>
      <c r="HE112" s="296"/>
      <c r="HF112" s="296"/>
      <c r="HG112" s="296"/>
      <c r="HH112" s="296"/>
      <c r="HI112" s="296"/>
    </row>
    <row r="113" spans="1:217" ht="15" customHeight="1">
      <c r="A113" s="150"/>
      <c r="B113" s="150"/>
      <c r="C113" s="405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AB113" s="511"/>
      <c r="AC113" s="511"/>
      <c r="AD113" s="511"/>
      <c r="AE113" s="511"/>
      <c r="AF113" s="511"/>
      <c r="AG113" s="511"/>
      <c r="AH113" s="511"/>
      <c r="AI113" s="511"/>
      <c r="AJ113" s="511"/>
      <c r="AK113" s="511"/>
      <c r="AL113" s="511"/>
      <c r="AM113" s="511"/>
      <c r="AN113" s="511"/>
      <c r="AO113" s="511"/>
      <c r="AP113" s="296"/>
      <c r="AQ113" s="296"/>
      <c r="AR113" s="296"/>
      <c r="AS113" s="296"/>
      <c r="AT113" s="296"/>
      <c r="AU113" s="296"/>
      <c r="AV113" s="296"/>
      <c r="AW113" s="296"/>
      <c r="AX113" s="296"/>
      <c r="AY113" s="296"/>
      <c r="AZ113" s="296"/>
      <c r="BA113" s="296"/>
      <c r="BB113" s="296"/>
      <c r="BC113" s="296"/>
      <c r="BD113" s="296"/>
      <c r="BE113" s="296"/>
      <c r="BF113" s="296"/>
      <c r="BG113" s="296"/>
      <c r="BH113" s="296"/>
      <c r="BI113" s="296"/>
      <c r="BJ113" s="296"/>
      <c r="BK113" s="296"/>
      <c r="BL113" s="296"/>
      <c r="BM113" s="296"/>
      <c r="BN113" s="296"/>
      <c r="BO113" s="296"/>
      <c r="BP113" s="296"/>
      <c r="BQ113" s="296"/>
      <c r="BR113" s="296"/>
      <c r="BS113" s="296"/>
      <c r="BT113" s="296"/>
      <c r="BU113" s="296"/>
      <c r="BV113" s="296"/>
      <c r="BW113" s="296"/>
      <c r="BX113" s="296"/>
      <c r="BY113" s="296"/>
      <c r="BZ113" s="296"/>
      <c r="CA113" s="296"/>
      <c r="CB113" s="296"/>
      <c r="CC113" s="296"/>
      <c r="CD113" s="296"/>
      <c r="CE113" s="296"/>
      <c r="CF113" s="296"/>
      <c r="CG113" s="296"/>
      <c r="CH113" s="296"/>
      <c r="CI113" s="296"/>
      <c r="CJ113" s="296"/>
      <c r="CK113" s="296"/>
      <c r="CL113" s="296"/>
      <c r="CM113" s="296"/>
      <c r="CN113" s="296"/>
      <c r="CO113" s="296"/>
      <c r="CP113" s="296"/>
      <c r="CQ113" s="296"/>
      <c r="CR113" s="296"/>
      <c r="CS113" s="296"/>
      <c r="CT113" s="296"/>
      <c r="CU113" s="296"/>
      <c r="CV113" s="296"/>
      <c r="CW113" s="296"/>
      <c r="CX113" s="296"/>
      <c r="CY113" s="296"/>
      <c r="CZ113" s="296"/>
      <c r="DA113" s="296"/>
      <c r="DB113" s="296"/>
      <c r="DC113" s="296"/>
      <c r="DD113" s="296"/>
      <c r="DE113" s="296"/>
      <c r="DF113" s="296"/>
      <c r="DG113" s="296"/>
      <c r="DH113" s="296"/>
      <c r="DI113" s="296"/>
      <c r="DJ113" s="296"/>
      <c r="DK113" s="296"/>
      <c r="DL113" s="296"/>
      <c r="DM113" s="296"/>
      <c r="DN113" s="296"/>
      <c r="DO113" s="296"/>
      <c r="DP113" s="296"/>
      <c r="DQ113" s="296"/>
      <c r="DR113" s="296"/>
      <c r="DS113" s="296"/>
      <c r="DT113" s="296"/>
      <c r="DU113" s="296"/>
      <c r="DV113" s="296"/>
      <c r="DW113" s="296"/>
      <c r="DX113" s="296"/>
      <c r="DY113" s="296"/>
      <c r="DZ113" s="296"/>
      <c r="EA113" s="296"/>
      <c r="EB113" s="296"/>
      <c r="EC113" s="296"/>
      <c r="ED113" s="296"/>
      <c r="EE113" s="296"/>
      <c r="EF113" s="296"/>
      <c r="EG113" s="296"/>
      <c r="EH113" s="296"/>
      <c r="EI113" s="296"/>
      <c r="EJ113" s="296"/>
      <c r="EK113" s="296"/>
      <c r="EL113" s="296"/>
      <c r="EM113" s="296"/>
      <c r="EN113" s="296"/>
      <c r="EO113" s="296"/>
      <c r="EP113" s="296"/>
      <c r="EQ113" s="296"/>
      <c r="ER113" s="296"/>
      <c r="ES113" s="296"/>
      <c r="ET113" s="296"/>
      <c r="EU113" s="296"/>
      <c r="EV113" s="296"/>
      <c r="EW113" s="296"/>
      <c r="EX113" s="296"/>
      <c r="EY113" s="296"/>
      <c r="EZ113" s="296"/>
      <c r="FA113" s="296"/>
      <c r="FB113" s="296"/>
      <c r="FC113" s="296"/>
      <c r="FD113" s="296"/>
      <c r="FE113" s="297"/>
      <c r="FF113" s="296"/>
      <c r="FG113" s="296"/>
      <c r="FH113" s="296"/>
      <c r="FI113" s="296"/>
      <c r="FJ113" s="296"/>
      <c r="FK113" s="296"/>
      <c r="FL113" s="296"/>
      <c r="FM113" s="296"/>
      <c r="FN113" s="296"/>
      <c r="FO113" s="296"/>
      <c r="FP113" s="296"/>
      <c r="FQ113" s="296"/>
      <c r="FR113" s="296"/>
      <c r="FS113" s="296"/>
      <c r="FT113" s="296"/>
      <c r="FU113" s="296"/>
      <c r="FV113" s="296"/>
      <c r="FW113" s="296"/>
      <c r="FX113" s="296"/>
      <c r="FY113" s="296"/>
      <c r="FZ113" s="296"/>
      <c r="GA113" s="296"/>
      <c r="GB113" s="296"/>
      <c r="GC113" s="296"/>
      <c r="GD113" s="296"/>
      <c r="GE113" s="296"/>
      <c r="GF113" s="296"/>
      <c r="GG113" s="296"/>
      <c r="GH113" s="296"/>
      <c r="GI113" s="296"/>
      <c r="GJ113" s="296"/>
      <c r="GK113" s="296"/>
      <c r="GL113" s="296"/>
      <c r="GM113" s="296"/>
      <c r="GN113" s="296"/>
      <c r="GO113" s="296"/>
      <c r="GP113" s="296"/>
      <c r="GQ113" s="296"/>
      <c r="GR113" s="296"/>
      <c r="GS113" s="296"/>
      <c r="GT113" s="296"/>
      <c r="GU113" s="296"/>
      <c r="GV113" s="296"/>
      <c r="GW113" s="296"/>
      <c r="GX113" s="296"/>
      <c r="GY113" s="296"/>
      <c r="GZ113" s="296"/>
      <c r="HA113" s="296"/>
      <c r="HB113" s="296"/>
      <c r="HC113" s="296"/>
      <c r="HD113" s="296"/>
      <c r="HE113" s="296"/>
      <c r="HF113" s="296"/>
      <c r="HG113" s="296"/>
      <c r="HH113" s="296"/>
      <c r="HI113" s="296"/>
    </row>
    <row r="114" spans="1:217" ht="15" customHeight="1">
      <c r="A114" s="150"/>
      <c r="B114" s="150"/>
      <c r="C114" s="405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AB114" s="511"/>
      <c r="AC114" s="511"/>
      <c r="AD114" s="511"/>
      <c r="AE114" s="511"/>
      <c r="AF114" s="511"/>
      <c r="AG114" s="511"/>
      <c r="AH114" s="511"/>
      <c r="AI114" s="511"/>
      <c r="AJ114" s="511"/>
      <c r="AK114" s="511"/>
      <c r="AL114" s="511"/>
      <c r="AM114" s="511"/>
      <c r="AN114" s="511"/>
      <c r="AO114" s="511"/>
      <c r="AP114" s="296"/>
      <c r="AQ114" s="296"/>
      <c r="AR114" s="296"/>
      <c r="AS114" s="296"/>
      <c r="AT114" s="296"/>
      <c r="AU114" s="296"/>
      <c r="AV114" s="296"/>
      <c r="AW114" s="296"/>
      <c r="AX114" s="296"/>
      <c r="AY114" s="296"/>
      <c r="AZ114" s="296"/>
      <c r="BA114" s="296"/>
      <c r="BB114" s="296"/>
      <c r="BC114" s="296"/>
      <c r="BD114" s="296"/>
      <c r="BE114" s="296"/>
      <c r="BF114" s="296"/>
      <c r="BG114" s="296"/>
      <c r="BH114" s="296"/>
      <c r="BI114" s="296"/>
      <c r="BJ114" s="296"/>
      <c r="BK114" s="296"/>
      <c r="BL114" s="296"/>
      <c r="BM114" s="296"/>
      <c r="BN114" s="296"/>
      <c r="BO114" s="296"/>
      <c r="BP114" s="296"/>
      <c r="BQ114" s="296"/>
      <c r="BR114" s="296"/>
      <c r="BS114" s="296"/>
      <c r="BT114" s="296"/>
      <c r="BU114" s="296"/>
      <c r="BV114" s="296"/>
      <c r="BW114" s="296"/>
      <c r="BX114" s="296"/>
      <c r="BY114" s="296"/>
      <c r="BZ114" s="296"/>
      <c r="CA114" s="296"/>
      <c r="CB114" s="296"/>
      <c r="CC114" s="296"/>
      <c r="CD114" s="296"/>
      <c r="CE114" s="296"/>
      <c r="CF114" s="296"/>
      <c r="CG114" s="296"/>
      <c r="CH114" s="296"/>
      <c r="CI114" s="296"/>
      <c r="CJ114" s="296"/>
      <c r="CK114" s="296"/>
      <c r="CL114" s="296"/>
      <c r="CM114" s="296"/>
      <c r="CN114" s="296"/>
      <c r="CO114" s="296"/>
      <c r="CP114" s="296"/>
      <c r="CQ114" s="296"/>
      <c r="CR114" s="296"/>
      <c r="CS114" s="296"/>
      <c r="CT114" s="296"/>
      <c r="CU114" s="296"/>
      <c r="CV114" s="296"/>
      <c r="CW114" s="296"/>
      <c r="CX114" s="296"/>
      <c r="CY114" s="296"/>
      <c r="CZ114" s="296"/>
      <c r="DA114" s="296"/>
      <c r="DB114" s="296"/>
      <c r="DC114" s="296"/>
      <c r="DD114" s="296"/>
      <c r="DE114" s="296"/>
      <c r="DF114" s="296"/>
      <c r="DG114" s="296"/>
      <c r="DH114" s="296"/>
      <c r="DI114" s="296"/>
      <c r="DJ114" s="296"/>
      <c r="DK114" s="296"/>
      <c r="DL114" s="296"/>
      <c r="DM114" s="296"/>
      <c r="DN114" s="296"/>
      <c r="DO114" s="296"/>
      <c r="DP114" s="296"/>
      <c r="DQ114" s="296"/>
      <c r="DR114" s="296"/>
      <c r="DS114" s="296"/>
      <c r="DT114" s="296"/>
      <c r="DU114" s="296"/>
      <c r="DV114" s="296"/>
      <c r="DW114" s="296"/>
      <c r="DX114" s="296"/>
      <c r="DY114" s="296"/>
      <c r="DZ114" s="296"/>
      <c r="EA114" s="296"/>
      <c r="EB114" s="296"/>
      <c r="EC114" s="296"/>
      <c r="ED114" s="296"/>
      <c r="EE114" s="296"/>
      <c r="EF114" s="296"/>
      <c r="EG114" s="296"/>
      <c r="EH114" s="296"/>
      <c r="EI114" s="296"/>
      <c r="EJ114" s="296"/>
      <c r="EK114" s="296"/>
      <c r="EL114" s="296"/>
      <c r="EM114" s="296"/>
      <c r="EN114" s="296"/>
      <c r="EO114" s="296"/>
      <c r="EP114" s="296"/>
      <c r="EQ114" s="296"/>
      <c r="ER114" s="296"/>
      <c r="ES114" s="296"/>
      <c r="ET114" s="296"/>
      <c r="EU114" s="296"/>
      <c r="EV114" s="296"/>
      <c r="EW114" s="296"/>
      <c r="EX114" s="296"/>
      <c r="EY114" s="296"/>
      <c r="EZ114" s="296"/>
      <c r="FA114" s="296"/>
      <c r="FB114" s="296"/>
      <c r="FC114" s="296"/>
      <c r="FD114" s="296"/>
      <c r="FE114" s="297"/>
      <c r="FF114" s="296"/>
      <c r="FG114" s="296"/>
      <c r="FH114" s="296"/>
      <c r="FI114" s="296"/>
      <c r="FJ114" s="296"/>
      <c r="FK114" s="296"/>
      <c r="FL114" s="296"/>
      <c r="FM114" s="296"/>
      <c r="FN114" s="296"/>
      <c r="FO114" s="296"/>
      <c r="FP114" s="296"/>
      <c r="FQ114" s="296"/>
      <c r="FR114" s="296"/>
      <c r="FS114" s="296"/>
      <c r="FT114" s="296"/>
      <c r="FU114" s="296"/>
      <c r="FV114" s="296"/>
      <c r="FW114" s="296"/>
      <c r="FX114" s="296"/>
      <c r="FY114" s="296"/>
      <c r="FZ114" s="296"/>
      <c r="GA114" s="296"/>
      <c r="GB114" s="296"/>
      <c r="GC114" s="296"/>
      <c r="GD114" s="296"/>
      <c r="GE114" s="296"/>
      <c r="GF114" s="296"/>
      <c r="GG114" s="296"/>
      <c r="GH114" s="296"/>
      <c r="GI114" s="296"/>
      <c r="GJ114" s="296"/>
      <c r="GK114" s="296"/>
      <c r="GL114" s="296"/>
      <c r="GM114" s="296"/>
      <c r="GN114" s="296"/>
      <c r="GO114" s="296"/>
      <c r="GP114" s="296"/>
      <c r="GQ114" s="296"/>
      <c r="GR114" s="296"/>
      <c r="GS114" s="296"/>
      <c r="GT114" s="296"/>
      <c r="GU114" s="296"/>
      <c r="GV114" s="296"/>
      <c r="GW114" s="296"/>
      <c r="GX114" s="296"/>
      <c r="GY114" s="296"/>
      <c r="GZ114" s="296"/>
      <c r="HA114" s="296"/>
      <c r="HB114" s="296"/>
      <c r="HC114" s="296"/>
      <c r="HD114" s="296"/>
      <c r="HE114" s="296"/>
      <c r="HF114" s="296"/>
      <c r="HG114" s="296"/>
      <c r="HH114" s="296"/>
      <c r="HI114" s="296"/>
    </row>
    <row r="115" spans="1:217" ht="15" customHeight="1">
      <c r="A115" s="150"/>
      <c r="B115" s="150"/>
      <c r="C115" s="405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AB115" s="511"/>
      <c r="AC115" s="511"/>
      <c r="AD115" s="511"/>
      <c r="AE115" s="511"/>
      <c r="AF115" s="511"/>
      <c r="AG115" s="511"/>
      <c r="AH115" s="511"/>
      <c r="AI115" s="511"/>
      <c r="AJ115" s="511"/>
      <c r="AK115" s="511"/>
      <c r="AL115" s="511"/>
      <c r="AM115" s="511"/>
      <c r="AN115" s="511"/>
      <c r="AO115" s="511"/>
      <c r="AP115" s="296"/>
      <c r="AQ115" s="296"/>
      <c r="AR115" s="296"/>
      <c r="AS115" s="296"/>
      <c r="AT115" s="296"/>
      <c r="AU115" s="296"/>
      <c r="AV115" s="296"/>
      <c r="AW115" s="296"/>
      <c r="AX115" s="296"/>
      <c r="AY115" s="296"/>
      <c r="AZ115" s="296"/>
      <c r="BA115" s="296"/>
      <c r="BB115" s="296"/>
      <c r="BC115" s="296"/>
      <c r="BD115" s="296"/>
      <c r="BE115" s="296"/>
      <c r="BF115" s="296"/>
      <c r="BG115" s="296"/>
      <c r="BH115" s="296"/>
      <c r="BI115" s="296"/>
      <c r="BJ115" s="296"/>
      <c r="BK115" s="296"/>
      <c r="BL115" s="296"/>
      <c r="BM115" s="296"/>
      <c r="BN115" s="296"/>
      <c r="BO115" s="296"/>
      <c r="BP115" s="296"/>
      <c r="BQ115" s="296"/>
      <c r="BR115" s="296"/>
      <c r="BS115" s="296"/>
      <c r="BT115" s="296"/>
      <c r="BU115" s="296"/>
      <c r="BV115" s="296"/>
      <c r="BW115" s="296"/>
      <c r="BX115" s="296"/>
      <c r="BY115" s="296"/>
      <c r="BZ115" s="296"/>
      <c r="CA115" s="296"/>
      <c r="CB115" s="296"/>
      <c r="CC115" s="296"/>
      <c r="CD115" s="296"/>
      <c r="CE115" s="296"/>
      <c r="CF115" s="296"/>
      <c r="CG115" s="296"/>
      <c r="CH115" s="296"/>
      <c r="CI115" s="296"/>
      <c r="CJ115" s="296"/>
      <c r="CK115" s="296"/>
      <c r="CL115" s="296"/>
      <c r="CM115" s="296"/>
      <c r="CN115" s="296"/>
      <c r="CO115" s="296"/>
      <c r="CP115" s="296"/>
      <c r="CQ115" s="296"/>
      <c r="CR115" s="296"/>
      <c r="CS115" s="296"/>
      <c r="CT115" s="296"/>
      <c r="CU115" s="296"/>
      <c r="CV115" s="296"/>
      <c r="CW115" s="296"/>
      <c r="CX115" s="296"/>
      <c r="CY115" s="296"/>
      <c r="CZ115" s="296"/>
      <c r="DA115" s="296"/>
      <c r="DB115" s="296"/>
      <c r="DC115" s="296"/>
      <c r="DD115" s="296"/>
      <c r="DE115" s="296"/>
      <c r="DF115" s="296"/>
      <c r="DG115" s="296"/>
      <c r="DH115" s="296"/>
      <c r="DI115" s="296"/>
      <c r="DJ115" s="296"/>
      <c r="DK115" s="296"/>
      <c r="DL115" s="296"/>
      <c r="DM115" s="296"/>
      <c r="DN115" s="296"/>
      <c r="DO115" s="296"/>
      <c r="DP115" s="296"/>
      <c r="DQ115" s="296"/>
      <c r="DR115" s="296"/>
      <c r="DS115" s="296"/>
      <c r="DT115" s="296"/>
      <c r="DU115" s="296"/>
      <c r="DV115" s="296"/>
      <c r="DW115" s="296"/>
      <c r="DX115" s="296"/>
      <c r="DY115" s="296"/>
      <c r="DZ115" s="296"/>
      <c r="EA115" s="296"/>
      <c r="EB115" s="296"/>
      <c r="EC115" s="296"/>
      <c r="ED115" s="296"/>
      <c r="EE115" s="296"/>
      <c r="EF115" s="296"/>
      <c r="EG115" s="296"/>
      <c r="EH115" s="296"/>
      <c r="EI115" s="296"/>
      <c r="EJ115" s="296"/>
      <c r="EK115" s="296"/>
      <c r="EL115" s="296"/>
      <c r="EM115" s="296"/>
      <c r="EN115" s="296"/>
      <c r="EO115" s="296"/>
      <c r="EP115" s="296"/>
      <c r="EQ115" s="296"/>
      <c r="ER115" s="296"/>
      <c r="ES115" s="296"/>
      <c r="ET115" s="296"/>
      <c r="EU115" s="296"/>
      <c r="EV115" s="296"/>
      <c r="EW115" s="296"/>
      <c r="EX115" s="296"/>
      <c r="EY115" s="296"/>
      <c r="EZ115" s="296"/>
      <c r="FA115" s="296"/>
      <c r="FB115" s="296"/>
      <c r="FC115" s="296"/>
      <c r="FD115" s="296"/>
      <c r="FE115" s="297"/>
      <c r="FF115" s="296"/>
      <c r="FG115" s="296"/>
      <c r="FH115" s="296"/>
      <c r="FI115" s="296"/>
      <c r="FJ115" s="296"/>
      <c r="FK115" s="296"/>
      <c r="FL115" s="296"/>
      <c r="FM115" s="296"/>
      <c r="FN115" s="296"/>
      <c r="FO115" s="296"/>
      <c r="FP115" s="296"/>
      <c r="FQ115" s="296"/>
      <c r="FR115" s="296"/>
      <c r="FS115" s="296"/>
      <c r="FT115" s="296"/>
      <c r="FU115" s="296"/>
      <c r="FV115" s="296"/>
      <c r="FW115" s="296"/>
      <c r="FX115" s="296"/>
      <c r="FY115" s="296"/>
      <c r="FZ115" s="296"/>
      <c r="GA115" s="296"/>
      <c r="GB115" s="296"/>
      <c r="GC115" s="296"/>
      <c r="GD115" s="296"/>
      <c r="GE115" s="296"/>
      <c r="GF115" s="296"/>
      <c r="GG115" s="296"/>
      <c r="GH115" s="296"/>
      <c r="GI115" s="296"/>
      <c r="GJ115" s="296"/>
      <c r="GK115" s="296"/>
      <c r="GL115" s="296"/>
      <c r="GM115" s="296"/>
      <c r="GN115" s="296"/>
      <c r="GO115" s="296"/>
      <c r="GP115" s="296"/>
      <c r="GQ115" s="296"/>
      <c r="GR115" s="296"/>
      <c r="GS115" s="296"/>
      <c r="GT115" s="296"/>
      <c r="GU115" s="296"/>
      <c r="GV115" s="296"/>
      <c r="GW115" s="296"/>
      <c r="GX115" s="296"/>
      <c r="GY115" s="296"/>
      <c r="GZ115" s="296"/>
      <c r="HA115" s="296"/>
      <c r="HB115" s="296"/>
      <c r="HC115" s="296"/>
      <c r="HD115" s="296"/>
      <c r="HE115" s="296"/>
      <c r="HF115" s="296"/>
      <c r="HG115" s="296"/>
      <c r="HH115" s="296"/>
      <c r="HI115" s="296"/>
    </row>
    <row r="116" spans="1:217" ht="15" customHeight="1">
      <c r="A116" s="150"/>
      <c r="B116" s="150"/>
      <c r="C116" s="405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AB116" s="511"/>
      <c r="AC116" s="511"/>
      <c r="AD116" s="511"/>
      <c r="AE116" s="511"/>
      <c r="AF116" s="511"/>
      <c r="AG116" s="511"/>
      <c r="AH116" s="511"/>
      <c r="AI116" s="511"/>
      <c r="AJ116" s="511"/>
      <c r="AK116" s="511"/>
      <c r="AL116" s="511"/>
      <c r="AM116" s="511"/>
      <c r="AN116" s="511"/>
      <c r="AO116" s="511"/>
      <c r="AP116" s="296"/>
      <c r="AQ116" s="296"/>
      <c r="AR116" s="296"/>
      <c r="AS116" s="296"/>
      <c r="AT116" s="296"/>
      <c r="AU116" s="296"/>
      <c r="AV116" s="296"/>
      <c r="AW116" s="296"/>
      <c r="AX116" s="296"/>
      <c r="AY116" s="296"/>
      <c r="AZ116" s="296"/>
      <c r="BA116" s="296"/>
      <c r="BB116" s="296"/>
      <c r="BC116" s="296"/>
      <c r="BD116" s="296"/>
      <c r="BE116" s="296"/>
      <c r="BF116" s="296"/>
      <c r="BG116" s="296"/>
      <c r="BH116" s="296"/>
      <c r="BI116" s="296"/>
      <c r="BJ116" s="296"/>
      <c r="BK116" s="296"/>
      <c r="BL116" s="296"/>
      <c r="BM116" s="296"/>
      <c r="BN116" s="296"/>
      <c r="BO116" s="296"/>
      <c r="BP116" s="296"/>
      <c r="BQ116" s="296"/>
      <c r="BR116" s="296"/>
      <c r="BS116" s="296"/>
      <c r="BT116" s="296"/>
      <c r="BU116" s="296"/>
      <c r="BV116" s="296"/>
      <c r="BW116" s="296"/>
      <c r="BX116" s="296"/>
      <c r="BY116" s="296"/>
      <c r="BZ116" s="296"/>
      <c r="CA116" s="296"/>
      <c r="CB116" s="296"/>
      <c r="CC116" s="296"/>
      <c r="CD116" s="296"/>
      <c r="CE116" s="296"/>
      <c r="CF116" s="296"/>
      <c r="CG116" s="296"/>
      <c r="CH116" s="296"/>
      <c r="CI116" s="296"/>
      <c r="CJ116" s="296"/>
      <c r="CK116" s="296"/>
      <c r="CL116" s="296"/>
      <c r="CM116" s="296"/>
      <c r="CN116" s="296"/>
      <c r="CO116" s="296"/>
      <c r="CP116" s="296"/>
      <c r="CQ116" s="296"/>
      <c r="CR116" s="296"/>
      <c r="CS116" s="296"/>
      <c r="CT116" s="296"/>
      <c r="CU116" s="296"/>
      <c r="CV116" s="296"/>
      <c r="CW116" s="296"/>
      <c r="CX116" s="296"/>
      <c r="CY116" s="296"/>
      <c r="CZ116" s="296"/>
      <c r="DA116" s="296"/>
      <c r="DB116" s="296"/>
      <c r="DC116" s="296"/>
      <c r="DD116" s="296"/>
      <c r="DE116" s="296"/>
      <c r="DF116" s="296"/>
      <c r="DG116" s="296"/>
      <c r="DH116" s="296"/>
      <c r="DI116" s="296"/>
      <c r="DJ116" s="296"/>
      <c r="DK116" s="296"/>
      <c r="DL116" s="296"/>
      <c r="DM116" s="296"/>
      <c r="DN116" s="296"/>
      <c r="DO116" s="296"/>
      <c r="DP116" s="296"/>
      <c r="DQ116" s="296"/>
      <c r="DR116" s="296"/>
      <c r="DS116" s="296"/>
      <c r="DT116" s="296"/>
      <c r="DU116" s="296"/>
      <c r="DV116" s="296"/>
      <c r="DW116" s="296"/>
      <c r="DX116" s="296"/>
      <c r="DY116" s="296"/>
      <c r="DZ116" s="296"/>
      <c r="EA116" s="296"/>
      <c r="EB116" s="296"/>
      <c r="EC116" s="296"/>
      <c r="ED116" s="296"/>
      <c r="EE116" s="296"/>
      <c r="EF116" s="296"/>
      <c r="EG116" s="296"/>
      <c r="EH116" s="296"/>
      <c r="EI116" s="296"/>
      <c r="EJ116" s="296"/>
      <c r="EK116" s="296"/>
      <c r="EL116" s="296"/>
      <c r="EM116" s="296"/>
      <c r="EN116" s="296"/>
      <c r="EO116" s="296"/>
      <c r="EP116" s="296"/>
      <c r="EQ116" s="296"/>
      <c r="ER116" s="296"/>
      <c r="ES116" s="296"/>
      <c r="ET116" s="296"/>
      <c r="EU116" s="296"/>
      <c r="EV116" s="296"/>
      <c r="EW116" s="296"/>
      <c r="EX116" s="296"/>
      <c r="EY116" s="296"/>
      <c r="EZ116" s="296"/>
      <c r="FA116" s="296"/>
      <c r="FB116" s="296"/>
      <c r="FC116" s="296"/>
      <c r="FD116" s="296"/>
      <c r="FE116" s="297"/>
      <c r="FF116" s="296"/>
      <c r="FG116" s="296"/>
      <c r="FH116" s="296"/>
      <c r="FI116" s="296"/>
      <c r="FJ116" s="296"/>
      <c r="FK116" s="296"/>
      <c r="FL116" s="296"/>
      <c r="FM116" s="296"/>
      <c r="FN116" s="296"/>
      <c r="FO116" s="296"/>
      <c r="FP116" s="296"/>
      <c r="FQ116" s="296"/>
      <c r="FR116" s="296"/>
      <c r="FS116" s="296"/>
      <c r="FT116" s="296"/>
      <c r="FU116" s="296"/>
      <c r="FV116" s="296"/>
      <c r="FW116" s="296"/>
      <c r="FX116" s="296"/>
      <c r="FY116" s="296"/>
      <c r="FZ116" s="296"/>
      <c r="GA116" s="296"/>
      <c r="GB116" s="296"/>
      <c r="GC116" s="296"/>
      <c r="GD116" s="296"/>
      <c r="GE116" s="296"/>
      <c r="GF116" s="296"/>
      <c r="GG116" s="296"/>
      <c r="GH116" s="296"/>
      <c r="GI116" s="296"/>
      <c r="GJ116" s="296"/>
      <c r="GK116" s="296"/>
      <c r="GL116" s="296"/>
      <c r="GM116" s="296"/>
      <c r="GN116" s="296"/>
      <c r="GO116" s="296"/>
      <c r="GP116" s="296"/>
      <c r="GQ116" s="296"/>
      <c r="GR116" s="296"/>
      <c r="GS116" s="296"/>
      <c r="GT116" s="296"/>
      <c r="GU116" s="296"/>
      <c r="GV116" s="296"/>
      <c r="GW116" s="296"/>
      <c r="GX116" s="296"/>
      <c r="GY116" s="296"/>
      <c r="GZ116" s="296"/>
      <c r="HA116" s="296"/>
      <c r="HB116" s="296"/>
      <c r="HC116" s="296"/>
      <c r="HD116" s="296"/>
      <c r="HE116" s="296"/>
      <c r="HF116" s="296"/>
      <c r="HG116" s="296"/>
      <c r="HH116" s="296"/>
      <c r="HI116" s="296"/>
    </row>
    <row r="117" spans="1:217" ht="15" customHeight="1">
      <c r="A117" s="150"/>
      <c r="B117" s="150"/>
      <c r="C117" s="405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AB117" s="511"/>
      <c r="AC117" s="511"/>
      <c r="AD117" s="511"/>
      <c r="AE117" s="511"/>
      <c r="AF117" s="511"/>
      <c r="AG117" s="511"/>
      <c r="AH117" s="511"/>
      <c r="AI117" s="511"/>
      <c r="AJ117" s="511"/>
      <c r="AK117" s="511"/>
      <c r="AL117" s="511"/>
      <c r="AM117" s="511"/>
      <c r="AN117" s="511"/>
      <c r="AO117" s="511"/>
      <c r="AP117" s="296"/>
      <c r="AQ117" s="296"/>
      <c r="AR117" s="296"/>
      <c r="AS117" s="296"/>
      <c r="AT117" s="296"/>
      <c r="AU117" s="296"/>
      <c r="AV117" s="296"/>
      <c r="AW117" s="296"/>
      <c r="AX117" s="296"/>
      <c r="AY117" s="296"/>
      <c r="AZ117" s="296"/>
      <c r="BA117" s="296"/>
      <c r="BB117" s="296"/>
      <c r="BC117" s="296"/>
      <c r="BD117" s="296"/>
      <c r="BE117" s="296"/>
      <c r="BF117" s="296"/>
      <c r="BG117" s="296"/>
      <c r="BH117" s="296"/>
      <c r="BI117" s="296"/>
      <c r="BJ117" s="296"/>
      <c r="BK117" s="296"/>
      <c r="BL117" s="296"/>
      <c r="BM117" s="296"/>
      <c r="BN117" s="296"/>
      <c r="BO117" s="296"/>
      <c r="BP117" s="296"/>
      <c r="BQ117" s="296"/>
      <c r="BR117" s="296"/>
      <c r="BS117" s="296"/>
      <c r="BT117" s="296"/>
      <c r="BU117" s="296"/>
      <c r="BV117" s="296"/>
      <c r="BW117" s="296"/>
      <c r="BX117" s="296"/>
      <c r="BY117" s="296"/>
      <c r="BZ117" s="296"/>
      <c r="CA117" s="296"/>
      <c r="CB117" s="296"/>
      <c r="CC117" s="296"/>
      <c r="CD117" s="296"/>
      <c r="CE117" s="296"/>
      <c r="CF117" s="296"/>
      <c r="CG117" s="296"/>
      <c r="CH117" s="296"/>
      <c r="CI117" s="296"/>
      <c r="CJ117" s="296"/>
      <c r="CK117" s="296"/>
      <c r="CL117" s="296"/>
      <c r="CM117" s="296"/>
      <c r="CN117" s="296"/>
      <c r="CO117" s="296"/>
      <c r="CP117" s="296"/>
      <c r="CQ117" s="296"/>
      <c r="CR117" s="296"/>
      <c r="CS117" s="296"/>
      <c r="CT117" s="296"/>
      <c r="CU117" s="296"/>
      <c r="CV117" s="296"/>
      <c r="CW117" s="296"/>
      <c r="CX117" s="296"/>
      <c r="CY117" s="296"/>
      <c r="CZ117" s="296"/>
      <c r="DA117" s="296"/>
      <c r="DB117" s="296"/>
      <c r="DC117" s="296"/>
      <c r="DD117" s="296"/>
      <c r="DE117" s="296"/>
      <c r="DF117" s="296"/>
      <c r="DG117" s="296"/>
      <c r="DH117" s="296"/>
      <c r="DI117" s="296"/>
      <c r="DJ117" s="296"/>
      <c r="DK117" s="296"/>
      <c r="DL117" s="296"/>
      <c r="DM117" s="296"/>
      <c r="DN117" s="296"/>
      <c r="DO117" s="296"/>
      <c r="DP117" s="296"/>
      <c r="DQ117" s="296"/>
      <c r="DR117" s="296"/>
      <c r="DS117" s="296"/>
      <c r="DT117" s="296"/>
      <c r="DU117" s="296"/>
      <c r="DV117" s="296"/>
      <c r="DW117" s="296"/>
      <c r="DX117" s="296"/>
      <c r="DY117" s="296"/>
      <c r="DZ117" s="296"/>
      <c r="EA117" s="296"/>
      <c r="EB117" s="296"/>
      <c r="EC117" s="296"/>
      <c r="ED117" s="296"/>
      <c r="EE117" s="296"/>
      <c r="EF117" s="296"/>
      <c r="EG117" s="296"/>
      <c r="EH117" s="296"/>
      <c r="EI117" s="296"/>
      <c r="EJ117" s="296"/>
      <c r="EK117" s="296"/>
      <c r="EL117" s="296"/>
      <c r="EM117" s="296"/>
      <c r="EN117" s="296"/>
      <c r="EO117" s="296"/>
      <c r="EP117" s="296"/>
      <c r="EQ117" s="296"/>
      <c r="ER117" s="296"/>
      <c r="ES117" s="296"/>
      <c r="ET117" s="296"/>
      <c r="EU117" s="296"/>
      <c r="EV117" s="296"/>
      <c r="EW117" s="296"/>
      <c r="EX117" s="296"/>
      <c r="EY117" s="296"/>
      <c r="EZ117" s="296"/>
      <c r="FA117" s="296"/>
      <c r="FB117" s="296"/>
      <c r="FC117" s="296"/>
      <c r="FD117" s="296"/>
      <c r="FE117" s="297"/>
      <c r="FF117" s="296"/>
      <c r="FG117" s="296"/>
      <c r="FH117" s="296"/>
      <c r="FI117" s="296"/>
      <c r="FJ117" s="296"/>
      <c r="FK117" s="296"/>
      <c r="FL117" s="296"/>
      <c r="FM117" s="296"/>
      <c r="FN117" s="296"/>
      <c r="FO117" s="296"/>
      <c r="FP117" s="296"/>
      <c r="FQ117" s="296"/>
      <c r="FR117" s="296"/>
      <c r="FS117" s="296"/>
      <c r="FT117" s="296"/>
      <c r="FU117" s="296"/>
      <c r="FV117" s="296"/>
      <c r="FW117" s="296"/>
      <c r="FX117" s="296"/>
      <c r="FY117" s="296"/>
      <c r="FZ117" s="296"/>
      <c r="GA117" s="296"/>
      <c r="GB117" s="296"/>
      <c r="GC117" s="296"/>
      <c r="GD117" s="296"/>
      <c r="GE117" s="296"/>
      <c r="GF117" s="296"/>
      <c r="GG117" s="296"/>
      <c r="GH117" s="296"/>
      <c r="GI117" s="296"/>
      <c r="GJ117" s="296"/>
      <c r="GK117" s="296"/>
      <c r="GL117" s="296"/>
      <c r="GM117" s="296"/>
      <c r="GN117" s="296"/>
      <c r="GO117" s="296"/>
      <c r="GP117" s="296"/>
      <c r="GQ117" s="296"/>
      <c r="GR117" s="296"/>
      <c r="GS117" s="296"/>
      <c r="GT117" s="296"/>
      <c r="GU117" s="296"/>
      <c r="GV117" s="296"/>
      <c r="GW117" s="296"/>
      <c r="GX117" s="296"/>
      <c r="GY117" s="296"/>
      <c r="GZ117" s="296"/>
      <c r="HA117" s="296"/>
      <c r="HB117" s="296"/>
      <c r="HC117" s="296"/>
      <c r="HD117" s="296"/>
      <c r="HE117" s="296"/>
      <c r="HF117" s="296"/>
      <c r="HG117" s="296"/>
      <c r="HH117" s="296"/>
      <c r="HI117" s="296"/>
    </row>
    <row r="118" spans="1:217" ht="15" customHeight="1">
      <c r="A118" s="150"/>
      <c r="B118" s="150"/>
      <c r="C118" s="405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AB118" s="511"/>
      <c r="AC118" s="511"/>
      <c r="AD118" s="511"/>
      <c r="AE118" s="511"/>
      <c r="AF118" s="511"/>
      <c r="AG118" s="511"/>
      <c r="AH118" s="511"/>
      <c r="AI118" s="511"/>
      <c r="AJ118" s="511"/>
      <c r="AK118" s="511"/>
      <c r="AL118" s="511"/>
      <c r="AM118" s="511"/>
      <c r="AN118" s="511"/>
      <c r="AO118" s="511"/>
      <c r="AP118" s="296"/>
      <c r="AQ118" s="296"/>
      <c r="AR118" s="296"/>
      <c r="AS118" s="296"/>
      <c r="AT118" s="296"/>
      <c r="AU118" s="296"/>
      <c r="AV118" s="296"/>
      <c r="AW118" s="296"/>
      <c r="AX118" s="296"/>
      <c r="AY118" s="296"/>
      <c r="AZ118" s="296"/>
      <c r="BA118" s="296"/>
      <c r="BB118" s="296"/>
      <c r="BC118" s="296"/>
      <c r="BD118" s="296"/>
      <c r="BE118" s="296"/>
      <c r="BF118" s="296"/>
      <c r="BG118" s="296"/>
      <c r="BH118" s="296"/>
      <c r="BI118" s="296"/>
      <c r="BJ118" s="296"/>
      <c r="BK118" s="296"/>
      <c r="BL118" s="296"/>
      <c r="BM118" s="296"/>
      <c r="BN118" s="296"/>
      <c r="BO118" s="296"/>
      <c r="BP118" s="296"/>
      <c r="BQ118" s="296"/>
      <c r="BR118" s="296"/>
      <c r="BS118" s="296"/>
      <c r="BT118" s="296"/>
      <c r="BU118" s="296"/>
      <c r="BV118" s="296"/>
      <c r="BW118" s="296"/>
      <c r="BX118" s="296"/>
      <c r="BY118" s="296"/>
      <c r="BZ118" s="296"/>
      <c r="CA118" s="296"/>
      <c r="CB118" s="296"/>
      <c r="CC118" s="296"/>
      <c r="CD118" s="296"/>
      <c r="CE118" s="296"/>
      <c r="CF118" s="296"/>
      <c r="CG118" s="296"/>
      <c r="CH118" s="296"/>
      <c r="CI118" s="296"/>
      <c r="CJ118" s="296"/>
      <c r="CK118" s="296"/>
      <c r="CL118" s="296"/>
      <c r="CM118" s="296"/>
      <c r="CN118" s="296"/>
      <c r="CO118" s="296"/>
      <c r="CP118" s="296"/>
      <c r="CQ118" s="296"/>
      <c r="CR118" s="296"/>
      <c r="CS118" s="296"/>
      <c r="CT118" s="296"/>
      <c r="CU118" s="296"/>
      <c r="CV118" s="296"/>
      <c r="CW118" s="296"/>
      <c r="CX118" s="296"/>
      <c r="CY118" s="296"/>
      <c r="CZ118" s="296"/>
      <c r="DA118" s="296"/>
      <c r="DB118" s="296"/>
      <c r="DC118" s="296"/>
      <c r="DD118" s="296"/>
      <c r="DE118" s="296"/>
      <c r="DF118" s="296"/>
      <c r="DG118" s="296"/>
      <c r="DH118" s="296"/>
      <c r="DI118" s="296"/>
      <c r="DJ118" s="296"/>
      <c r="DK118" s="296"/>
      <c r="DL118" s="296"/>
      <c r="DM118" s="296"/>
      <c r="DN118" s="296"/>
      <c r="DO118" s="296"/>
      <c r="DP118" s="296"/>
      <c r="DQ118" s="296"/>
      <c r="DR118" s="296"/>
      <c r="DS118" s="296"/>
      <c r="DT118" s="296"/>
      <c r="DU118" s="296"/>
      <c r="DV118" s="296"/>
      <c r="DW118" s="296"/>
      <c r="DX118" s="296"/>
      <c r="DY118" s="296"/>
      <c r="DZ118" s="296"/>
      <c r="EA118" s="296"/>
      <c r="EB118" s="296"/>
      <c r="EC118" s="296"/>
      <c r="ED118" s="296"/>
      <c r="EE118" s="296"/>
      <c r="EF118" s="296"/>
      <c r="EG118" s="296"/>
      <c r="EH118" s="296"/>
      <c r="EI118" s="296"/>
      <c r="EJ118" s="296"/>
      <c r="EK118" s="296"/>
      <c r="EL118" s="296"/>
      <c r="EM118" s="296"/>
      <c r="EN118" s="296"/>
      <c r="EO118" s="296"/>
      <c r="EP118" s="296"/>
      <c r="EQ118" s="296"/>
      <c r="ER118" s="296"/>
      <c r="ES118" s="296"/>
      <c r="ET118" s="296"/>
      <c r="EU118" s="296"/>
      <c r="EV118" s="296"/>
      <c r="EW118" s="296"/>
      <c r="EX118" s="296"/>
      <c r="EY118" s="296"/>
      <c r="EZ118" s="296"/>
      <c r="FA118" s="296"/>
      <c r="FB118" s="296"/>
      <c r="FC118" s="296"/>
      <c r="FD118" s="296"/>
      <c r="FE118" s="297"/>
      <c r="FF118" s="296"/>
      <c r="FG118" s="296"/>
      <c r="FH118" s="296"/>
      <c r="FI118" s="296"/>
      <c r="FJ118" s="296"/>
      <c r="FK118" s="296"/>
      <c r="FL118" s="296"/>
      <c r="FM118" s="296"/>
      <c r="FN118" s="296"/>
      <c r="FO118" s="296"/>
      <c r="FP118" s="296"/>
      <c r="FQ118" s="296"/>
      <c r="FR118" s="296"/>
      <c r="FS118" s="296"/>
      <c r="FT118" s="296"/>
      <c r="FU118" s="296"/>
      <c r="FV118" s="296"/>
      <c r="FW118" s="296"/>
      <c r="FX118" s="296"/>
      <c r="FY118" s="296"/>
      <c r="FZ118" s="296"/>
      <c r="GA118" s="296"/>
      <c r="GB118" s="296"/>
      <c r="GC118" s="296"/>
      <c r="GD118" s="296"/>
      <c r="GE118" s="296"/>
      <c r="GF118" s="296"/>
      <c r="GG118" s="296"/>
      <c r="GH118" s="296"/>
      <c r="GI118" s="296"/>
      <c r="GJ118" s="296"/>
      <c r="GK118" s="296"/>
      <c r="GL118" s="296"/>
      <c r="GM118" s="296"/>
      <c r="GN118" s="296"/>
      <c r="GO118" s="296"/>
      <c r="GP118" s="296"/>
      <c r="GQ118" s="296"/>
      <c r="GR118" s="296"/>
      <c r="GS118" s="296"/>
      <c r="GT118" s="296"/>
      <c r="GU118" s="296"/>
      <c r="GV118" s="296"/>
      <c r="GW118" s="296"/>
      <c r="GX118" s="296"/>
      <c r="GY118" s="296"/>
      <c r="GZ118" s="296"/>
      <c r="HA118" s="296"/>
      <c r="HB118" s="296"/>
      <c r="HC118" s="296"/>
      <c r="HD118" s="296"/>
      <c r="HE118" s="296"/>
      <c r="HF118" s="296"/>
      <c r="HG118" s="296"/>
      <c r="HH118" s="296"/>
      <c r="HI118" s="296"/>
    </row>
    <row r="119" spans="1:217" ht="15" customHeight="1">
      <c r="A119" s="150"/>
      <c r="B119" s="150"/>
      <c r="C119" s="405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AB119" s="511"/>
      <c r="AC119" s="511"/>
      <c r="AD119" s="511"/>
      <c r="AE119" s="511"/>
      <c r="AF119" s="511"/>
      <c r="AG119" s="511"/>
      <c r="AH119" s="511"/>
      <c r="AI119" s="511"/>
      <c r="AJ119" s="511"/>
      <c r="AK119" s="511"/>
      <c r="AL119" s="511"/>
      <c r="AM119" s="511"/>
      <c r="AN119" s="511"/>
      <c r="AO119" s="511"/>
      <c r="AP119" s="296"/>
      <c r="AQ119" s="296"/>
      <c r="AR119" s="296"/>
      <c r="AS119" s="296"/>
      <c r="AT119" s="296"/>
      <c r="AU119" s="296"/>
      <c r="AV119" s="296"/>
      <c r="AW119" s="296"/>
      <c r="AX119" s="296"/>
      <c r="AY119" s="296"/>
      <c r="AZ119" s="296"/>
      <c r="BA119" s="296"/>
      <c r="BB119" s="296"/>
      <c r="BC119" s="296"/>
      <c r="BD119" s="296"/>
      <c r="BE119" s="296"/>
      <c r="BF119" s="296"/>
      <c r="BG119" s="296"/>
      <c r="BH119" s="296"/>
      <c r="BI119" s="296"/>
      <c r="BJ119" s="296"/>
      <c r="BK119" s="296"/>
      <c r="BL119" s="296"/>
      <c r="BM119" s="296"/>
      <c r="BN119" s="296"/>
      <c r="BO119" s="296"/>
      <c r="BP119" s="296"/>
      <c r="BQ119" s="296"/>
      <c r="BR119" s="296"/>
      <c r="BS119" s="296"/>
      <c r="BT119" s="296"/>
      <c r="BU119" s="296"/>
      <c r="BV119" s="296"/>
      <c r="BW119" s="296"/>
      <c r="BX119" s="296"/>
      <c r="BY119" s="296"/>
      <c r="BZ119" s="296"/>
      <c r="CA119" s="296"/>
      <c r="CB119" s="296"/>
      <c r="CC119" s="296"/>
      <c r="CD119" s="296"/>
      <c r="CE119" s="296"/>
      <c r="CF119" s="296"/>
      <c r="CG119" s="296"/>
      <c r="CH119" s="296"/>
      <c r="CI119" s="296"/>
      <c r="CJ119" s="296"/>
      <c r="CK119" s="296"/>
      <c r="CL119" s="296"/>
      <c r="CM119" s="296"/>
      <c r="CN119" s="296"/>
      <c r="CO119" s="296"/>
      <c r="CP119" s="296"/>
      <c r="CQ119" s="296"/>
      <c r="CR119" s="296"/>
      <c r="CS119" s="296"/>
      <c r="CT119" s="296"/>
      <c r="CU119" s="296"/>
      <c r="CV119" s="296"/>
      <c r="CW119" s="296"/>
      <c r="CX119" s="296"/>
      <c r="CY119" s="296"/>
      <c r="CZ119" s="296"/>
      <c r="DA119" s="296"/>
      <c r="DB119" s="296"/>
      <c r="DC119" s="296"/>
      <c r="DD119" s="296"/>
      <c r="DE119" s="296"/>
      <c r="DF119" s="296"/>
      <c r="DG119" s="296"/>
      <c r="DH119" s="296"/>
      <c r="DI119" s="296"/>
      <c r="DJ119" s="296"/>
      <c r="DK119" s="296"/>
      <c r="DL119" s="296"/>
      <c r="DM119" s="296"/>
      <c r="DN119" s="296"/>
      <c r="DO119" s="296"/>
      <c r="DP119" s="296"/>
      <c r="DQ119" s="296"/>
      <c r="DR119" s="296"/>
      <c r="DS119" s="296"/>
      <c r="DT119" s="296"/>
      <c r="DU119" s="296"/>
      <c r="DV119" s="296"/>
      <c r="DW119" s="296"/>
      <c r="DX119" s="296"/>
      <c r="DY119" s="296"/>
      <c r="DZ119" s="296"/>
      <c r="EA119" s="296"/>
      <c r="EB119" s="296"/>
      <c r="EC119" s="296"/>
      <c r="ED119" s="296"/>
      <c r="EE119" s="296"/>
      <c r="EF119" s="296"/>
      <c r="EG119" s="296"/>
      <c r="EH119" s="296"/>
      <c r="EI119" s="296"/>
      <c r="EJ119" s="296"/>
      <c r="EK119" s="296"/>
      <c r="EL119" s="296"/>
      <c r="EM119" s="296"/>
      <c r="EN119" s="296"/>
      <c r="EO119" s="296"/>
      <c r="EP119" s="296"/>
      <c r="EQ119" s="296"/>
      <c r="ER119" s="296"/>
      <c r="ES119" s="296"/>
      <c r="ET119" s="296"/>
      <c r="EU119" s="296"/>
      <c r="EV119" s="296"/>
      <c r="EW119" s="296"/>
      <c r="EX119" s="296"/>
      <c r="EY119" s="296"/>
      <c r="EZ119" s="296"/>
      <c r="FA119" s="296"/>
      <c r="FB119" s="296"/>
      <c r="FC119" s="296"/>
      <c r="FD119" s="296"/>
      <c r="FE119" s="297"/>
      <c r="FF119" s="296"/>
      <c r="FG119" s="296"/>
      <c r="FH119" s="296"/>
      <c r="FI119" s="296"/>
      <c r="FJ119" s="296"/>
      <c r="FK119" s="296"/>
      <c r="FL119" s="296"/>
      <c r="FM119" s="296"/>
      <c r="FN119" s="296"/>
      <c r="FO119" s="296"/>
      <c r="FP119" s="296"/>
      <c r="FQ119" s="296"/>
      <c r="FR119" s="296"/>
      <c r="FS119" s="296"/>
      <c r="FT119" s="296"/>
      <c r="FU119" s="296"/>
      <c r="FV119" s="296"/>
      <c r="FW119" s="296"/>
      <c r="FX119" s="296"/>
      <c r="FY119" s="296"/>
      <c r="FZ119" s="296"/>
      <c r="GA119" s="296"/>
      <c r="GB119" s="296"/>
      <c r="GC119" s="296"/>
      <c r="GD119" s="296"/>
      <c r="GE119" s="296"/>
      <c r="GF119" s="296"/>
      <c r="GG119" s="296"/>
      <c r="GH119" s="296"/>
      <c r="GI119" s="296"/>
      <c r="GJ119" s="296"/>
      <c r="GK119" s="296"/>
      <c r="GL119" s="296"/>
      <c r="GM119" s="296"/>
      <c r="GN119" s="296"/>
      <c r="GO119" s="296"/>
      <c r="GP119" s="296"/>
      <c r="GQ119" s="296"/>
      <c r="GR119" s="296"/>
      <c r="GS119" s="296"/>
      <c r="GT119" s="296"/>
      <c r="GU119" s="296"/>
      <c r="GV119" s="296"/>
      <c r="GW119" s="296"/>
      <c r="GX119" s="296"/>
      <c r="GY119" s="296"/>
      <c r="GZ119" s="296"/>
      <c r="HA119" s="296"/>
      <c r="HB119" s="296"/>
      <c r="HC119" s="296"/>
      <c r="HD119" s="296"/>
      <c r="HE119" s="296"/>
      <c r="HF119" s="296"/>
      <c r="HG119" s="296"/>
      <c r="HH119" s="296"/>
      <c r="HI119" s="296"/>
    </row>
    <row r="120" spans="1:217" ht="15" customHeight="1">
      <c r="A120" s="150"/>
      <c r="B120" s="150"/>
      <c r="C120" s="405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AB120" s="511"/>
      <c r="AC120" s="511"/>
      <c r="AD120" s="511"/>
      <c r="AE120" s="511"/>
      <c r="AF120" s="511"/>
      <c r="AG120" s="511"/>
      <c r="AH120" s="511"/>
      <c r="AI120" s="511"/>
      <c r="AJ120" s="511"/>
      <c r="AK120" s="511"/>
      <c r="AL120" s="511"/>
      <c r="AM120" s="511"/>
      <c r="AN120" s="511"/>
      <c r="AO120" s="511"/>
      <c r="AP120" s="296"/>
      <c r="AQ120" s="296"/>
      <c r="AR120" s="296"/>
      <c r="AS120" s="296"/>
      <c r="AT120" s="296"/>
      <c r="AU120" s="296"/>
      <c r="AV120" s="296"/>
      <c r="AW120" s="296"/>
      <c r="AX120" s="296"/>
      <c r="AY120" s="296"/>
      <c r="AZ120" s="296"/>
      <c r="BA120" s="296"/>
      <c r="BB120" s="296"/>
      <c r="BC120" s="296"/>
      <c r="BD120" s="296"/>
      <c r="BE120" s="296"/>
      <c r="BF120" s="296"/>
      <c r="BG120" s="296"/>
      <c r="BH120" s="296"/>
      <c r="BI120" s="296"/>
      <c r="BJ120" s="296"/>
      <c r="BK120" s="296"/>
      <c r="BL120" s="296"/>
      <c r="BM120" s="296"/>
      <c r="BN120" s="296"/>
      <c r="BO120" s="296"/>
      <c r="BP120" s="296"/>
      <c r="BQ120" s="296"/>
      <c r="BR120" s="296"/>
      <c r="BS120" s="296"/>
      <c r="BT120" s="296"/>
      <c r="BU120" s="296"/>
      <c r="BV120" s="296"/>
      <c r="BW120" s="296"/>
      <c r="BX120" s="296"/>
      <c r="BY120" s="296"/>
      <c r="BZ120" s="296"/>
      <c r="CA120" s="296"/>
      <c r="CB120" s="296"/>
      <c r="CC120" s="296"/>
      <c r="CD120" s="296"/>
      <c r="CE120" s="296"/>
      <c r="CF120" s="296"/>
      <c r="CG120" s="296"/>
      <c r="CH120" s="296"/>
      <c r="CI120" s="296"/>
      <c r="CJ120" s="296"/>
      <c r="CK120" s="296"/>
      <c r="CL120" s="296"/>
      <c r="CM120" s="296"/>
      <c r="CN120" s="296"/>
      <c r="CO120" s="296"/>
      <c r="CP120" s="296"/>
      <c r="CQ120" s="296"/>
      <c r="CR120" s="296"/>
      <c r="CS120" s="296"/>
      <c r="CT120" s="296"/>
      <c r="CU120" s="296"/>
      <c r="CV120" s="296"/>
      <c r="CW120" s="296"/>
      <c r="CX120" s="296"/>
      <c r="CY120" s="296"/>
      <c r="CZ120" s="296"/>
      <c r="DA120" s="296"/>
      <c r="DB120" s="296"/>
      <c r="DC120" s="296"/>
      <c r="DD120" s="296"/>
      <c r="DE120" s="296"/>
      <c r="DF120" s="296"/>
      <c r="DG120" s="296"/>
      <c r="DH120" s="296"/>
      <c r="DI120" s="296"/>
      <c r="DJ120" s="296"/>
      <c r="DK120" s="296"/>
      <c r="DL120" s="296"/>
      <c r="DM120" s="296"/>
      <c r="DN120" s="296"/>
      <c r="DO120" s="296"/>
      <c r="DP120" s="296"/>
      <c r="DQ120" s="296"/>
      <c r="DR120" s="296"/>
      <c r="DS120" s="296"/>
      <c r="DT120" s="296"/>
      <c r="DU120" s="296"/>
      <c r="DV120" s="296"/>
      <c r="DW120" s="296"/>
      <c r="DX120" s="296"/>
      <c r="DY120" s="296"/>
      <c r="DZ120" s="296"/>
      <c r="EA120" s="296"/>
      <c r="EB120" s="296"/>
      <c r="EC120" s="296"/>
      <c r="ED120" s="296"/>
      <c r="EE120" s="296"/>
      <c r="EF120" s="296"/>
      <c r="EG120" s="296"/>
      <c r="EH120" s="296"/>
      <c r="EI120" s="296"/>
      <c r="EJ120" s="296"/>
      <c r="EK120" s="296"/>
      <c r="EL120" s="296"/>
      <c r="EM120" s="296"/>
      <c r="EN120" s="296"/>
      <c r="EO120" s="296"/>
      <c r="EP120" s="296"/>
      <c r="EQ120" s="296"/>
      <c r="ER120" s="296"/>
      <c r="ES120" s="296"/>
      <c r="ET120" s="296"/>
      <c r="EU120" s="296"/>
      <c r="EV120" s="296"/>
      <c r="EW120" s="296"/>
      <c r="EX120" s="296"/>
      <c r="EY120" s="296"/>
      <c r="EZ120" s="296"/>
      <c r="FA120" s="296"/>
      <c r="FB120" s="296"/>
      <c r="FC120" s="296"/>
      <c r="FD120" s="296"/>
      <c r="FE120" s="297"/>
      <c r="FF120" s="296"/>
      <c r="FG120" s="296"/>
      <c r="FH120" s="296"/>
      <c r="FI120" s="296"/>
      <c r="FJ120" s="296"/>
      <c r="FK120" s="296"/>
      <c r="FL120" s="296"/>
      <c r="FM120" s="296"/>
      <c r="FN120" s="296"/>
      <c r="FO120" s="296"/>
      <c r="FP120" s="296"/>
      <c r="FQ120" s="296"/>
      <c r="FR120" s="296"/>
      <c r="FS120" s="296"/>
      <c r="FT120" s="296"/>
      <c r="FU120" s="296"/>
      <c r="FV120" s="296"/>
      <c r="FW120" s="296"/>
      <c r="FX120" s="296"/>
      <c r="FY120" s="296"/>
      <c r="FZ120" s="296"/>
      <c r="GA120" s="296"/>
      <c r="GB120" s="296"/>
      <c r="GC120" s="296"/>
      <c r="GD120" s="296"/>
      <c r="GE120" s="296"/>
      <c r="GF120" s="296"/>
      <c r="GG120" s="296"/>
      <c r="GH120" s="296"/>
      <c r="GI120" s="296"/>
      <c r="GJ120" s="296"/>
      <c r="GK120" s="296"/>
      <c r="GL120" s="296"/>
      <c r="GM120" s="296"/>
      <c r="GN120" s="296"/>
      <c r="GO120" s="296"/>
      <c r="GP120" s="296"/>
      <c r="GQ120" s="296"/>
      <c r="GR120" s="296"/>
      <c r="GS120" s="296"/>
      <c r="GT120" s="296"/>
      <c r="GU120" s="296"/>
      <c r="GV120" s="296"/>
      <c r="GW120" s="296"/>
      <c r="GX120" s="296"/>
      <c r="GY120" s="296"/>
      <c r="GZ120" s="296"/>
      <c r="HA120" s="296"/>
      <c r="HB120" s="296"/>
      <c r="HC120" s="296"/>
      <c r="HD120" s="296"/>
      <c r="HE120" s="296"/>
      <c r="HF120" s="296"/>
      <c r="HG120" s="296"/>
      <c r="HH120" s="296"/>
      <c r="HI120" s="296"/>
    </row>
    <row r="121" spans="1:217" ht="15" customHeight="1">
      <c r="A121" s="150"/>
      <c r="B121" s="150"/>
      <c r="C121" s="405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AB121" s="511"/>
      <c r="AC121" s="511"/>
      <c r="AD121" s="511"/>
      <c r="AE121" s="511"/>
      <c r="AF121" s="511"/>
      <c r="AG121" s="511"/>
      <c r="AH121" s="511"/>
      <c r="AI121" s="511"/>
      <c r="AJ121" s="511"/>
      <c r="AK121" s="511"/>
      <c r="AL121" s="511"/>
      <c r="AM121" s="511"/>
      <c r="AN121" s="511"/>
      <c r="AO121" s="511"/>
      <c r="AP121" s="296"/>
      <c r="AQ121" s="296"/>
      <c r="AR121" s="296"/>
      <c r="AS121" s="296"/>
      <c r="AT121" s="296"/>
      <c r="AU121" s="296"/>
      <c r="AV121" s="296"/>
      <c r="AW121" s="296"/>
      <c r="AX121" s="296"/>
      <c r="AY121" s="296"/>
      <c r="AZ121" s="296"/>
      <c r="BA121" s="296"/>
      <c r="BB121" s="296"/>
      <c r="BC121" s="296"/>
      <c r="BD121" s="296"/>
      <c r="BE121" s="296"/>
      <c r="BF121" s="296"/>
      <c r="BG121" s="296"/>
      <c r="BH121" s="296"/>
      <c r="BI121" s="296"/>
      <c r="BJ121" s="296"/>
      <c r="BK121" s="296"/>
      <c r="BL121" s="296"/>
      <c r="BM121" s="296"/>
      <c r="BN121" s="296"/>
      <c r="BO121" s="296"/>
      <c r="BP121" s="296"/>
      <c r="BQ121" s="296"/>
      <c r="BR121" s="296"/>
      <c r="BS121" s="296"/>
      <c r="BT121" s="296"/>
      <c r="BU121" s="296"/>
      <c r="BV121" s="296"/>
      <c r="BW121" s="296"/>
      <c r="BX121" s="296"/>
      <c r="BY121" s="296"/>
      <c r="BZ121" s="296"/>
      <c r="CA121" s="296"/>
      <c r="CB121" s="296"/>
      <c r="CC121" s="296"/>
      <c r="CD121" s="296"/>
      <c r="CE121" s="296"/>
      <c r="CF121" s="296"/>
      <c r="CG121" s="296"/>
      <c r="CH121" s="296"/>
      <c r="CI121" s="296"/>
      <c r="CJ121" s="296"/>
      <c r="CK121" s="296"/>
      <c r="CL121" s="296"/>
      <c r="CM121" s="296"/>
      <c r="CN121" s="296"/>
      <c r="CO121" s="296"/>
      <c r="CP121" s="296"/>
      <c r="CQ121" s="296"/>
      <c r="CR121" s="296"/>
      <c r="CS121" s="296"/>
      <c r="CT121" s="296"/>
      <c r="CU121" s="296"/>
      <c r="CV121" s="296"/>
      <c r="CW121" s="296"/>
      <c r="CX121" s="296"/>
      <c r="CY121" s="296"/>
      <c r="CZ121" s="296"/>
      <c r="DA121" s="296"/>
      <c r="DB121" s="296"/>
      <c r="DC121" s="296"/>
      <c r="DD121" s="296"/>
      <c r="DE121" s="296"/>
      <c r="DF121" s="296"/>
      <c r="DG121" s="296"/>
      <c r="DH121" s="296"/>
      <c r="DI121" s="296"/>
      <c r="DJ121" s="296"/>
      <c r="DK121" s="296"/>
      <c r="DL121" s="296"/>
      <c r="DM121" s="296"/>
      <c r="DN121" s="296"/>
      <c r="DO121" s="296"/>
      <c r="DP121" s="296"/>
      <c r="DQ121" s="296"/>
      <c r="DR121" s="296"/>
      <c r="DS121" s="296"/>
      <c r="DT121" s="296"/>
      <c r="DU121" s="296"/>
      <c r="DV121" s="296"/>
      <c r="DW121" s="296"/>
      <c r="DX121" s="296"/>
      <c r="DY121" s="296"/>
      <c r="DZ121" s="296"/>
      <c r="EA121" s="296"/>
      <c r="EB121" s="296"/>
      <c r="EC121" s="296"/>
      <c r="ED121" s="296"/>
      <c r="EE121" s="296"/>
      <c r="EF121" s="296"/>
      <c r="EG121" s="296"/>
      <c r="EH121" s="296"/>
      <c r="EI121" s="296"/>
      <c r="EJ121" s="296"/>
      <c r="EK121" s="296"/>
      <c r="EL121" s="296"/>
      <c r="EM121" s="296"/>
      <c r="EN121" s="296"/>
      <c r="EO121" s="296"/>
      <c r="EP121" s="296"/>
      <c r="EQ121" s="296"/>
      <c r="ER121" s="296"/>
      <c r="ES121" s="296"/>
      <c r="ET121" s="296"/>
      <c r="EU121" s="296"/>
      <c r="EV121" s="296"/>
      <c r="EW121" s="296"/>
      <c r="EX121" s="296"/>
      <c r="EY121" s="296"/>
      <c r="EZ121" s="296"/>
      <c r="FA121" s="296"/>
      <c r="FB121" s="296"/>
      <c r="FC121" s="296"/>
      <c r="FD121" s="296"/>
      <c r="FE121" s="297"/>
      <c r="FF121" s="296"/>
      <c r="FG121" s="296"/>
      <c r="FH121" s="296"/>
      <c r="FI121" s="296"/>
      <c r="FJ121" s="296"/>
      <c r="FK121" s="296"/>
      <c r="FL121" s="296"/>
      <c r="FM121" s="296"/>
      <c r="FN121" s="296"/>
      <c r="FO121" s="296"/>
      <c r="FP121" s="296"/>
      <c r="FQ121" s="296"/>
      <c r="FR121" s="296"/>
      <c r="FS121" s="296"/>
      <c r="FT121" s="296"/>
      <c r="FU121" s="296"/>
      <c r="FV121" s="296"/>
      <c r="FW121" s="296"/>
      <c r="FX121" s="296"/>
      <c r="FY121" s="296"/>
      <c r="FZ121" s="296"/>
      <c r="GA121" s="296"/>
      <c r="GB121" s="296"/>
      <c r="GC121" s="296"/>
      <c r="GD121" s="296"/>
      <c r="GE121" s="296"/>
      <c r="GF121" s="296"/>
      <c r="GG121" s="296"/>
      <c r="GH121" s="296"/>
      <c r="GI121" s="296"/>
      <c r="GJ121" s="296"/>
      <c r="GK121" s="296"/>
      <c r="GL121" s="296"/>
      <c r="GM121" s="296"/>
      <c r="GN121" s="296"/>
      <c r="GO121" s="296"/>
      <c r="GP121" s="296"/>
      <c r="GQ121" s="296"/>
      <c r="GR121" s="296"/>
      <c r="GS121" s="296"/>
      <c r="GT121" s="296"/>
      <c r="GU121" s="296"/>
      <c r="GV121" s="296"/>
      <c r="GW121" s="296"/>
      <c r="GX121" s="296"/>
      <c r="GY121" s="296"/>
      <c r="GZ121" s="296"/>
      <c r="HA121" s="296"/>
      <c r="HB121" s="296"/>
      <c r="HC121" s="296"/>
      <c r="HD121" s="296"/>
      <c r="HE121" s="296"/>
      <c r="HF121" s="296"/>
      <c r="HG121" s="296"/>
      <c r="HH121" s="296"/>
      <c r="HI121" s="296"/>
    </row>
    <row r="122" spans="1:217" ht="15" customHeight="1">
      <c r="A122" s="150"/>
      <c r="B122" s="150"/>
      <c r="C122" s="405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AB122" s="511"/>
      <c r="AC122" s="511"/>
      <c r="AD122" s="511"/>
      <c r="AE122" s="511"/>
      <c r="AF122" s="511"/>
      <c r="AG122" s="511"/>
      <c r="AH122" s="511"/>
      <c r="AI122" s="511"/>
      <c r="AJ122" s="511"/>
      <c r="AK122" s="511"/>
      <c r="AL122" s="511"/>
      <c r="AM122" s="511"/>
      <c r="AN122" s="511"/>
      <c r="AO122" s="511"/>
      <c r="AP122" s="296"/>
      <c r="AQ122" s="296"/>
      <c r="AR122" s="296"/>
      <c r="AS122" s="296"/>
      <c r="AT122" s="296"/>
      <c r="AU122" s="296"/>
      <c r="AV122" s="296"/>
      <c r="AW122" s="296"/>
      <c r="AX122" s="296"/>
      <c r="AY122" s="296"/>
      <c r="AZ122" s="296"/>
      <c r="BA122" s="296"/>
      <c r="BB122" s="296"/>
      <c r="BC122" s="296"/>
      <c r="BD122" s="296"/>
      <c r="BE122" s="296"/>
      <c r="BF122" s="296"/>
      <c r="BG122" s="296"/>
      <c r="BH122" s="296"/>
      <c r="BI122" s="296"/>
      <c r="BJ122" s="296"/>
      <c r="BK122" s="296"/>
      <c r="BL122" s="296"/>
      <c r="BM122" s="296"/>
      <c r="BN122" s="296"/>
      <c r="BO122" s="296"/>
      <c r="BP122" s="296"/>
      <c r="BQ122" s="296"/>
      <c r="BR122" s="296"/>
      <c r="BS122" s="296"/>
      <c r="BT122" s="296"/>
      <c r="BU122" s="296"/>
      <c r="BV122" s="296"/>
      <c r="BW122" s="296"/>
      <c r="BX122" s="296"/>
      <c r="BY122" s="296"/>
      <c r="BZ122" s="296"/>
      <c r="CA122" s="296"/>
      <c r="CB122" s="296"/>
      <c r="CC122" s="296"/>
      <c r="CD122" s="296"/>
      <c r="CE122" s="296"/>
      <c r="CF122" s="296"/>
      <c r="CG122" s="296"/>
      <c r="CH122" s="296"/>
      <c r="CI122" s="296"/>
      <c r="CJ122" s="296"/>
      <c r="CK122" s="296"/>
      <c r="CL122" s="296"/>
      <c r="CM122" s="296"/>
      <c r="CN122" s="296"/>
      <c r="CO122" s="296"/>
      <c r="CP122" s="296"/>
      <c r="CQ122" s="296"/>
      <c r="CR122" s="296"/>
      <c r="CS122" s="296"/>
      <c r="CT122" s="296"/>
      <c r="CU122" s="296"/>
      <c r="CV122" s="296"/>
      <c r="CW122" s="296"/>
      <c r="CX122" s="296"/>
      <c r="CY122" s="296"/>
      <c r="CZ122" s="296"/>
      <c r="DA122" s="296"/>
      <c r="DB122" s="296"/>
      <c r="DC122" s="296"/>
      <c r="DD122" s="296"/>
      <c r="DE122" s="296"/>
      <c r="DF122" s="296"/>
      <c r="DG122" s="296"/>
      <c r="DH122" s="296"/>
      <c r="DI122" s="296"/>
      <c r="DJ122" s="296"/>
      <c r="DK122" s="296"/>
      <c r="DL122" s="296"/>
      <c r="DM122" s="296"/>
      <c r="DN122" s="296"/>
      <c r="DO122" s="296"/>
      <c r="DP122" s="296"/>
      <c r="DQ122" s="296"/>
      <c r="DR122" s="296"/>
      <c r="DS122" s="296"/>
      <c r="DT122" s="296"/>
      <c r="DU122" s="296"/>
      <c r="DV122" s="296"/>
      <c r="DW122" s="296"/>
      <c r="DX122" s="296"/>
      <c r="DY122" s="296"/>
      <c r="DZ122" s="296"/>
      <c r="EA122" s="296"/>
      <c r="EB122" s="296"/>
      <c r="EC122" s="296"/>
      <c r="ED122" s="296"/>
      <c r="EE122" s="296"/>
      <c r="EF122" s="296"/>
      <c r="EG122" s="296"/>
      <c r="EH122" s="296"/>
      <c r="EI122" s="296"/>
      <c r="EJ122" s="296"/>
      <c r="EK122" s="296"/>
      <c r="EL122" s="296"/>
      <c r="EM122" s="296"/>
      <c r="EN122" s="296"/>
      <c r="EO122" s="296"/>
      <c r="EP122" s="296"/>
      <c r="EQ122" s="296"/>
      <c r="ER122" s="296"/>
      <c r="ES122" s="296"/>
      <c r="ET122" s="296"/>
      <c r="EU122" s="296"/>
      <c r="EV122" s="296"/>
      <c r="EW122" s="296"/>
      <c r="EX122" s="296"/>
      <c r="EY122" s="296"/>
      <c r="EZ122" s="296"/>
      <c r="FA122" s="296"/>
      <c r="FB122" s="296"/>
      <c r="FC122" s="296"/>
      <c r="FD122" s="296"/>
      <c r="FE122" s="297"/>
      <c r="FF122" s="296"/>
      <c r="FG122" s="296"/>
      <c r="FH122" s="296"/>
      <c r="FI122" s="296"/>
      <c r="FJ122" s="296"/>
      <c r="FK122" s="296"/>
      <c r="FL122" s="296"/>
      <c r="FM122" s="296"/>
      <c r="FN122" s="296"/>
      <c r="FO122" s="296"/>
      <c r="FP122" s="296"/>
      <c r="FQ122" s="296"/>
      <c r="FR122" s="296"/>
      <c r="FS122" s="296"/>
      <c r="FT122" s="296"/>
      <c r="FU122" s="296"/>
      <c r="FV122" s="296"/>
      <c r="FW122" s="296"/>
      <c r="FX122" s="296"/>
      <c r="FY122" s="296"/>
      <c r="FZ122" s="296"/>
      <c r="GA122" s="296"/>
      <c r="GB122" s="296"/>
      <c r="GC122" s="296"/>
      <c r="GD122" s="296"/>
      <c r="GE122" s="296"/>
      <c r="GF122" s="296"/>
      <c r="GG122" s="296"/>
      <c r="GH122" s="296"/>
      <c r="GI122" s="296"/>
      <c r="GJ122" s="296"/>
      <c r="GK122" s="296"/>
      <c r="GL122" s="296"/>
      <c r="GM122" s="296"/>
      <c r="GN122" s="296"/>
      <c r="GO122" s="296"/>
      <c r="GP122" s="296"/>
      <c r="GQ122" s="296"/>
      <c r="GR122" s="296"/>
      <c r="GS122" s="296"/>
      <c r="GT122" s="296"/>
      <c r="GU122" s="296"/>
      <c r="GV122" s="296"/>
      <c r="GW122" s="296"/>
      <c r="GX122" s="296"/>
      <c r="GY122" s="296"/>
      <c r="GZ122" s="296"/>
      <c r="HA122" s="296"/>
      <c r="HB122" s="296"/>
      <c r="HC122" s="296"/>
      <c r="HD122" s="296"/>
      <c r="HE122" s="296"/>
      <c r="HF122" s="296"/>
      <c r="HG122" s="296"/>
      <c r="HH122" s="296"/>
      <c r="HI122" s="296"/>
    </row>
    <row r="123" spans="1:217" ht="15" customHeight="1">
      <c r="A123" s="150"/>
      <c r="B123" s="150"/>
      <c r="C123" s="405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AB123" s="511"/>
      <c r="AC123" s="511"/>
      <c r="AD123" s="511"/>
      <c r="AE123" s="511"/>
      <c r="AF123" s="511"/>
      <c r="AG123" s="511"/>
      <c r="AH123" s="511"/>
      <c r="AI123" s="511"/>
      <c r="AJ123" s="511"/>
      <c r="AK123" s="511"/>
      <c r="AL123" s="511"/>
      <c r="AM123" s="511"/>
      <c r="AN123" s="511"/>
      <c r="AO123" s="511"/>
      <c r="AP123" s="296"/>
      <c r="AQ123" s="296"/>
      <c r="AR123" s="296"/>
      <c r="AS123" s="296"/>
      <c r="AT123" s="296"/>
      <c r="AU123" s="296"/>
      <c r="AV123" s="296"/>
      <c r="AW123" s="296"/>
      <c r="AX123" s="296"/>
      <c r="AY123" s="296"/>
      <c r="AZ123" s="296"/>
      <c r="BA123" s="296"/>
      <c r="BB123" s="296"/>
      <c r="BC123" s="296"/>
      <c r="BD123" s="296"/>
      <c r="BE123" s="296"/>
      <c r="BF123" s="296"/>
      <c r="BG123" s="296"/>
      <c r="BH123" s="296"/>
      <c r="BI123" s="296"/>
      <c r="BJ123" s="296"/>
      <c r="BK123" s="296"/>
      <c r="BL123" s="296"/>
      <c r="BM123" s="296"/>
      <c r="BN123" s="296"/>
      <c r="BO123" s="296"/>
      <c r="BP123" s="296"/>
      <c r="BQ123" s="296"/>
      <c r="BR123" s="296"/>
      <c r="BS123" s="296"/>
      <c r="BT123" s="296"/>
      <c r="BU123" s="296"/>
      <c r="BV123" s="296"/>
      <c r="BW123" s="296"/>
      <c r="BX123" s="296"/>
      <c r="BY123" s="296"/>
      <c r="BZ123" s="296"/>
      <c r="CA123" s="296"/>
      <c r="CB123" s="296"/>
      <c r="CC123" s="296"/>
      <c r="CD123" s="296"/>
      <c r="CE123" s="296"/>
      <c r="CF123" s="296"/>
      <c r="CG123" s="296"/>
      <c r="CH123" s="296"/>
      <c r="CI123" s="296"/>
      <c r="CJ123" s="296"/>
      <c r="CK123" s="296"/>
      <c r="CL123" s="296"/>
      <c r="CM123" s="296"/>
      <c r="CN123" s="296"/>
      <c r="CO123" s="296"/>
      <c r="CP123" s="296"/>
      <c r="CQ123" s="296"/>
      <c r="CR123" s="296"/>
      <c r="CS123" s="296"/>
      <c r="CT123" s="296"/>
      <c r="CU123" s="296"/>
      <c r="CV123" s="296"/>
      <c r="CW123" s="296"/>
      <c r="CX123" s="296"/>
      <c r="CY123" s="296"/>
      <c r="CZ123" s="296"/>
      <c r="DA123" s="296"/>
      <c r="DB123" s="296"/>
      <c r="DC123" s="296"/>
      <c r="DD123" s="296"/>
      <c r="DE123" s="296"/>
      <c r="DF123" s="296"/>
      <c r="DG123" s="296"/>
      <c r="DH123" s="296"/>
      <c r="DI123" s="296"/>
      <c r="DJ123" s="296"/>
      <c r="DK123" s="296"/>
      <c r="DL123" s="296"/>
      <c r="DM123" s="296"/>
      <c r="DN123" s="296"/>
      <c r="DO123" s="296"/>
      <c r="DP123" s="296"/>
      <c r="DQ123" s="296"/>
      <c r="DR123" s="296"/>
      <c r="DS123" s="296"/>
      <c r="DT123" s="296"/>
      <c r="DU123" s="296"/>
      <c r="DV123" s="296"/>
      <c r="DW123" s="296"/>
      <c r="DX123" s="296"/>
      <c r="DY123" s="296"/>
      <c r="DZ123" s="296"/>
      <c r="EA123" s="296"/>
      <c r="EB123" s="296"/>
      <c r="EC123" s="296"/>
      <c r="ED123" s="296"/>
      <c r="EE123" s="296"/>
      <c r="EF123" s="296"/>
      <c r="EG123" s="296"/>
      <c r="EH123" s="296"/>
      <c r="EI123" s="296"/>
      <c r="EJ123" s="296"/>
      <c r="EK123" s="296"/>
      <c r="EL123" s="296"/>
      <c r="EM123" s="296"/>
      <c r="EN123" s="296"/>
      <c r="EO123" s="296"/>
      <c r="EP123" s="296"/>
      <c r="EQ123" s="296"/>
      <c r="ER123" s="296"/>
      <c r="ES123" s="296"/>
      <c r="ET123" s="296"/>
      <c r="EU123" s="296"/>
      <c r="EV123" s="296"/>
      <c r="EW123" s="296"/>
      <c r="EX123" s="296"/>
      <c r="EY123" s="296"/>
      <c r="EZ123" s="296"/>
      <c r="FA123" s="296"/>
      <c r="FB123" s="296"/>
      <c r="FC123" s="296"/>
      <c r="FD123" s="296"/>
      <c r="FE123" s="297"/>
      <c r="FF123" s="296"/>
      <c r="FG123" s="296"/>
      <c r="FH123" s="296"/>
      <c r="FI123" s="296"/>
      <c r="FJ123" s="296"/>
      <c r="FK123" s="296"/>
      <c r="FL123" s="296"/>
      <c r="FM123" s="296"/>
      <c r="FN123" s="296"/>
      <c r="FO123" s="296"/>
      <c r="FP123" s="296"/>
      <c r="FQ123" s="296"/>
      <c r="FR123" s="296"/>
      <c r="FS123" s="296"/>
      <c r="FT123" s="296"/>
      <c r="FU123" s="296"/>
      <c r="FV123" s="296"/>
      <c r="FW123" s="296"/>
      <c r="FX123" s="296"/>
      <c r="FY123" s="296"/>
      <c r="FZ123" s="296"/>
      <c r="GA123" s="296"/>
      <c r="GB123" s="296"/>
      <c r="GC123" s="296"/>
      <c r="GD123" s="296"/>
      <c r="GE123" s="296"/>
      <c r="GF123" s="296"/>
      <c r="GG123" s="296"/>
      <c r="GH123" s="296"/>
      <c r="GI123" s="296"/>
      <c r="GJ123" s="296"/>
      <c r="GK123" s="296"/>
      <c r="GL123" s="296"/>
      <c r="GM123" s="296"/>
      <c r="GN123" s="296"/>
      <c r="GO123" s="296"/>
      <c r="GP123" s="296"/>
      <c r="GQ123" s="296"/>
      <c r="GR123" s="296"/>
      <c r="GS123" s="296"/>
      <c r="GT123" s="296"/>
      <c r="GU123" s="296"/>
      <c r="GV123" s="296"/>
      <c r="GW123" s="296"/>
      <c r="GX123" s="296"/>
      <c r="GY123" s="296"/>
      <c r="GZ123" s="296"/>
      <c r="HA123" s="296"/>
      <c r="HB123" s="296"/>
      <c r="HC123" s="296"/>
      <c r="HD123" s="296"/>
      <c r="HE123" s="296"/>
      <c r="HF123" s="296"/>
      <c r="HG123" s="296"/>
      <c r="HH123" s="296"/>
      <c r="HI123" s="296"/>
    </row>
    <row r="124" spans="1:217" ht="15" customHeight="1">
      <c r="A124" s="150"/>
      <c r="B124" s="150"/>
      <c r="C124" s="405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296"/>
      <c r="AQ124" s="296"/>
      <c r="AR124" s="296"/>
      <c r="AS124" s="296"/>
      <c r="AT124" s="296"/>
      <c r="AU124" s="296"/>
      <c r="AV124" s="296"/>
      <c r="AW124" s="296"/>
      <c r="AX124" s="296"/>
      <c r="AY124" s="296"/>
      <c r="AZ124" s="296"/>
      <c r="BA124" s="296"/>
      <c r="BB124" s="296"/>
      <c r="BC124" s="296"/>
      <c r="BD124" s="296"/>
      <c r="BE124" s="296"/>
      <c r="BF124" s="296"/>
      <c r="BG124" s="296"/>
      <c r="BH124" s="296"/>
      <c r="BI124" s="296"/>
      <c r="BJ124" s="296"/>
      <c r="BK124" s="296"/>
      <c r="BL124" s="296"/>
      <c r="BM124" s="296"/>
      <c r="BN124" s="296"/>
      <c r="BO124" s="296"/>
      <c r="BP124" s="296"/>
      <c r="BQ124" s="296"/>
      <c r="BR124" s="296"/>
      <c r="BS124" s="296"/>
      <c r="BT124" s="296"/>
      <c r="BU124" s="296"/>
      <c r="BV124" s="296"/>
      <c r="BW124" s="296"/>
      <c r="BX124" s="296"/>
      <c r="BY124" s="296"/>
      <c r="BZ124" s="296"/>
      <c r="CA124" s="296"/>
      <c r="CB124" s="296"/>
      <c r="CC124" s="296"/>
      <c r="CD124" s="296"/>
      <c r="CE124" s="296"/>
      <c r="CF124" s="296"/>
      <c r="CG124" s="296"/>
      <c r="CH124" s="296"/>
      <c r="CI124" s="296"/>
      <c r="CJ124" s="296"/>
      <c r="CK124" s="296"/>
      <c r="CL124" s="296"/>
      <c r="CM124" s="296"/>
      <c r="CN124" s="296"/>
      <c r="CO124" s="296"/>
      <c r="CP124" s="296"/>
      <c r="CQ124" s="296"/>
      <c r="CR124" s="296"/>
      <c r="CS124" s="296"/>
      <c r="CT124" s="296"/>
      <c r="CU124" s="296"/>
      <c r="CV124" s="296"/>
      <c r="CW124" s="296"/>
      <c r="CX124" s="296"/>
      <c r="CY124" s="296"/>
      <c r="CZ124" s="296"/>
      <c r="DA124" s="296"/>
      <c r="DB124" s="296"/>
      <c r="DC124" s="296"/>
      <c r="DD124" s="296"/>
      <c r="DE124" s="296"/>
      <c r="DF124" s="296"/>
      <c r="DG124" s="296"/>
      <c r="DH124" s="296"/>
      <c r="DI124" s="296"/>
      <c r="DJ124" s="296"/>
      <c r="DK124" s="296"/>
      <c r="DL124" s="296"/>
      <c r="DM124" s="296"/>
      <c r="DN124" s="296"/>
      <c r="DO124" s="296"/>
      <c r="DP124" s="296"/>
      <c r="DQ124" s="296"/>
      <c r="DR124" s="296"/>
      <c r="DS124" s="296"/>
      <c r="DT124" s="296"/>
      <c r="DU124" s="296"/>
      <c r="DV124" s="296"/>
      <c r="DW124" s="296"/>
      <c r="DX124" s="296"/>
      <c r="DY124" s="296"/>
      <c r="DZ124" s="296"/>
      <c r="EA124" s="296"/>
      <c r="EB124" s="296"/>
      <c r="EC124" s="296"/>
      <c r="ED124" s="296"/>
      <c r="EE124" s="296"/>
      <c r="EF124" s="296"/>
      <c r="EG124" s="296"/>
      <c r="EH124" s="296"/>
      <c r="EI124" s="296"/>
      <c r="EJ124" s="296"/>
      <c r="EK124" s="296"/>
      <c r="EL124" s="296"/>
      <c r="EM124" s="296"/>
      <c r="EN124" s="296"/>
      <c r="EO124" s="296"/>
      <c r="EP124" s="296"/>
      <c r="EQ124" s="296"/>
      <c r="ER124" s="296"/>
      <c r="ES124" s="296"/>
      <c r="ET124" s="296"/>
      <c r="EU124" s="296"/>
      <c r="EV124" s="296"/>
      <c r="EW124" s="296"/>
      <c r="EX124" s="296"/>
      <c r="EY124" s="296"/>
      <c r="EZ124" s="296"/>
      <c r="FA124" s="296"/>
      <c r="FB124" s="296"/>
      <c r="FC124" s="296"/>
      <c r="FD124" s="296"/>
      <c r="FE124" s="297"/>
      <c r="FF124" s="296"/>
      <c r="FG124" s="296"/>
      <c r="FH124" s="296"/>
      <c r="FI124" s="296"/>
      <c r="FJ124" s="296"/>
      <c r="FK124" s="296"/>
      <c r="FL124" s="296"/>
      <c r="FM124" s="296"/>
      <c r="FN124" s="296"/>
      <c r="FO124" s="296"/>
      <c r="FP124" s="296"/>
      <c r="FQ124" s="296"/>
      <c r="FR124" s="296"/>
      <c r="FS124" s="296"/>
      <c r="FT124" s="296"/>
      <c r="FU124" s="296"/>
      <c r="FV124" s="296"/>
      <c r="FW124" s="296"/>
      <c r="FX124" s="296"/>
      <c r="FY124" s="296"/>
      <c r="FZ124" s="296"/>
      <c r="GA124" s="296"/>
      <c r="GB124" s="296"/>
      <c r="GC124" s="296"/>
      <c r="GD124" s="296"/>
      <c r="GE124" s="296"/>
      <c r="GF124" s="296"/>
      <c r="GG124" s="296"/>
      <c r="GH124" s="296"/>
      <c r="GI124" s="296"/>
      <c r="GJ124" s="296"/>
      <c r="GK124" s="296"/>
      <c r="GL124" s="296"/>
      <c r="GM124" s="296"/>
      <c r="GN124" s="296"/>
      <c r="GO124" s="296"/>
      <c r="GP124" s="296"/>
      <c r="GQ124" s="296"/>
      <c r="GR124" s="296"/>
      <c r="GS124" s="296"/>
      <c r="GT124" s="296"/>
      <c r="GU124" s="296"/>
      <c r="GV124" s="296"/>
      <c r="GW124" s="296"/>
      <c r="GX124" s="296"/>
      <c r="GY124" s="296"/>
      <c r="GZ124" s="296"/>
      <c r="HA124" s="296"/>
      <c r="HB124" s="296"/>
      <c r="HC124" s="296"/>
      <c r="HD124" s="296"/>
      <c r="HE124" s="296"/>
      <c r="HF124" s="296"/>
      <c r="HG124" s="296"/>
      <c r="HH124" s="296"/>
      <c r="HI124" s="296"/>
    </row>
    <row r="125" spans="1:217" ht="15" customHeight="1">
      <c r="A125" s="150"/>
      <c r="B125" s="150"/>
      <c r="C125" s="405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296"/>
      <c r="AQ125" s="296"/>
      <c r="AR125" s="296"/>
      <c r="AS125" s="296"/>
      <c r="AT125" s="296"/>
      <c r="AU125" s="296"/>
      <c r="AV125" s="296"/>
      <c r="AW125" s="296"/>
      <c r="AX125" s="296"/>
      <c r="AY125" s="296"/>
      <c r="AZ125" s="296"/>
      <c r="BA125" s="296"/>
      <c r="BB125" s="296"/>
      <c r="BC125" s="296"/>
      <c r="BD125" s="296"/>
      <c r="BE125" s="296"/>
      <c r="BF125" s="296"/>
      <c r="BG125" s="296"/>
      <c r="BH125" s="296"/>
      <c r="BI125" s="296"/>
      <c r="BJ125" s="296"/>
      <c r="BK125" s="296"/>
      <c r="BL125" s="296"/>
      <c r="BM125" s="296"/>
      <c r="BN125" s="296"/>
      <c r="BO125" s="296"/>
      <c r="BP125" s="296"/>
      <c r="BQ125" s="296"/>
      <c r="BR125" s="296"/>
      <c r="BS125" s="296"/>
      <c r="BT125" s="296"/>
      <c r="BU125" s="296"/>
      <c r="BV125" s="296"/>
      <c r="BW125" s="296"/>
      <c r="BX125" s="296"/>
      <c r="BY125" s="296"/>
      <c r="BZ125" s="296"/>
      <c r="CA125" s="296"/>
      <c r="CB125" s="296"/>
      <c r="CC125" s="296"/>
      <c r="CD125" s="296"/>
      <c r="CE125" s="296"/>
      <c r="CF125" s="296"/>
      <c r="CG125" s="296"/>
      <c r="CH125" s="296"/>
      <c r="CI125" s="296"/>
      <c r="CJ125" s="296"/>
      <c r="CK125" s="296"/>
      <c r="CL125" s="296"/>
      <c r="CM125" s="296"/>
      <c r="CN125" s="296"/>
      <c r="CO125" s="296"/>
      <c r="CP125" s="296"/>
      <c r="CQ125" s="296"/>
      <c r="CR125" s="296"/>
      <c r="CS125" s="296"/>
      <c r="CT125" s="296"/>
      <c r="CU125" s="296"/>
      <c r="CV125" s="296"/>
      <c r="CW125" s="296"/>
      <c r="CX125" s="296"/>
      <c r="CY125" s="296"/>
      <c r="CZ125" s="296"/>
      <c r="DA125" s="296"/>
      <c r="DB125" s="296"/>
      <c r="DC125" s="296"/>
      <c r="DD125" s="296"/>
      <c r="DE125" s="296"/>
      <c r="DF125" s="296"/>
      <c r="DG125" s="296"/>
      <c r="DH125" s="296"/>
      <c r="DI125" s="296"/>
      <c r="DJ125" s="296"/>
      <c r="DK125" s="296"/>
      <c r="DL125" s="296"/>
      <c r="DM125" s="296"/>
      <c r="DN125" s="296"/>
      <c r="DO125" s="296"/>
      <c r="DP125" s="296"/>
      <c r="DQ125" s="296"/>
      <c r="DR125" s="296"/>
      <c r="DS125" s="296"/>
      <c r="DT125" s="296"/>
      <c r="DU125" s="296"/>
      <c r="DV125" s="296"/>
      <c r="DW125" s="296"/>
      <c r="DX125" s="296"/>
      <c r="DY125" s="296"/>
      <c r="DZ125" s="296"/>
      <c r="EA125" s="296"/>
      <c r="EB125" s="296"/>
      <c r="EC125" s="296"/>
      <c r="ED125" s="296"/>
      <c r="EE125" s="296"/>
      <c r="EF125" s="296"/>
      <c r="EG125" s="296"/>
      <c r="EH125" s="296"/>
      <c r="EI125" s="296"/>
      <c r="EJ125" s="296"/>
      <c r="EK125" s="296"/>
      <c r="EL125" s="296"/>
      <c r="EM125" s="296"/>
      <c r="EN125" s="296"/>
      <c r="EO125" s="296"/>
      <c r="EP125" s="296"/>
      <c r="EQ125" s="296"/>
      <c r="ER125" s="296"/>
      <c r="ES125" s="296"/>
      <c r="ET125" s="296"/>
      <c r="EU125" s="296"/>
      <c r="EV125" s="296"/>
      <c r="EW125" s="296"/>
      <c r="EX125" s="296"/>
      <c r="EY125" s="296"/>
      <c r="EZ125" s="296"/>
      <c r="FA125" s="296"/>
      <c r="FB125" s="296"/>
      <c r="FC125" s="296"/>
      <c r="FD125" s="296"/>
      <c r="FE125" s="297"/>
      <c r="FF125" s="296"/>
      <c r="FG125" s="296"/>
      <c r="FH125" s="296"/>
      <c r="FI125" s="296"/>
      <c r="FJ125" s="296"/>
      <c r="FK125" s="296"/>
      <c r="FL125" s="296"/>
      <c r="FM125" s="296"/>
      <c r="FN125" s="296"/>
      <c r="FO125" s="296"/>
      <c r="FP125" s="296"/>
      <c r="FQ125" s="296"/>
      <c r="FR125" s="296"/>
      <c r="FS125" s="296"/>
      <c r="FT125" s="296"/>
      <c r="FU125" s="296"/>
      <c r="FV125" s="296"/>
      <c r="FW125" s="296"/>
      <c r="FX125" s="296"/>
      <c r="FY125" s="296"/>
      <c r="FZ125" s="296"/>
      <c r="GA125" s="296"/>
      <c r="GB125" s="296"/>
      <c r="GC125" s="296"/>
      <c r="GD125" s="296"/>
      <c r="GE125" s="296"/>
      <c r="GF125" s="296"/>
      <c r="GG125" s="296"/>
      <c r="GH125" s="296"/>
      <c r="GI125" s="296"/>
      <c r="GJ125" s="296"/>
      <c r="GK125" s="296"/>
      <c r="GL125" s="296"/>
      <c r="GM125" s="296"/>
      <c r="GN125" s="296"/>
      <c r="GO125" s="296"/>
      <c r="GP125" s="296"/>
      <c r="GQ125" s="296"/>
      <c r="GR125" s="296"/>
      <c r="GS125" s="296"/>
      <c r="GT125" s="296"/>
      <c r="GU125" s="296"/>
      <c r="GV125" s="296"/>
      <c r="GW125" s="296"/>
      <c r="GX125" s="296"/>
      <c r="GY125" s="296"/>
      <c r="GZ125" s="296"/>
      <c r="HA125" s="296"/>
      <c r="HB125" s="296"/>
      <c r="HC125" s="296"/>
      <c r="HD125" s="296"/>
      <c r="HE125" s="296"/>
      <c r="HF125" s="296"/>
      <c r="HG125" s="296"/>
      <c r="HH125" s="296"/>
      <c r="HI125" s="296"/>
    </row>
    <row r="126" spans="1:217" ht="15" customHeight="1">
      <c r="A126" s="150"/>
      <c r="B126" s="150"/>
      <c r="C126" s="405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296"/>
      <c r="AQ126" s="296"/>
      <c r="AR126" s="296"/>
      <c r="AS126" s="296"/>
      <c r="AT126" s="296"/>
      <c r="AU126" s="296"/>
      <c r="AV126" s="296"/>
      <c r="AW126" s="296"/>
      <c r="AX126" s="296"/>
      <c r="AY126" s="296"/>
      <c r="AZ126" s="296"/>
      <c r="BA126" s="296"/>
      <c r="BB126" s="296"/>
      <c r="BC126" s="296"/>
      <c r="BD126" s="296"/>
      <c r="BE126" s="296"/>
      <c r="BF126" s="296"/>
      <c r="BG126" s="296"/>
      <c r="BH126" s="296"/>
      <c r="BI126" s="296"/>
      <c r="BJ126" s="296"/>
      <c r="BK126" s="296"/>
      <c r="BL126" s="296"/>
      <c r="BM126" s="296"/>
      <c r="BN126" s="296"/>
      <c r="BO126" s="296"/>
      <c r="BP126" s="296"/>
      <c r="BQ126" s="296"/>
      <c r="BR126" s="296"/>
      <c r="BS126" s="296"/>
      <c r="BT126" s="296"/>
      <c r="BU126" s="296"/>
      <c r="BV126" s="296"/>
      <c r="BW126" s="296"/>
      <c r="BX126" s="296"/>
      <c r="BY126" s="296"/>
      <c r="BZ126" s="296"/>
      <c r="CA126" s="296"/>
      <c r="CB126" s="296"/>
      <c r="CC126" s="296"/>
      <c r="CD126" s="296"/>
      <c r="CE126" s="296"/>
      <c r="CF126" s="296"/>
      <c r="CG126" s="296"/>
      <c r="CH126" s="296"/>
      <c r="CI126" s="296"/>
      <c r="CJ126" s="296"/>
      <c r="CK126" s="296"/>
      <c r="CL126" s="296"/>
      <c r="CM126" s="296"/>
      <c r="CN126" s="296"/>
      <c r="CO126" s="296"/>
      <c r="CP126" s="296"/>
      <c r="CQ126" s="296"/>
      <c r="CR126" s="296"/>
      <c r="CS126" s="296"/>
      <c r="CT126" s="296"/>
      <c r="CU126" s="296"/>
      <c r="CV126" s="296"/>
      <c r="CW126" s="296"/>
      <c r="CX126" s="296"/>
      <c r="CY126" s="296"/>
      <c r="CZ126" s="296"/>
      <c r="DA126" s="296"/>
      <c r="DB126" s="296"/>
      <c r="DC126" s="296"/>
      <c r="DD126" s="296"/>
      <c r="DE126" s="296"/>
      <c r="DF126" s="296"/>
      <c r="DG126" s="296"/>
      <c r="DH126" s="296"/>
      <c r="DI126" s="296"/>
      <c r="DJ126" s="296"/>
      <c r="DK126" s="296"/>
      <c r="DL126" s="296"/>
      <c r="DM126" s="296"/>
      <c r="DN126" s="296"/>
      <c r="DO126" s="296"/>
      <c r="DP126" s="296"/>
      <c r="DQ126" s="296"/>
      <c r="DR126" s="296"/>
      <c r="DS126" s="296"/>
      <c r="DT126" s="296"/>
      <c r="DU126" s="296"/>
      <c r="DV126" s="296"/>
      <c r="DW126" s="296"/>
      <c r="DX126" s="296"/>
      <c r="DY126" s="296"/>
      <c r="DZ126" s="296"/>
      <c r="EA126" s="296"/>
      <c r="EB126" s="296"/>
      <c r="EC126" s="296"/>
      <c r="ED126" s="296"/>
      <c r="EE126" s="296"/>
      <c r="EF126" s="296"/>
      <c r="EG126" s="296"/>
      <c r="EH126" s="296"/>
      <c r="EI126" s="296"/>
      <c r="EJ126" s="296"/>
      <c r="EK126" s="296"/>
      <c r="EL126" s="296"/>
      <c r="EM126" s="296"/>
      <c r="EN126" s="296"/>
      <c r="EO126" s="296"/>
      <c r="EP126" s="296"/>
      <c r="EQ126" s="296"/>
      <c r="ER126" s="296"/>
      <c r="ES126" s="296"/>
      <c r="ET126" s="296"/>
      <c r="EU126" s="296"/>
      <c r="EV126" s="296"/>
      <c r="EW126" s="296"/>
      <c r="EX126" s="296"/>
      <c r="EY126" s="296"/>
      <c r="EZ126" s="296"/>
      <c r="FA126" s="296"/>
      <c r="FB126" s="296"/>
      <c r="FC126" s="296"/>
      <c r="FD126" s="296"/>
      <c r="FE126" s="297"/>
      <c r="FF126" s="296"/>
      <c r="FG126" s="296"/>
      <c r="FH126" s="296"/>
      <c r="FI126" s="296"/>
      <c r="FJ126" s="296"/>
      <c r="FK126" s="296"/>
      <c r="FL126" s="296"/>
      <c r="FM126" s="296"/>
      <c r="FN126" s="296"/>
      <c r="FO126" s="296"/>
      <c r="FP126" s="296"/>
      <c r="FQ126" s="296"/>
      <c r="FR126" s="296"/>
      <c r="FS126" s="296"/>
      <c r="FT126" s="296"/>
      <c r="FU126" s="296"/>
      <c r="FV126" s="296"/>
      <c r="FW126" s="296"/>
      <c r="FX126" s="296"/>
      <c r="FY126" s="296"/>
      <c r="FZ126" s="296"/>
      <c r="GA126" s="296"/>
      <c r="GB126" s="296"/>
      <c r="GC126" s="296"/>
      <c r="GD126" s="296"/>
      <c r="GE126" s="296"/>
      <c r="GF126" s="296"/>
      <c r="GG126" s="296"/>
      <c r="GH126" s="296"/>
      <c r="GI126" s="296"/>
      <c r="GJ126" s="296"/>
      <c r="GK126" s="296"/>
      <c r="GL126" s="296"/>
      <c r="GM126" s="296"/>
      <c r="GN126" s="296"/>
      <c r="GO126" s="296"/>
      <c r="GP126" s="296"/>
      <c r="GQ126" s="296"/>
      <c r="GR126" s="296"/>
      <c r="GS126" s="296"/>
      <c r="GT126" s="296"/>
      <c r="GU126" s="296"/>
      <c r="GV126" s="296"/>
      <c r="GW126" s="296"/>
      <c r="GX126" s="296"/>
      <c r="GY126" s="296"/>
      <c r="GZ126" s="296"/>
      <c r="HA126" s="296"/>
      <c r="HB126" s="296"/>
      <c r="HC126" s="296"/>
      <c r="HD126" s="296"/>
      <c r="HE126" s="296"/>
      <c r="HF126" s="296"/>
      <c r="HG126" s="296"/>
      <c r="HH126" s="296"/>
      <c r="HI126" s="296"/>
    </row>
    <row r="127" spans="1:217" ht="15" customHeight="1">
      <c r="A127" s="150"/>
      <c r="B127" s="150"/>
      <c r="C127" s="405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FE127" s="415"/>
    </row>
    <row r="128" spans="1:217" ht="15" customHeight="1">
      <c r="A128" s="150"/>
      <c r="B128" s="150"/>
      <c r="C128" s="405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</row>
    <row r="129" spans="1:41" ht="15" customHeight="1">
      <c r="A129" s="150"/>
      <c r="B129" s="150"/>
      <c r="C129" s="405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</row>
    <row r="130" spans="1:41" ht="15" customHeight="1">
      <c r="A130" s="150"/>
      <c r="B130" s="150"/>
      <c r="C130" s="405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</row>
    <row r="131" spans="1:41" ht="15" customHeight="1">
      <c r="A131" s="150"/>
      <c r="B131" s="150"/>
      <c r="C131" s="405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</row>
    <row r="132" spans="1:41" ht="15" customHeight="1">
      <c r="A132" s="150"/>
      <c r="B132" s="150"/>
      <c r="C132" s="405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</row>
    <row r="133" spans="1:41" ht="15" customHeight="1">
      <c r="A133" s="150"/>
      <c r="B133" s="150"/>
      <c r="C133" s="405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</row>
    <row r="134" spans="1:41" ht="15" customHeight="1">
      <c r="A134" s="150"/>
      <c r="B134" s="150"/>
      <c r="C134" s="405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</row>
    <row r="135" spans="1:41" ht="15" customHeight="1">
      <c r="A135" s="150"/>
      <c r="B135" s="150"/>
      <c r="C135" s="405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</row>
    <row r="136" spans="1:41" ht="15" customHeight="1">
      <c r="A136" s="150"/>
      <c r="B136" s="150"/>
      <c r="C136" s="405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</row>
    <row r="137" spans="1:41" ht="15" customHeight="1">
      <c r="A137" s="150"/>
      <c r="B137" s="150"/>
      <c r="C137" s="405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</row>
    <row r="138" spans="1:41" ht="15" customHeight="1">
      <c r="C138" s="416"/>
    </row>
    <row r="139" spans="1:41" ht="15" customHeight="1">
      <c r="C139" s="416"/>
    </row>
    <row r="140" spans="1:41" ht="15" customHeight="1">
      <c r="C140" s="416"/>
    </row>
    <row r="141" spans="1:41" ht="15" customHeight="1">
      <c r="C141" s="416"/>
    </row>
    <row r="142" spans="1:41" ht="15" customHeight="1">
      <c r="C142" s="416"/>
    </row>
    <row r="143" spans="1:41" ht="15" customHeight="1">
      <c r="C143" s="416"/>
    </row>
    <row r="144" spans="1:41" ht="15" customHeight="1">
      <c r="C144" s="416"/>
    </row>
    <row r="145" spans="3:3" ht="15" customHeight="1">
      <c r="C145" s="416"/>
    </row>
    <row r="146" spans="3:3" ht="15" customHeight="1">
      <c r="C146" s="416"/>
    </row>
    <row r="147" spans="3:3" ht="15" customHeight="1">
      <c r="C147" s="416"/>
    </row>
    <row r="148" spans="3:3" ht="15" customHeight="1">
      <c r="C148" s="416"/>
    </row>
    <row r="149" spans="3:3" ht="15" customHeight="1">
      <c r="C149" s="416"/>
    </row>
    <row r="150" spans="3:3" ht="15" customHeight="1">
      <c r="C150" s="416"/>
    </row>
    <row r="151" spans="3:3" ht="15" customHeight="1">
      <c r="C151" s="416"/>
    </row>
    <row r="152" spans="3:3" ht="15" customHeight="1">
      <c r="C152" s="416"/>
    </row>
    <row r="153" spans="3:3" ht="15" customHeight="1">
      <c r="C153" s="416"/>
    </row>
    <row r="154" spans="3:3" ht="15" customHeight="1">
      <c r="C154" s="416"/>
    </row>
    <row r="155" spans="3:3" ht="15" customHeight="1">
      <c r="C155" s="416"/>
    </row>
    <row r="156" spans="3:3" ht="15" customHeight="1">
      <c r="C156" s="416"/>
    </row>
    <row r="157" spans="3:3" ht="15" customHeight="1">
      <c r="C157" s="416"/>
    </row>
    <row r="158" spans="3:3" ht="15" customHeight="1">
      <c r="C158" s="416"/>
    </row>
    <row r="159" spans="3:3" ht="15" customHeight="1">
      <c r="C159" s="416"/>
    </row>
    <row r="160" spans="3:3" ht="15" customHeight="1">
      <c r="C160" s="416"/>
    </row>
    <row r="161" spans="3:3" ht="15" customHeight="1">
      <c r="C161" s="416"/>
    </row>
    <row r="162" spans="3:3" ht="15" customHeight="1">
      <c r="C162" s="416"/>
    </row>
    <row r="163" spans="3:3" ht="15" customHeight="1">
      <c r="C163" s="416"/>
    </row>
    <row r="164" spans="3:3" ht="15" customHeight="1">
      <c r="C164" s="416"/>
    </row>
    <row r="165" spans="3:3" ht="15" customHeight="1">
      <c r="C165" s="416"/>
    </row>
    <row r="166" spans="3:3" ht="15" customHeight="1">
      <c r="C166" s="416"/>
    </row>
    <row r="167" spans="3:3" ht="15" customHeight="1">
      <c r="C167" s="416"/>
    </row>
    <row r="168" spans="3:3" ht="15" customHeight="1">
      <c r="C168" s="416"/>
    </row>
    <row r="169" spans="3:3" ht="15" customHeight="1">
      <c r="C169" s="416"/>
    </row>
    <row r="170" spans="3:3" ht="15" customHeight="1">
      <c r="C170" s="416"/>
    </row>
    <row r="171" spans="3:3" ht="15" customHeight="1">
      <c r="C171" s="416"/>
    </row>
    <row r="172" spans="3:3" ht="15" customHeight="1">
      <c r="C172" s="416"/>
    </row>
    <row r="173" spans="3:3" ht="15" customHeight="1">
      <c r="C173" s="416"/>
    </row>
    <row r="174" spans="3:3" ht="15" customHeight="1">
      <c r="C174" s="416"/>
    </row>
    <row r="175" spans="3:3" ht="15" customHeight="1">
      <c r="C175" s="416"/>
    </row>
    <row r="176" spans="3:3" ht="15" customHeight="1">
      <c r="C176" s="416"/>
    </row>
    <row r="177" spans="3:3" ht="15" customHeight="1">
      <c r="C177" s="416"/>
    </row>
    <row r="178" spans="3:3" ht="15" customHeight="1">
      <c r="C178" s="416"/>
    </row>
    <row r="179" spans="3:3" ht="15" customHeight="1">
      <c r="C179" s="416"/>
    </row>
    <row r="180" spans="3:3" ht="15" customHeight="1">
      <c r="C180" s="416"/>
    </row>
    <row r="181" spans="3:3" ht="15" customHeight="1">
      <c r="C181" s="416"/>
    </row>
    <row r="182" spans="3:3" ht="15" customHeight="1">
      <c r="C182" s="416"/>
    </row>
    <row r="183" spans="3:3" ht="15" customHeight="1">
      <c r="C183" s="416"/>
    </row>
    <row r="184" spans="3:3" ht="15" customHeight="1">
      <c r="C184" s="416"/>
    </row>
    <row r="185" spans="3:3" ht="15" customHeight="1">
      <c r="C185" s="416"/>
    </row>
    <row r="186" spans="3:3" ht="15" customHeight="1">
      <c r="C186" s="416"/>
    </row>
    <row r="187" spans="3:3" ht="15" customHeight="1">
      <c r="C187" s="416"/>
    </row>
    <row r="188" spans="3:3" ht="15" customHeight="1">
      <c r="C188" s="416"/>
    </row>
    <row r="189" spans="3:3" ht="15" customHeight="1">
      <c r="C189" s="416"/>
    </row>
    <row r="190" spans="3:3" ht="15" customHeight="1">
      <c r="C190" s="416"/>
    </row>
    <row r="191" spans="3:3" ht="15" customHeight="1">
      <c r="C191" s="416"/>
    </row>
    <row r="192" spans="3:3" ht="15" customHeight="1">
      <c r="C192" s="416"/>
    </row>
    <row r="193" spans="3:3" ht="15" customHeight="1">
      <c r="C193" s="416"/>
    </row>
    <row r="194" spans="3:3" ht="15" customHeight="1">
      <c r="C194" s="416"/>
    </row>
    <row r="195" spans="3:3" ht="15" customHeight="1">
      <c r="C195" s="416"/>
    </row>
    <row r="196" spans="3:3" ht="15" customHeight="1">
      <c r="C196" s="416"/>
    </row>
    <row r="197" spans="3:3" ht="15" customHeight="1">
      <c r="C197" s="416"/>
    </row>
    <row r="198" spans="3:3" ht="15" customHeight="1">
      <c r="C198" s="416"/>
    </row>
    <row r="199" spans="3:3" ht="15" customHeight="1">
      <c r="C199" s="416"/>
    </row>
    <row r="200" spans="3:3" ht="15" customHeight="1">
      <c r="C200" s="416"/>
    </row>
    <row r="201" spans="3:3" ht="15" customHeight="1">
      <c r="C201" s="416"/>
    </row>
    <row r="202" spans="3:3" ht="15" customHeight="1">
      <c r="C202" s="416"/>
    </row>
    <row r="203" spans="3:3" ht="15" customHeight="1">
      <c r="C203" s="416"/>
    </row>
    <row r="204" spans="3:3" ht="15" customHeight="1">
      <c r="C204" s="416"/>
    </row>
    <row r="205" spans="3:3" ht="15" customHeight="1">
      <c r="C205" s="416"/>
    </row>
    <row r="206" spans="3:3" ht="15" customHeight="1"/>
    <row r="207" spans="3:3" ht="15" customHeight="1"/>
    <row r="208" spans="3:3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</sheetData>
  <sheetProtection formatCells="0" formatColumns="0" formatRows="0" sort="0" autoFilter="0" pivotTables="0"/>
  <mergeCells count="35">
    <mergeCell ref="AP19:BA19"/>
    <mergeCell ref="BC19:BN19"/>
    <mergeCell ref="BO19:BZ19"/>
    <mergeCell ref="CM19:CX19"/>
    <mergeCell ref="V11:W11"/>
    <mergeCell ref="AP18:BA18"/>
    <mergeCell ref="BC18:BN18"/>
    <mergeCell ref="BO18:BZ18"/>
    <mergeCell ref="X9:Y9"/>
    <mergeCell ref="Z9:AA9"/>
    <mergeCell ref="X11:Y11"/>
    <mergeCell ref="Z11:AA11"/>
    <mergeCell ref="L11:M11"/>
    <mergeCell ref="N11:O11"/>
    <mergeCell ref="P11:Q11"/>
    <mergeCell ref="R11:S11"/>
    <mergeCell ref="T11:U11"/>
    <mergeCell ref="N9:O9"/>
    <mergeCell ref="P9:Q9"/>
    <mergeCell ref="R9:S9"/>
    <mergeCell ref="T9:U9"/>
    <mergeCell ref="V9:W9"/>
    <mergeCell ref="C11:C12"/>
    <mergeCell ref="D11:E11"/>
    <mergeCell ref="F11:G11"/>
    <mergeCell ref="H11:I11"/>
    <mergeCell ref="J11:K11"/>
    <mergeCell ref="C5:D5"/>
    <mergeCell ref="I5:K5"/>
    <mergeCell ref="H6:L6"/>
    <mergeCell ref="D9:E9"/>
    <mergeCell ref="F9:G9"/>
    <mergeCell ref="H9:I9"/>
    <mergeCell ref="J9:K9"/>
    <mergeCell ref="L9:M9"/>
  </mergeCells>
  <printOptions horizontalCentered="1" verticalCentered="1"/>
  <pageMargins left="0" right="0" top="0" bottom="0" header="0" footer="0"/>
  <pageSetup paperSize="9" scale="10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A1:W445"/>
  <sheetViews>
    <sheetView topLeftCell="A133" workbookViewId="0">
      <selection activeCell="B141" sqref="B141"/>
    </sheetView>
  </sheetViews>
  <sheetFormatPr defaultColWidth="9.140625" defaultRowHeight="12.75"/>
  <cols>
    <col min="1" max="1" width="2" style="53" customWidth="1"/>
    <col min="2" max="2" width="62" style="53" customWidth="1"/>
    <col min="3" max="3" width="63.140625" style="53" customWidth="1"/>
    <col min="4" max="4" width="41.7109375" style="53" customWidth="1"/>
    <col min="5" max="5" width="20" style="53" customWidth="1"/>
    <col min="6" max="6" width="8.5703125" style="53" customWidth="1"/>
    <col min="7" max="7" width="5.42578125" style="53" customWidth="1"/>
    <col min="8" max="8" width="6.42578125" style="53" customWidth="1"/>
    <col min="9" max="9" width="8" style="53" customWidth="1"/>
    <col min="10" max="10" width="6.42578125" style="53" customWidth="1"/>
    <col min="11" max="11" width="9.28515625" style="53" customWidth="1"/>
    <col min="12" max="12" width="7.42578125" style="53" customWidth="1"/>
    <col min="13" max="13" width="17" style="53" customWidth="1"/>
    <col min="14" max="14" width="8.85546875" style="53" customWidth="1"/>
    <col min="15" max="15" width="83.140625" style="53" customWidth="1"/>
    <col min="16" max="16" width="6.42578125" style="53" customWidth="1"/>
    <col min="17" max="17" width="5.42578125" style="53" customWidth="1"/>
    <col min="18" max="18" width="6.42578125" style="53" customWidth="1"/>
    <col min="19" max="19" width="2.7109375" style="53" customWidth="1"/>
    <col min="20" max="20" width="6.5703125" style="53" customWidth="1"/>
    <col min="21" max="21" width="5.7109375" style="53" customWidth="1"/>
    <col min="22" max="22" width="11.7109375" style="35" customWidth="1"/>
    <col min="23" max="16384" width="9.140625" style="35"/>
  </cols>
  <sheetData>
    <row r="1" spans="1:3">
      <c r="A1" s="52">
        <v>2</v>
      </c>
      <c r="B1" s="53" t="s">
        <v>249</v>
      </c>
    </row>
    <row r="3" spans="1:3">
      <c r="B3" s="586" t="s">
        <v>193</v>
      </c>
      <c r="C3" s="586"/>
    </row>
    <row r="5" spans="1:3" ht="15" customHeight="1">
      <c r="B5" s="53" t="s">
        <v>196</v>
      </c>
      <c r="C5" s="53" t="s">
        <v>194</v>
      </c>
    </row>
    <row r="6" spans="1:3">
      <c r="B6" s="53" t="s">
        <v>197</v>
      </c>
      <c r="C6" s="53" t="s">
        <v>195</v>
      </c>
    </row>
    <row r="8" spans="1:3">
      <c r="B8" s="53" t="s">
        <v>205</v>
      </c>
      <c r="C8" s="53" t="s">
        <v>362</v>
      </c>
    </row>
    <row r="9" spans="1:3">
      <c r="B9" s="53" t="s">
        <v>203</v>
      </c>
      <c r="C9" s="53" t="s">
        <v>204</v>
      </c>
    </row>
    <row r="10" spans="1:3">
      <c r="B10" s="53" t="s">
        <v>210</v>
      </c>
      <c r="C10" s="53" t="s">
        <v>212</v>
      </c>
    </row>
    <row r="11" spans="1:3">
      <c r="B11" s="53" t="s">
        <v>211</v>
      </c>
      <c r="C11" s="53" t="s">
        <v>209</v>
      </c>
    </row>
    <row r="12" spans="1:3">
      <c r="B12" s="53" t="s">
        <v>213</v>
      </c>
      <c r="C12" s="53" t="s">
        <v>214</v>
      </c>
    </row>
    <row r="13" spans="1:3">
      <c r="B13" s="53" t="s">
        <v>208</v>
      </c>
      <c r="C13" s="53" t="s">
        <v>363</v>
      </c>
    </row>
    <row r="14" spans="1:3">
      <c r="B14" s="53" t="s">
        <v>364</v>
      </c>
      <c r="C14" s="53" t="s">
        <v>365</v>
      </c>
    </row>
    <row r="15" spans="1:3">
      <c r="B15" s="53" t="s">
        <v>206</v>
      </c>
      <c r="C15" s="53" t="s">
        <v>207</v>
      </c>
    </row>
    <row r="16" spans="1:3">
      <c r="B16" s="53" t="s">
        <v>198</v>
      </c>
      <c r="C16" s="53" t="s">
        <v>199</v>
      </c>
    </row>
    <row r="17" spans="2:3" ht="15" customHeight="1">
      <c r="B17" s="53" t="s">
        <v>200</v>
      </c>
      <c r="C17" s="53" t="s">
        <v>287</v>
      </c>
    </row>
    <row r="18" spans="2:3">
      <c r="B18" s="53" t="s">
        <v>366</v>
      </c>
      <c r="C18" s="53" t="s">
        <v>367</v>
      </c>
    </row>
    <row r="19" spans="2:3">
      <c r="B19" s="53" t="s">
        <v>288</v>
      </c>
      <c r="C19" s="53" t="s">
        <v>289</v>
      </c>
    </row>
    <row r="21" spans="2:3">
      <c r="B21" s="53" t="s">
        <v>219</v>
      </c>
      <c r="C21" s="53" t="s">
        <v>220</v>
      </c>
    </row>
    <row r="22" spans="2:3">
      <c r="B22" s="53" t="s">
        <v>201</v>
      </c>
      <c r="C22" s="53" t="s">
        <v>202</v>
      </c>
    </row>
    <row r="24" spans="2:3">
      <c r="B24" s="53" t="s">
        <v>328</v>
      </c>
    </row>
    <row r="25" spans="2:3">
      <c r="B25" s="53" t="s">
        <v>218</v>
      </c>
    </row>
    <row r="27" spans="2:3">
      <c r="B27" s="54" t="s">
        <v>169</v>
      </c>
    </row>
    <row r="28" spans="2:3">
      <c r="B28" s="54" t="s">
        <v>168</v>
      </c>
    </row>
    <row r="30" spans="2:3">
      <c r="B30" s="53" t="s">
        <v>215</v>
      </c>
    </row>
    <row r="31" spans="2:3">
      <c r="B31" s="53" t="s">
        <v>397</v>
      </c>
    </row>
    <row r="37" spans="2:20">
      <c r="B37" s="586" t="s">
        <v>242</v>
      </c>
      <c r="C37" s="586"/>
      <c r="D37" s="586"/>
      <c r="E37" s="586"/>
      <c r="F37" s="586"/>
      <c r="G37" s="586"/>
      <c r="H37" s="586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</row>
    <row r="40" spans="2:20" ht="12.75" customHeight="1">
      <c r="B40" s="591" t="s">
        <v>237</v>
      </c>
      <c r="C40" s="591"/>
      <c r="D40" s="587" t="s">
        <v>243</v>
      </c>
      <c r="E40" s="587"/>
      <c r="F40" s="591" t="s">
        <v>238</v>
      </c>
      <c r="G40" s="591"/>
      <c r="H40" s="591"/>
      <c r="I40" s="36" t="s">
        <v>239</v>
      </c>
      <c r="J40" s="591" t="s">
        <v>240</v>
      </c>
      <c r="K40" s="591"/>
      <c r="L40" s="591"/>
      <c r="M40" s="591" t="s">
        <v>241</v>
      </c>
      <c r="N40" s="591"/>
      <c r="O40" s="591"/>
      <c r="P40" s="591"/>
    </row>
    <row r="41" spans="2:20">
      <c r="B41" s="591"/>
      <c r="C41" s="591"/>
      <c r="D41" s="587"/>
      <c r="E41" s="587"/>
      <c r="F41" s="55">
        <v>2008</v>
      </c>
      <c r="G41" s="56">
        <v>2009</v>
      </c>
      <c r="H41" s="56">
        <v>2010</v>
      </c>
      <c r="I41" s="56">
        <v>2011</v>
      </c>
      <c r="J41" s="56">
        <v>2012</v>
      </c>
      <c r="K41" s="56">
        <v>2013</v>
      </c>
      <c r="L41" s="56">
        <v>2014</v>
      </c>
      <c r="M41" s="56">
        <v>2011</v>
      </c>
      <c r="N41" s="56">
        <v>2012</v>
      </c>
      <c r="O41" s="56">
        <v>2013</v>
      </c>
      <c r="P41" s="56">
        <v>2014</v>
      </c>
    </row>
    <row r="42" spans="2:20">
      <c r="B42" s="593" t="s">
        <v>221</v>
      </c>
      <c r="C42" s="57" t="s">
        <v>222</v>
      </c>
      <c r="D42" s="588" t="s">
        <v>178</v>
      </c>
      <c r="E42" s="58" t="s">
        <v>179</v>
      </c>
      <c r="F42" s="588" t="s">
        <v>245</v>
      </c>
      <c r="G42" s="588"/>
      <c r="H42" s="588"/>
      <c r="I42" s="59" t="s">
        <v>246</v>
      </c>
      <c r="J42" s="592" t="s">
        <v>247</v>
      </c>
      <c r="K42" s="592"/>
      <c r="L42" s="592"/>
      <c r="M42" s="588" t="s">
        <v>248</v>
      </c>
      <c r="N42" s="588"/>
      <c r="O42" s="588"/>
      <c r="P42" s="588"/>
    </row>
    <row r="43" spans="2:20">
      <c r="B43" s="593"/>
      <c r="C43" s="60" t="s">
        <v>223</v>
      </c>
      <c r="D43" s="588"/>
      <c r="E43" s="58" t="s">
        <v>180</v>
      </c>
      <c r="G43" s="58"/>
      <c r="H43" s="58"/>
      <c r="I43" s="59"/>
      <c r="J43" s="58"/>
      <c r="K43" s="59"/>
      <c r="L43" s="58"/>
      <c r="M43" s="59"/>
      <c r="N43" s="58"/>
    </row>
    <row r="44" spans="2:20">
      <c r="B44" s="593"/>
      <c r="C44" s="57" t="s">
        <v>224</v>
      </c>
      <c r="D44" s="588"/>
      <c r="E44" s="58" t="s">
        <v>181</v>
      </c>
      <c r="F44" s="58"/>
      <c r="G44" s="59"/>
      <c r="H44" s="58"/>
      <c r="I44" s="59"/>
      <c r="J44" s="59"/>
      <c r="K44" s="59"/>
      <c r="L44" s="58"/>
      <c r="M44" s="58"/>
      <c r="N44" s="58"/>
    </row>
    <row r="45" spans="2:20">
      <c r="B45" s="593"/>
      <c r="C45" s="57" t="s">
        <v>225</v>
      </c>
      <c r="D45" s="588"/>
      <c r="E45" s="59" t="s">
        <v>182</v>
      </c>
      <c r="F45" s="59"/>
      <c r="G45" s="59"/>
      <c r="H45" s="59"/>
      <c r="I45" s="59"/>
      <c r="J45" s="59"/>
      <c r="K45" s="59"/>
      <c r="L45" s="59"/>
      <c r="M45" s="59"/>
      <c r="N45" s="59"/>
    </row>
    <row r="46" spans="2:20">
      <c r="B46" s="593"/>
      <c r="C46" s="57" t="s">
        <v>226</v>
      </c>
      <c r="D46" s="588"/>
      <c r="E46" s="59" t="s">
        <v>183</v>
      </c>
      <c r="F46" s="59"/>
      <c r="G46" s="59"/>
      <c r="H46" s="59"/>
      <c r="I46" s="59"/>
      <c r="J46" s="59"/>
      <c r="K46" s="59"/>
      <c r="L46" s="59"/>
      <c r="M46" s="59"/>
      <c r="N46" s="59"/>
    </row>
    <row r="47" spans="2:20">
      <c r="B47" s="593"/>
      <c r="C47" s="57" t="s">
        <v>227</v>
      </c>
      <c r="D47" s="588"/>
      <c r="E47" s="58" t="s">
        <v>184</v>
      </c>
      <c r="F47" s="59"/>
      <c r="G47" s="59"/>
      <c r="H47" s="59"/>
      <c r="I47" s="58"/>
      <c r="J47" s="58"/>
      <c r="K47" s="58"/>
      <c r="L47" s="58"/>
      <c r="M47" s="58"/>
      <c r="N47" s="58"/>
    </row>
    <row r="48" spans="2:20">
      <c r="B48" s="593"/>
      <c r="C48" s="57" t="s">
        <v>228</v>
      </c>
      <c r="D48" s="588"/>
      <c r="E48" s="59" t="s">
        <v>185</v>
      </c>
      <c r="F48" s="59"/>
      <c r="G48" s="59"/>
      <c r="H48" s="59"/>
      <c r="I48" s="59"/>
      <c r="J48" s="59"/>
      <c r="K48" s="59"/>
      <c r="L48" s="59"/>
      <c r="M48" s="59"/>
      <c r="N48" s="59"/>
    </row>
    <row r="49" spans="2:20">
      <c r="B49" s="593"/>
      <c r="C49" s="61" t="s">
        <v>229</v>
      </c>
      <c r="D49" s="588"/>
      <c r="E49" s="58" t="s">
        <v>244</v>
      </c>
      <c r="F49" s="59"/>
      <c r="G49" s="58"/>
      <c r="H49" s="58"/>
      <c r="I49" s="58"/>
      <c r="J49" s="58"/>
      <c r="K49" s="58"/>
      <c r="L49" s="58"/>
      <c r="M49" s="58"/>
      <c r="N49" s="58"/>
    </row>
    <row r="50" spans="2:20">
      <c r="B50" s="593"/>
      <c r="C50" s="57" t="s">
        <v>230</v>
      </c>
      <c r="D50" s="588"/>
      <c r="E50" s="59" t="s">
        <v>186</v>
      </c>
      <c r="F50" s="59"/>
      <c r="G50" s="59"/>
      <c r="H50" s="59"/>
      <c r="I50" s="59"/>
      <c r="J50" s="59"/>
      <c r="K50" s="59"/>
      <c r="L50" s="59"/>
      <c r="M50" s="59"/>
      <c r="N50" s="59"/>
    </row>
    <row r="51" spans="2:20">
      <c r="B51" s="593"/>
      <c r="C51" s="57" t="s">
        <v>376</v>
      </c>
      <c r="D51" s="588"/>
      <c r="E51" s="59" t="s">
        <v>377</v>
      </c>
      <c r="F51" s="59"/>
      <c r="G51" s="59"/>
      <c r="H51" s="59"/>
      <c r="I51" s="59"/>
      <c r="J51" s="59"/>
      <c r="K51" s="59"/>
      <c r="L51" s="59"/>
      <c r="M51" s="59"/>
      <c r="N51" s="59"/>
    </row>
    <row r="52" spans="2:20">
      <c r="B52" s="590" t="s">
        <v>231</v>
      </c>
      <c r="C52" s="62" t="s">
        <v>232</v>
      </c>
      <c r="D52" s="588" t="s">
        <v>187</v>
      </c>
      <c r="E52" s="59" t="s">
        <v>188</v>
      </c>
      <c r="F52" s="59"/>
      <c r="G52" s="59"/>
      <c r="H52" s="59"/>
      <c r="I52" s="59"/>
      <c r="J52" s="59"/>
      <c r="K52" s="59"/>
      <c r="L52" s="59"/>
      <c r="M52" s="59"/>
      <c r="N52" s="59"/>
    </row>
    <row r="53" spans="2:20">
      <c r="B53" s="590"/>
      <c r="C53" s="62" t="s">
        <v>233</v>
      </c>
      <c r="D53" s="588"/>
      <c r="E53" s="59" t="s">
        <v>189</v>
      </c>
      <c r="F53" s="59"/>
      <c r="G53" s="59"/>
      <c r="H53" s="59"/>
      <c r="I53" s="59"/>
      <c r="J53" s="59"/>
      <c r="K53" s="59"/>
      <c r="L53" s="59"/>
      <c r="M53" s="59"/>
      <c r="N53" s="59"/>
    </row>
    <row r="54" spans="2:20">
      <c r="B54" s="590"/>
      <c r="C54" s="62" t="s">
        <v>234</v>
      </c>
      <c r="D54" s="588"/>
      <c r="E54" s="59" t="s">
        <v>371</v>
      </c>
      <c r="F54" s="59"/>
      <c r="G54" s="59"/>
      <c r="H54" s="59"/>
      <c r="I54" s="59"/>
      <c r="J54" s="59"/>
      <c r="K54" s="58"/>
      <c r="L54" s="59"/>
      <c r="M54" s="59"/>
      <c r="N54" s="59"/>
    </row>
    <row r="55" spans="2:20">
      <c r="B55" s="590"/>
      <c r="C55" s="62" t="s">
        <v>372</v>
      </c>
      <c r="D55" s="588"/>
      <c r="E55" s="62" t="s">
        <v>374</v>
      </c>
      <c r="F55" s="59"/>
      <c r="G55" s="59"/>
      <c r="H55" s="59"/>
      <c r="I55" s="59"/>
      <c r="J55" s="59"/>
      <c r="K55" s="58"/>
      <c r="L55" s="59"/>
      <c r="M55" s="59"/>
      <c r="N55" s="59"/>
    </row>
    <row r="56" spans="2:20">
      <c r="B56" s="590"/>
      <c r="C56" s="62" t="s">
        <v>79</v>
      </c>
      <c r="D56" s="588"/>
      <c r="E56" s="59" t="s">
        <v>190</v>
      </c>
      <c r="F56" s="59"/>
      <c r="G56" s="58"/>
      <c r="H56" s="63"/>
      <c r="I56" s="63"/>
      <c r="J56" s="63"/>
      <c r="K56" s="63"/>
      <c r="L56" s="63"/>
      <c r="M56" s="63"/>
      <c r="N56" s="58"/>
    </row>
    <row r="57" spans="2:20">
      <c r="B57" s="590"/>
      <c r="C57" s="62" t="s">
        <v>235</v>
      </c>
      <c r="D57" s="588"/>
      <c r="E57" s="59" t="s">
        <v>191</v>
      </c>
      <c r="F57" s="59"/>
      <c r="G57" s="59"/>
      <c r="H57" s="59"/>
      <c r="I57" s="59"/>
      <c r="J57" s="63"/>
      <c r="K57" s="58"/>
      <c r="L57" s="59"/>
      <c r="M57" s="59"/>
      <c r="N57" s="59"/>
    </row>
    <row r="58" spans="2:20">
      <c r="B58" s="590"/>
      <c r="C58" s="62" t="s">
        <v>373</v>
      </c>
      <c r="D58" s="588"/>
      <c r="E58" s="59" t="s">
        <v>375</v>
      </c>
      <c r="F58" s="59"/>
      <c r="G58" s="59"/>
      <c r="H58" s="59"/>
      <c r="I58" s="59"/>
      <c r="J58" s="63"/>
      <c r="K58" s="58"/>
      <c r="L58" s="59"/>
      <c r="M58" s="59"/>
      <c r="N58" s="59"/>
    </row>
    <row r="59" spans="2:20">
      <c r="B59" s="590"/>
      <c r="C59" s="62" t="s">
        <v>236</v>
      </c>
      <c r="D59" s="588"/>
      <c r="E59" s="59" t="s">
        <v>192</v>
      </c>
      <c r="F59" s="59"/>
      <c r="G59" s="59"/>
      <c r="H59" s="59"/>
      <c r="I59" s="59"/>
      <c r="J59" s="59"/>
      <c r="K59" s="59"/>
      <c r="L59" s="63"/>
      <c r="M59" s="59"/>
      <c r="N59" s="59"/>
    </row>
    <row r="60" spans="2:20">
      <c r="B60" s="53" t="s">
        <v>330</v>
      </c>
      <c r="D60" s="53" t="s">
        <v>329</v>
      </c>
    </row>
    <row r="62" spans="2:20">
      <c r="B62" s="586" t="s">
        <v>250</v>
      </c>
      <c r="C62" s="586"/>
      <c r="D62" s="586"/>
      <c r="E62" s="586"/>
      <c r="F62" s="586"/>
      <c r="G62" s="586"/>
      <c r="H62" s="586"/>
      <c r="I62" s="586"/>
      <c r="J62" s="586"/>
      <c r="K62" s="586"/>
      <c r="L62" s="586"/>
      <c r="M62" s="586"/>
      <c r="N62" s="586"/>
      <c r="O62" s="586"/>
      <c r="P62" s="586"/>
      <c r="Q62" s="586"/>
      <c r="R62" s="586"/>
      <c r="S62" s="586"/>
      <c r="T62" s="586"/>
    </row>
    <row r="66" spans="2:22">
      <c r="B66" s="53" t="s">
        <v>368</v>
      </c>
    </row>
    <row r="67" spans="2:22">
      <c r="B67" s="53" t="s">
        <v>369</v>
      </c>
      <c r="M67" s="53" t="s">
        <v>335</v>
      </c>
      <c r="O67" s="53" t="s">
        <v>378</v>
      </c>
    </row>
    <row r="68" spans="2:22">
      <c r="D68" s="64"/>
      <c r="E68" s="65"/>
      <c r="F68" s="64"/>
      <c r="G68" s="65"/>
      <c r="H68" s="64"/>
      <c r="I68" s="65"/>
      <c r="J68" s="64"/>
      <c r="K68" s="65"/>
      <c r="L68" s="64"/>
      <c r="M68" s="65" t="s">
        <v>334</v>
      </c>
      <c r="N68" s="64"/>
      <c r="O68" s="65" t="s">
        <v>379</v>
      </c>
      <c r="P68" s="64"/>
      <c r="Q68" s="65"/>
      <c r="R68" s="64"/>
      <c r="S68" s="65"/>
      <c r="T68" s="64"/>
    </row>
    <row r="69" spans="2:22">
      <c r="C69" s="46">
        <v>2006</v>
      </c>
      <c r="D69" s="46"/>
      <c r="E69" s="46">
        <v>2007</v>
      </c>
      <c r="F69" s="46"/>
      <c r="G69" s="46">
        <v>2008</v>
      </c>
      <c r="H69" s="46"/>
      <c r="I69" s="46">
        <v>2009</v>
      </c>
      <c r="J69" s="46"/>
      <c r="K69" s="46">
        <v>2010</v>
      </c>
      <c r="L69" s="46"/>
      <c r="M69" s="46">
        <v>2011</v>
      </c>
      <c r="N69" s="46"/>
      <c r="O69" s="46">
        <v>2012</v>
      </c>
      <c r="P69" s="46"/>
      <c r="Q69" s="46">
        <v>2013</v>
      </c>
      <c r="R69" s="46"/>
      <c r="S69" s="46">
        <v>2014</v>
      </c>
      <c r="T69" s="46"/>
      <c r="U69" s="53">
        <v>2015</v>
      </c>
    </row>
    <row r="70" spans="2:22">
      <c r="B70" s="47" t="s">
        <v>126</v>
      </c>
      <c r="C70" s="48" t="s">
        <v>261</v>
      </c>
      <c r="D70" s="48" t="s">
        <v>149</v>
      </c>
      <c r="E70" s="48" t="s">
        <v>261</v>
      </c>
      <c r="F70" s="48" t="s">
        <v>149</v>
      </c>
      <c r="G70" s="48" t="s">
        <v>261</v>
      </c>
      <c r="H70" s="48" t="s">
        <v>149</v>
      </c>
      <c r="I70" s="48" t="s">
        <v>261</v>
      </c>
      <c r="J70" s="48" t="s">
        <v>149</v>
      </c>
      <c r="K70" s="48" t="s">
        <v>261</v>
      </c>
      <c r="L70" s="48" t="s">
        <v>149</v>
      </c>
      <c r="M70" s="48" t="s">
        <v>261</v>
      </c>
      <c r="N70" s="48" t="s">
        <v>149</v>
      </c>
      <c r="O70" s="48" t="s">
        <v>261</v>
      </c>
      <c r="P70" s="48" t="s">
        <v>149</v>
      </c>
      <c r="Q70" s="48" t="s">
        <v>261</v>
      </c>
      <c r="R70" s="48" t="s">
        <v>149</v>
      </c>
      <c r="S70" s="48" t="s">
        <v>261</v>
      </c>
      <c r="T70" s="48" t="s">
        <v>149</v>
      </c>
      <c r="U70" s="48" t="s">
        <v>261</v>
      </c>
      <c r="V70" s="37" t="s">
        <v>149</v>
      </c>
    </row>
    <row r="71" spans="2:22">
      <c r="B71" s="47" t="s">
        <v>251</v>
      </c>
      <c r="C71" s="48" t="s">
        <v>261</v>
      </c>
      <c r="D71" s="48" t="s">
        <v>163</v>
      </c>
      <c r="E71" s="48" t="s">
        <v>261</v>
      </c>
      <c r="F71" s="48" t="s">
        <v>163</v>
      </c>
      <c r="G71" s="48" t="s">
        <v>261</v>
      </c>
      <c r="H71" s="48" t="s">
        <v>163</v>
      </c>
      <c r="I71" s="48" t="s">
        <v>261</v>
      </c>
      <c r="J71" s="48" t="s">
        <v>163</v>
      </c>
      <c r="K71" s="48" t="s">
        <v>261</v>
      </c>
      <c r="L71" s="48" t="s">
        <v>163</v>
      </c>
      <c r="M71" s="48" t="s">
        <v>261</v>
      </c>
      <c r="N71" s="48" t="s">
        <v>163</v>
      </c>
      <c r="O71" s="48" t="s">
        <v>261</v>
      </c>
      <c r="P71" s="48" t="s">
        <v>163</v>
      </c>
      <c r="Q71" s="48" t="s">
        <v>261</v>
      </c>
      <c r="R71" s="48" t="s">
        <v>163</v>
      </c>
      <c r="S71" s="48" t="s">
        <v>261</v>
      </c>
      <c r="T71" s="48" t="s">
        <v>163</v>
      </c>
      <c r="U71" s="48" t="s">
        <v>261</v>
      </c>
      <c r="V71" s="37" t="s">
        <v>163</v>
      </c>
    </row>
    <row r="72" spans="2:22">
      <c r="B72" s="49" t="s">
        <v>127</v>
      </c>
      <c r="C72" s="65" t="s">
        <v>1</v>
      </c>
      <c r="D72" s="66"/>
      <c r="E72" s="67"/>
      <c r="F72" s="66"/>
      <c r="G72" s="67"/>
      <c r="H72" s="66"/>
      <c r="I72" s="67"/>
      <c r="J72" s="66"/>
      <c r="K72" s="67"/>
      <c r="L72" s="66"/>
      <c r="M72" s="67"/>
      <c r="N72" s="66"/>
      <c r="O72" s="67"/>
      <c r="P72" s="66"/>
      <c r="Q72" s="67"/>
      <c r="R72" s="66"/>
      <c r="S72" s="67"/>
      <c r="T72" s="66"/>
    </row>
    <row r="73" spans="2:22">
      <c r="B73" s="49" t="s">
        <v>2</v>
      </c>
      <c r="C73" s="65" t="s">
        <v>164</v>
      </c>
      <c r="D73" s="64"/>
      <c r="E73" s="65"/>
      <c r="F73" s="64"/>
      <c r="G73" s="65"/>
      <c r="H73" s="64"/>
      <c r="I73" s="65"/>
      <c r="J73" s="64"/>
      <c r="K73" s="65"/>
      <c r="L73" s="64"/>
      <c r="M73" s="65"/>
      <c r="N73" s="64"/>
      <c r="O73" s="65"/>
      <c r="P73" s="64"/>
      <c r="Q73" s="65"/>
      <c r="R73" s="64"/>
      <c r="S73" s="65"/>
      <c r="T73" s="64"/>
    </row>
    <row r="74" spans="2:22">
      <c r="B74" s="50" t="s">
        <v>3</v>
      </c>
      <c r="C74" s="65" t="s">
        <v>68</v>
      </c>
      <c r="D74" s="64"/>
      <c r="E74" s="65"/>
      <c r="F74" s="64"/>
      <c r="G74" s="65"/>
      <c r="H74" s="64"/>
      <c r="I74" s="65"/>
      <c r="J74" s="64"/>
      <c r="K74" s="65"/>
      <c r="L74" s="64"/>
      <c r="M74" s="65"/>
      <c r="N74" s="64"/>
      <c r="O74" s="65"/>
      <c r="P74" s="64"/>
      <c r="Q74" s="65"/>
      <c r="R74" s="64"/>
      <c r="S74" s="65"/>
      <c r="T74" s="64"/>
    </row>
    <row r="75" spans="2:22">
      <c r="B75" s="49" t="s">
        <v>5</v>
      </c>
      <c r="C75" s="65" t="s">
        <v>252</v>
      </c>
      <c r="D75" s="64"/>
      <c r="E75" s="65"/>
      <c r="F75" s="64"/>
      <c r="G75" s="65"/>
      <c r="H75" s="64"/>
      <c r="I75" s="65"/>
      <c r="J75" s="64"/>
      <c r="K75" s="65"/>
      <c r="L75" s="64"/>
      <c r="M75" s="65"/>
      <c r="N75" s="64"/>
      <c r="O75" s="65"/>
      <c r="P75" s="64"/>
      <c r="Q75" s="65"/>
      <c r="R75" s="64"/>
      <c r="S75" s="65"/>
      <c r="T75" s="64"/>
    </row>
    <row r="76" spans="2:22">
      <c r="B76" s="49" t="s">
        <v>7</v>
      </c>
      <c r="C76" s="68" t="s">
        <v>8</v>
      </c>
      <c r="D76" s="64"/>
      <c r="E76" s="65"/>
      <c r="F76" s="64"/>
      <c r="G76" s="65"/>
      <c r="H76" s="64"/>
      <c r="I76" s="65"/>
      <c r="J76" s="64"/>
      <c r="K76" s="65"/>
      <c r="L76" s="64"/>
      <c r="M76" s="65"/>
      <c r="N76" s="64"/>
      <c r="O76" s="65"/>
      <c r="P76" s="64"/>
      <c r="Q76" s="65"/>
      <c r="R76" s="64"/>
      <c r="S76" s="65"/>
      <c r="T76" s="64"/>
    </row>
    <row r="77" spans="2:22">
      <c r="B77" s="49" t="s">
        <v>9</v>
      </c>
      <c r="C77" s="68" t="s">
        <v>10</v>
      </c>
      <c r="D77" s="66"/>
      <c r="E77" s="67"/>
      <c r="F77" s="66"/>
      <c r="G77" s="67"/>
      <c r="H77" s="66"/>
      <c r="I77" s="67"/>
      <c r="J77" s="66"/>
      <c r="K77" s="67"/>
      <c r="L77" s="66"/>
      <c r="M77" s="67"/>
      <c r="N77" s="66"/>
      <c r="O77" s="67"/>
      <c r="P77" s="66"/>
      <c r="Q77" s="67"/>
      <c r="R77" s="66"/>
      <c r="S77" s="67"/>
      <c r="T77" s="66"/>
    </row>
    <row r="78" spans="2:22">
      <c r="B78" s="49" t="s">
        <v>12</v>
      </c>
      <c r="C78" s="68" t="s">
        <v>13</v>
      </c>
      <c r="D78" s="66"/>
      <c r="E78" s="65"/>
      <c r="F78" s="66"/>
      <c r="G78" s="65"/>
      <c r="H78" s="66"/>
      <c r="I78" s="65"/>
      <c r="J78" s="66"/>
      <c r="K78" s="65"/>
      <c r="L78" s="66"/>
      <c r="M78" s="65"/>
      <c r="N78" s="66"/>
      <c r="O78" s="65"/>
      <c r="P78" s="66"/>
      <c r="Q78" s="65"/>
      <c r="R78" s="66"/>
      <c r="S78" s="65"/>
      <c r="T78" s="66"/>
    </row>
    <row r="79" spans="2:22">
      <c r="B79" s="49" t="s">
        <v>14</v>
      </c>
      <c r="C79" s="68" t="s">
        <v>15</v>
      </c>
      <c r="D79" s="66"/>
      <c r="E79" s="65"/>
      <c r="F79" s="66"/>
      <c r="G79" s="65"/>
      <c r="H79" s="66"/>
      <c r="I79" s="65"/>
      <c r="J79" s="66"/>
      <c r="K79" s="65"/>
      <c r="L79" s="66"/>
      <c r="M79" s="65"/>
      <c r="N79" s="66"/>
      <c r="O79" s="65"/>
      <c r="P79" s="66"/>
      <c r="Q79" s="65"/>
      <c r="R79" s="66"/>
      <c r="S79" s="65"/>
      <c r="T79" s="66"/>
    </row>
    <row r="80" spans="2:22">
      <c r="B80" s="49" t="s">
        <v>404</v>
      </c>
      <c r="C80" s="68" t="s">
        <v>403</v>
      </c>
      <c r="D80" s="66"/>
      <c r="E80" s="65"/>
      <c r="F80" s="66"/>
      <c r="G80" s="65"/>
      <c r="H80" s="66"/>
      <c r="I80" s="65"/>
      <c r="J80" s="66"/>
      <c r="K80" s="65"/>
      <c r="L80" s="66"/>
      <c r="M80" s="65"/>
      <c r="N80" s="66"/>
      <c r="O80" s="65"/>
      <c r="P80" s="66"/>
      <c r="Q80" s="65"/>
      <c r="R80" s="66"/>
      <c r="S80" s="65"/>
      <c r="T80" s="66"/>
    </row>
    <row r="81" spans="2:20">
      <c r="B81" s="49" t="s">
        <v>18</v>
      </c>
      <c r="C81" s="68" t="s">
        <v>19</v>
      </c>
      <c r="D81" s="66"/>
      <c r="E81" s="65"/>
      <c r="F81" s="66"/>
      <c r="G81" s="65"/>
      <c r="H81" s="66"/>
      <c r="I81" s="65"/>
      <c r="J81" s="66"/>
      <c r="K81" s="65"/>
      <c r="L81" s="66"/>
      <c r="M81" s="65"/>
      <c r="N81" s="66"/>
      <c r="O81" s="65"/>
      <c r="P81" s="66"/>
      <c r="Q81" s="65"/>
      <c r="R81" s="66"/>
      <c r="S81" s="65"/>
      <c r="T81" s="66"/>
    </row>
    <row r="82" spans="2:20">
      <c r="B82" s="49" t="s">
        <v>20</v>
      </c>
      <c r="C82" s="68" t="s">
        <v>21</v>
      </c>
      <c r="D82" s="66"/>
      <c r="E82" s="67"/>
      <c r="F82" s="66"/>
      <c r="G82" s="67"/>
      <c r="H82" s="66"/>
      <c r="I82" s="67"/>
      <c r="J82" s="66"/>
      <c r="K82" s="67"/>
      <c r="L82" s="66"/>
      <c r="M82" s="67"/>
      <c r="N82" s="66"/>
      <c r="O82" s="67"/>
      <c r="P82" s="66"/>
      <c r="Q82" s="67"/>
      <c r="R82" s="66"/>
      <c r="S82" s="67"/>
      <c r="T82" s="66"/>
    </row>
    <row r="83" spans="2:20">
      <c r="B83" s="49" t="s">
        <v>22</v>
      </c>
      <c r="C83" s="68" t="s">
        <v>23</v>
      </c>
      <c r="D83" s="66"/>
      <c r="E83" s="65"/>
      <c r="F83" s="66"/>
      <c r="G83" s="65"/>
      <c r="H83" s="66"/>
      <c r="I83" s="65"/>
      <c r="J83" s="66"/>
      <c r="K83" s="65"/>
      <c r="L83" s="66"/>
      <c r="M83" s="65"/>
      <c r="N83" s="66"/>
      <c r="O83" s="65"/>
      <c r="P83" s="66"/>
      <c r="Q83" s="65"/>
      <c r="R83" s="66"/>
      <c r="S83" s="65"/>
      <c r="T83" s="66"/>
    </row>
    <row r="84" spans="2:20">
      <c r="B84" s="49" t="s">
        <v>24</v>
      </c>
      <c r="C84" s="68" t="s">
        <v>25</v>
      </c>
      <c r="D84" s="66"/>
      <c r="E84" s="65"/>
      <c r="F84" s="66"/>
      <c r="G84" s="65"/>
      <c r="H84" s="66"/>
      <c r="I84" s="65"/>
      <c r="J84" s="66"/>
      <c r="K84" s="65"/>
      <c r="L84" s="66"/>
      <c r="M84" s="65"/>
      <c r="N84" s="66"/>
      <c r="O84" s="65"/>
      <c r="P84" s="66"/>
      <c r="Q84" s="65"/>
      <c r="R84" s="66"/>
      <c r="S84" s="65"/>
      <c r="T84" s="66"/>
    </row>
    <row r="85" spans="2:20">
      <c r="B85" s="49" t="s">
        <v>26</v>
      </c>
      <c r="C85" s="68" t="s">
        <v>27</v>
      </c>
      <c r="D85" s="66"/>
      <c r="E85" s="65"/>
      <c r="F85" s="66"/>
      <c r="G85" s="65"/>
      <c r="H85" s="66"/>
      <c r="I85" s="65"/>
      <c r="J85" s="66"/>
      <c r="K85" s="65"/>
      <c r="L85" s="66"/>
      <c r="M85" s="65"/>
      <c r="N85" s="66"/>
      <c r="O85" s="65"/>
      <c r="P85" s="66"/>
      <c r="Q85" s="65"/>
      <c r="R85" s="66"/>
      <c r="S85" s="65"/>
      <c r="T85" s="66"/>
    </row>
    <row r="86" spans="2:20">
      <c r="B86" s="49" t="s">
        <v>28</v>
      </c>
      <c r="C86" s="68" t="s">
        <v>29</v>
      </c>
      <c r="D86" s="66"/>
      <c r="E86" s="65"/>
      <c r="F86" s="66"/>
      <c r="G86" s="65"/>
      <c r="H86" s="66"/>
      <c r="I86" s="65"/>
      <c r="J86" s="66"/>
      <c r="K86" s="65"/>
      <c r="L86" s="66"/>
      <c r="M86" s="65"/>
      <c r="N86" s="66"/>
      <c r="O86" s="65"/>
      <c r="P86" s="66"/>
      <c r="Q86" s="65"/>
      <c r="R86" s="66"/>
      <c r="S86" s="65"/>
      <c r="T86" s="66"/>
    </row>
    <row r="87" spans="2:20">
      <c r="B87" s="49" t="s">
        <v>30</v>
      </c>
      <c r="C87" s="68" t="s">
        <v>172</v>
      </c>
      <c r="D87" s="66"/>
      <c r="E87" s="65"/>
      <c r="F87" s="66"/>
      <c r="G87" s="65"/>
      <c r="H87" s="66"/>
      <c r="I87" s="65"/>
      <c r="J87" s="66"/>
      <c r="K87" s="65"/>
      <c r="L87" s="66"/>
      <c r="M87" s="65"/>
      <c r="N87" s="66"/>
      <c r="O87" s="65"/>
      <c r="P87" s="66"/>
      <c r="Q87" s="65"/>
      <c r="R87" s="66"/>
      <c r="S87" s="65"/>
      <c r="T87" s="66"/>
    </row>
    <row r="88" spans="2:20">
      <c r="B88" s="49" t="s">
        <v>31</v>
      </c>
      <c r="C88" s="54" t="s">
        <v>32</v>
      </c>
      <c r="D88" s="66"/>
      <c r="E88" s="65"/>
      <c r="F88" s="66"/>
      <c r="G88" s="65"/>
      <c r="H88" s="66"/>
      <c r="I88" s="65"/>
      <c r="J88" s="66"/>
      <c r="K88" s="65"/>
      <c r="L88" s="66"/>
      <c r="M88" s="65"/>
      <c r="N88" s="66"/>
      <c r="O88" s="65"/>
      <c r="P88" s="66"/>
      <c r="Q88" s="65"/>
      <c r="R88" s="66"/>
      <c r="S88" s="65"/>
      <c r="T88" s="66"/>
    </row>
    <row r="89" spans="2:20">
      <c r="B89" s="49" t="s">
        <v>33</v>
      </c>
      <c r="C89" s="54" t="s">
        <v>34</v>
      </c>
      <c r="D89" s="66"/>
      <c r="E89" s="67"/>
      <c r="F89" s="66"/>
      <c r="G89" s="67"/>
      <c r="H89" s="66"/>
      <c r="I89" s="67"/>
      <c r="J89" s="66"/>
      <c r="K89" s="67"/>
      <c r="L89" s="66"/>
      <c r="M89" s="67"/>
      <c r="N89" s="66"/>
      <c r="O89" s="67"/>
      <c r="P89" s="66"/>
      <c r="Q89" s="67"/>
      <c r="R89" s="66"/>
      <c r="S89" s="67"/>
      <c r="T89" s="66"/>
    </row>
    <row r="90" spans="2:20">
      <c r="B90" s="49" t="s">
        <v>36</v>
      </c>
      <c r="C90" s="54" t="s">
        <v>37</v>
      </c>
      <c r="D90" s="66"/>
      <c r="E90" s="65"/>
      <c r="F90" s="66"/>
      <c r="G90" s="65"/>
      <c r="H90" s="66"/>
      <c r="I90" s="65"/>
      <c r="J90" s="66"/>
      <c r="K90" s="65"/>
      <c r="L90" s="66"/>
      <c r="M90" s="65"/>
      <c r="N90" s="66"/>
      <c r="O90" s="65"/>
      <c r="P90" s="66"/>
      <c r="Q90" s="65"/>
      <c r="R90" s="66"/>
      <c r="S90" s="65"/>
      <c r="T90" s="66"/>
    </row>
    <row r="91" spans="2:20">
      <c r="B91" s="49" t="s">
        <v>38</v>
      </c>
      <c r="C91" s="54" t="s">
        <v>165</v>
      </c>
      <c r="D91" s="66"/>
      <c r="E91" s="65"/>
      <c r="F91" s="66"/>
      <c r="G91" s="65"/>
      <c r="H91" s="66"/>
      <c r="I91" s="65"/>
      <c r="J91" s="66"/>
      <c r="K91" s="65"/>
      <c r="L91" s="66"/>
      <c r="M91" s="65"/>
      <c r="N91" s="66"/>
      <c r="O91" s="65"/>
      <c r="P91" s="66"/>
      <c r="Q91" s="65"/>
      <c r="R91" s="66"/>
      <c r="S91" s="65"/>
      <c r="T91" s="66"/>
    </row>
    <row r="92" spans="2:20">
      <c r="B92" s="49" t="s">
        <v>39</v>
      </c>
      <c r="C92" s="54" t="s">
        <v>40</v>
      </c>
      <c r="D92" s="66"/>
      <c r="E92" s="65"/>
      <c r="F92" s="66"/>
      <c r="G92" s="65"/>
      <c r="H92" s="66"/>
      <c r="I92" s="65"/>
      <c r="J92" s="66"/>
      <c r="K92" s="65"/>
      <c r="L92" s="66"/>
      <c r="M92" s="65"/>
      <c r="N92" s="66"/>
      <c r="O92" s="65"/>
      <c r="P92" s="66"/>
      <c r="Q92" s="65"/>
      <c r="R92" s="66"/>
      <c r="S92" s="65"/>
      <c r="T92" s="66"/>
    </row>
    <row r="93" spans="2:20">
      <c r="B93" s="49" t="s">
        <v>41</v>
      </c>
      <c r="C93" s="54" t="s">
        <v>42</v>
      </c>
      <c r="D93" s="66"/>
      <c r="E93" s="65"/>
      <c r="F93" s="66"/>
      <c r="G93" s="65"/>
      <c r="H93" s="66"/>
      <c r="I93" s="65"/>
      <c r="J93" s="66"/>
      <c r="K93" s="65"/>
      <c r="L93" s="66"/>
      <c r="M93" s="65"/>
      <c r="N93" s="66"/>
      <c r="O93" s="65"/>
      <c r="P93" s="66"/>
      <c r="Q93" s="65"/>
      <c r="R93" s="66"/>
      <c r="S93" s="65"/>
      <c r="T93" s="66"/>
    </row>
    <row r="94" spans="2:20">
      <c r="B94" s="49" t="s">
        <v>44</v>
      </c>
      <c r="C94" s="54" t="s">
        <v>45</v>
      </c>
      <c r="D94" s="66"/>
      <c r="E94" s="67"/>
      <c r="F94" s="66"/>
      <c r="G94" s="67"/>
      <c r="H94" s="66"/>
      <c r="I94" s="67"/>
      <c r="J94" s="66"/>
      <c r="K94" s="67"/>
      <c r="L94" s="66"/>
      <c r="M94" s="67"/>
      <c r="N94" s="66"/>
      <c r="O94" s="67"/>
      <c r="P94" s="66"/>
      <c r="Q94" s="67"/>
      <c r="R94" s="66"/>
      <c r="S94" s="67"/>
      <c r="T94" s="66"/>
    </row>
    <row r="95" spans="2:20">
      <c r="B95" s="49" t="s">
        <v>46</v>
      </c>
      <c r="C95" s="54" t="s">
        <v>47</v>
      </c>
      <c r="D95" s="66"/>
      <c r="E95" s="67"/>
      <c r="F95" s="66"/>
      <c r="G95" s="67"/>
      <c r="H95" s="66"/>
      <c r="I95" s="67"/>
      <c r="J95" s="66"/>
      <c r="K95" s="67"/>
      <c r="L95" s="66"/>
      <c r="M95" s="67"/>
      <c r="N95" s="66"/>
      <c r="O95" s="67"/>
      <c r="P95" s="66"/>
      <c r="Q95" s="67"/>
      <c r="R95" s="66"/>
      <c r="S95" s="67"/>
      <c r="T95" s="66"/>
    </row>
    <row r="96" spans="2:20">
      <c r="B96" s="49" t="s">
        <v>49</v>
      </c>
      <c r="C96" s="54" t="s">
        <v>166</v>
      </c>
      <c r="D96" s="66"/>
      <c r="E96" s="67"/>
      <c r="F96" s="66"/>
      <c r="G96" s="67"/>
      <c r="H96" s="66"/>
      <c r="I96" s="67"/>
      <c r="J96" s="66"/>
      <c r="K96" s="67"/>
      <c r="L96" s="66"/>
      <c r="M96" s="67"/>
      <c r="N96" s="66"/>
      <c r="O96" s="67"/>
      <c r="P96" s="66"/>
      <c r="Q96" s="67"/>
      <c r="R96" s="66"/>
      <c r="S96" s="67"/>
      <c r="T96" s="66"/>
    </row>
    <row r="97" spans="2:20">
      <c r="B97" s="49" t="s">
        <v>50</v>
      </c>
      <c r="C97" s="54" t="s">
        <v>51</v>
      </c>
      <c r="D97" s="64"/>
      <c r="E97" s="65"/>
      <c r="F97" s="64"/>
      <c r="G97" s="65"/>
      <c r="H97" s="64"/>
      <c r="I97" s="65"/>
      <c r="J97" s="64"/>
      <c r="K97" s="65"/>
      <c r="L97" s="64"/>
      <c r="M97" s="65"/>
      <c r="N97" s="64"/>
      <c r="O97" s="65"/>
      <c r="P97" s="64"/>
      <c r="Q97" s="65"/>
      <c r="R97" s="64"/>
      <c r="S97" s="65"/>
      <c r="T97" s="64"/>
    </row>
    <row r="98" spans="2:20">
      <c r="B98" s="49" t="s">
        <v>52</v>
      </c>
      <c r="C98" s="54" t="s">
        <v>53</v>
      </c>
      <c r="D98" s="64"/>
      <c r="E98" s="65"/>
      <c r="F98" s="64"/>
      <c r="G98" s="65"/>
      <c r="H98" s="64"/>
      <c r="I98" s="65"/>
      <c r="J98" s="64"/>
      <c r="K98" s="65"/>
      <c r="L98" s="64"/>
      <c r="M98" s="65"/>
      <c r="N98" s="64"/>
      <c r="O98" s="65"/>
      <c r="P98" s="64"/>
      <c r="Q98" s="65"/>
      <c r="R98" s="64"/>
      <c r="S98" s="65"/>
      <c r="T98" s="64"/>
    </row>
    <row r="99" spans="2:20">
      <c r="B99" s="49" t="s">
        <v>54</v>
      </c>
      <c r="C99" s="54" t="s">
        <v>55</v>
      </c>
      <c r="D99" s="64"/>
      <c r="E99" s="65"/>
      <c r="F99" s="64"/>
      <c r="G99" s="65"/>
      <c r="H99" s="64"/>
      <c r="I99" s="65"/>
      <c r="J99" s="64"/>
      <c r="K99" s="65"/>
      <c r="L99" s="64"/>
      <c r="M99" s="65"/>
      <c r="N99" s="64"/>
      <c r="O99" s="65"/>
      <c r="P99" s="64"/>
      <c r="Q99" s="65"/>
      <c r="R99" s="64"/>
      <c r="S99" s="65"/>
      <c r="T99" s="64"/>
    </row>
    <row r="100" spans="2:20">
      <c r="B100" s="49" t="s">
        <v>56</v>
      </c>
      <c r="C100" s="54" t="s">
        <v>57</v>
      </c>
      <c r="D100" s="64"/>
      <c r="E100" s="65"/>
      <c r="F100" s="64"/>
      <c r="G100" s="65"/>
      <c r="H100" s="64"/>
      <c r="I100" s="65"/>
      <c r="J100" s="64"/>
      <c r="K100" s="65"/>
      <c r="L100" s="64"/>
      <c r="M100" s="65"/>
      <c r="N100" s="64"/>
      <c r="O100" s="65"/>
      <c r="P100" s="64"/>
      <c r="Q100" s="65"/>
      <c r="R100" s="64"/>
      <c r="S100" s="65"/>
      <c r="T100" s="64"/>
    </row>
    <row r="101" spans="2:20">
      <c r="B101" s="49" t="s">
        <v>58</v>
      </c>
      <c r="C101" s="54" t="s">
        <v>59</v>
      </c>
      <c r="D101" s="64"/>
      <c r="E101" s="65"/>
      <c r="F101" s="64"/>
      <c r="G101" s="65"/>
      <c r="H101" s="64"/>
      <c r="I101" s="65"/>
      <c r="J101" s="64"/>
      <c r="K101" s="65"/>
      <c r="L101" s="64"/>
      <c r="M101" s="65"/>
      <c r="N101" s="64"/>
      <c r="O101" s="65"/>
      <c r="P101" s="64"/>
      <c r="Q101" s="65"/>
      <c r="R101" s="64"/>
      <c r="S101" s="65"/>
      <c r="T101" s="64"/>
    </row>
    <row r="102" spans="2:20">
      <c r="B102" s="49" t="s">
        <v>52</v>
      </c>
      <c r="C102" s="54" t="s">
        <v>53</v>
      </c>
      <c r="D102" s="64"/>
      <c r="E102" s="65"/>
      <c r="F102" s="64"/>
      <c r="G102" s="65"/>
      <c r="H102" s="64"/>
      <c r="I102" s="65"/>
      <c r="J102" s="64"/>
      <c r="K102" s="65"/>
      <c r="L102" s="64"/>
      <c r="M102" s="65"/>
      <c r="N102" s="64"/>
      <c r="O102" s="65"/>
      <c r="P102" s="64"/>
      <c r="Q102" s="65"/>
      <c r="R102" s="64"/>
      <c r="S102" s="65"/>
      <c r="T102" s="64"/>
    </row>
    <row r="103" spans="2:20">
      <c r="B103" s="49" t="s">
        <v>398</v>
      </c>
      <c r="C103" s="54" t="s">
        <v>399</v>
      </c>
      <c r="D103" s="64"/>
      <c r="E103" s="65"/>
      <c r="F103" s="64"/>
      <c r="G103" s="65"/>
      <c r="H103" s="64"/>
      <c r="I103" s="65"/>
      <c r="J103" s="64"/>
      <c r="K103" s="65"/>
      <c r="L103" s="64"/>
      <c r="M103" s="65"/>
      <c r="N103" s="64"/>
      <c r="O103" s="65"/>
      <c r="P103" s="64"/>
      <c r="Q103" s="65"/>
      <c r="R103" s="64"/>
      <c r="S103" s="65"/>
      <c r="T103" s="64"/>
    </row>
    <row r="104" spans="2:20">
      <c r="B104" s="49" t="s">
        <v>61</v>
      </c>
      <c r="C104" s="54" t="s">
        <v>337</v>
      </c>
      <c r="D104" s="64"/>
      <c r="E104" s="65"/>
      <c r="F104" s="64"/>
      <c r="G104" s="65"/>
      <c r="H104" s="64"/>
      <c r="I104" s="65"/>
      <c r="J104" s="64"/>
      <c r="K104" s="65"/>
      <c r="L104" s="64"/>
      <c r="M104" s="65"/>
      <c r="N104" s="64"/>
      <c r="O104" s="65"/>
      <c r="P104" s="64"/>
      <c r="Q104" s="65"/>
      <c r="R104" s="64"/>
      <c r="S104" s="65"/>
      <c r="T104" s="64"/>
    </row>
    <row r="105" spans="2:20">
      <c r="B105" s="49" t="s">
        <v>125</v>
      </c>
      <c r="C105" s="54" t="s">
        <v>167</v>
      </c>
      <c r="D105" s="64"/>
      <c r="E105" s="65"/>
      <c r="F105" s="64"/>
      <c r="G105" s="65"/>
      <c r="H105" s="64"/>
      <c r="I105" s="65"/>
      <c r="J105" s="64"/>
      <c r="K105" s="65"/>
      <c r="L105" s="64"/>
      <c r="M105" s="65"/>
      <c r="N105" s="64"/>
      <c r="O105" s="65"/>
      <c r="P105" s="64"/>
      <c r="Q105" s="65"/>
      <c r="R105" s="64"/>
      <c r="S105" s="65"/>
      <c r="T105" s="64"/>
    </row>
    <row r="106" spans="2:20">
      <c r="B106" s="51" t="s">
        <v>62</v>
      </c>
      <c r="C106" s="54" t="s">
        <v>338</v>
      </c>
      <c r="D106" s="64"/>
      <c r="E106" s="65"/>
      <c r="F106" s="64"/>
      <c r="G106" s="65"/>
      <c r="H106" s="64"/>
      <c r="I106" s="65"/>
      <c r="J106" s="64"/>
      <c r="K106" s="65"/>
      <c r="L106" s="64"/>
      <c r="M106" s="65"/>
      <c r="N106" s="64"/>
      <c r="O106" s="65"/>
      <c r="P106" s="64"/>
      <c r="Q106" s="65"/>
      <c r="R106" s="64"/>
      <c r="S106" s="65"/>
      <c r="T106" s="64"/>
    </row>
    <row r="107" spans="2:20">
      <c r="B107" s="51" t="s">
        <v>63</v>
      </c>
      <c r="C107" s="54" t="s">
        <v>64</v>
      </c>
      <c r="D107" s="64"/>
      <c r="E107" s="65"/>
      <c r="F107" s="64"/>
      <c r="G107" s="65"/>
      <c r="H107" s="64"/>
      <c r="I107" s="65"/>
      <c r="J107" s="64"/>
      <c r="K107" s="65"/>
      <c r="L107" s="64"/>
      <c r="M107" s="65"/>
      <c r="N107" s="64"/>
      <c r="O107" s="65"/>
      <c r="P107" s="64"/>
      <c r="Q107" s="65"/>
      <c r="R107" s="64"/>
      <c r="S107" s="65"/>
      <c r="T107" s="64"/>
    </row>
    <row r="108" spans="2:20">
      <c r="B108" s="51" t="s">
        <v>65</v>
      </c>
      <c r="C108" s="54" t="s">
        <v>66</v>
      </c>
      <c r="D108" s="64"/>
      <c r="E108" s="65"/>
      <c r="F108" s="64"/>
      <c r="G108" s="65"/>
      <c r="H108" s="64"/>
      <c r="I108" s="65"/>
      <c r="J108" s="64"/>
      <c r="K108" s="65"/>
      <c r="L108" s="64"/>
      <c r="M108" s="65"/>
      <c r="N108" s="64"/>
      <c r="O108" s="65"/>
      <c r="P108" s="64"/>
      <c r="Q108" s="65"/>
      <c r="R108" s="64"/>
      <c r="S108" s="65"/>
      <c r="T108" s="64"/>
    </row>
    <row r="109" spans="2:20">
      <c r="B109" s="51" t="s">
        <v>67</v>
      </c>
      <c r="C109" s="54" t="s">
        <v>68</v>
      </c>
      <c r="D109" s="64"/>
      <c r="E109" s="65"/>
      <c r="F109" s="64"/>
      <c r="G109" s="65"/>
      <c r="H109" s="64"/>
      <c r="I109" s="65"/>
      <c r="J109" s="64"/>
      <c r="K109" s="65"/>
      <c r="L109" s="64"/>
      <c r="M109" s="65"/>
      <c r="N109" s="64"/>
      <c r="O109" s="65"/>
      <c r="P109" s="64"/>
      <c r="Q109" s="65"/>
      <c r="R109" s="64"/>
      <c r="S109" s="65"/>
      <c r="T109" s="64"/>
    </row>
    <row r="110" spans="2:20">
      <c r="B110" s="51" t="s">
        <v>69</v>
      </c>
      <c r="C110" s="54" t="s">
        <v>70</v>
      </c>
      <c r="D110" s="64"/>
      <c r="E110" s="65"/>
      <c r="F110" s="64"/>
      <c r="G110" s="65"/>
      <c r="H110" s="64"/>
      <c r="I110" s="65"/>
      <c r="J110" s="64"/>
      <c r="K110" s="65"/>
      <c r="L110" s="64"/>
      <c r="M110" s="65"/>
      <c r="N110" s="64"/>
      <c r="O110" s="65"/>
      <c r="P110" s="64"/>
      <c r="Q110" s="65"/>
      <c r="R110" s="64"/>
      <c r="S110" s="65"/>
      <c r="T110" s="64"/>
    </row>
    <row r="111" spans="2:20">
      <c r="B111" s="51" t="s">
        <v>71</v>
      </c>
      <c r="C111" s="54" t="s">
        <v>72</v>
      </c>
      <c r="D111" s="64"/>
      <c r="E111" s="65"/>
      <c r="F111" s="64"/>
      <c r="G111" s="65"/>
      <c r="H111" s="64"/>
      <c r="I111" s="65"/>
      <c r="J111" s="64"/>
      <c r="K111" s="65"/>
      <c r="L111" s="64"/>
      <c r="M111" s="65"/>
      <c r="N111" s="64"/>
      <c r="O111" s="65"/>
      <c r="P111" s="64"/>
      <c r="Q111" s="65"/>
      <c r="R111" s="64"/>
      <c r="S111" s="65"/>
      <c r="T111" s="64"/>
    </row>
    <row r="112" spans="2:20">
      <c r="B112" s="51" t="s">
        <v>128</v>
      </c>
      <c r="C112" s="54" t="s">
        <v>176</v>
      </c>
      <c r="D112" s="66"/>
      <c r="E112" s="67"/>
      <c r="F112" s="66"/>
      <c r="G112" s="67"/>
      <c r="H112" s="66"/>
      <c r="I112" s="67"/>
      <c r="J112" s="66"/>
      <c r="K112" s="67"/>
      <c r="L112" s="66"/>
      <c r="M112" s="67"/>
      <c r="N112" s="66"/>
      <c r="O112" s="67"/>
      <c r="P112" s="66"/>
      <c r="Q112" s="67"/>
      <c r="R112" s="66"/>
      <c r="S112" s="67"/>
      <c r="T112" s="66"/>
    </row>
    <row r="113" spans="2:20">
      <c r="B113" s="51" t="s">
        <v>74</v>
      </c>
      <c r="C113" s="54" t="s">
        <v>75</v>
      </c>
      <c r="D113" s="64"/>
      <c r="E113" s="65"/>
      <c r="F113" s="64"/>
      <c r="G113" s="65"/>
      <c r="H113" s="64"/>
      <c r="I113" s="65"/>
      <c r="J113" s="64"/>
      <c r="K113" s="65"/>
      <c r="L113" s="64"/>
      <c r="M113" s="65"/>
      <c r="N113" s="64"/>
      <c r="O113" s="65"/>
      <c r="P113" s="64"/>
      <c r="Q113" s="65"/>
      <c r="R113" s="64"/>
      <c r="S113" s="65"/>
      <c r="T113" s="64"/>
    </row>
    <row r="114" spans="2:20">
      <c r="B114" s="51" t="s">
        <v>76</v>
      </c>
      <c r="C114" s="54" t="s">
        <v>77</v>
      </c>
      <c r="D114" s="64"/>
      <c r="E114" s="65"/>
      <c r="F114" s="64"/>
      <c r="G114" s="65"/>
      <c r="H114" s="64"/>
      <c r="I114" s="65"/>
      <c r="J114" s="64"/>
      <c r="K114" s="65"/>
      <c r="L114" s="64"/>
      <c r="M114" s="65"/>
      <c r="N114" s="64"/>
      <c r="O114" s="65"/>
      <c r="P114" s="64"/>
      <c r="Q114" s="65"/>
      <c r="R114" s="64"/>
      <c r="S114" s="65"/>
      <c r="T114" s="64"/>
    </row>
    <row r="115" spans="2:20">
      <c r="B115" s="51" t="s">
        <v>78</v>
      </c>
      <c r="C115" s="54" t="s">
        <v>150</v>
      </c>
      <c r="D115" s="64"/>
      <c r="E115" s="65"/>
      <c r="F115" s="64"/>
      <c r="G115" s="65"/>
      <c r="H115" s="64"/>
      <c r="I115" s="65"/>
      <c r="J115" s="64"/>
      <c r="K115" s="65"/>
      <c r="L115" s="64"/>
      <c r="M115" s="65"/>
      <c r="N115" s="64"/>
      <c r="O115" s="65"/>
      <c r="P115" s="64"/>
      <c r="Q115" s="65"/>
      <c r="R115" s="64"/>
      <c r="S115" s="65"/>
      <c r="T115" s="64"/>
    </row>
    <row r="116" spans="2:20">
      <c r="B116" s="51" t="s">
        <v>79</v>
      </c>
      <c r="C116" s="54" t="s">
        <v>80</v>
      </c>
      <c r="D116" s="64"/>
      <c r="E116" s="65"/>
      <c r="F116" s="64"/>
      <c r="G116" s="65"/>
      <c r="H116" s="64"/>
      <c r="I116" s="65"/>
      <c r="J116" s="64"/>
      <c r="K116" s="65"/>
      <c r="L116" s="64"/>
      <c r="M116" s="65"/>
      <c r="N116" s="64"/>
      <c r="O116" s="65"/>
      <c r="P116" s="64"/>
      <c r="Q116" s="65"/>
      <c r="R116" s="64"/>
      <c r="S116" s="65"/>
      <c r="T116" s="64"/>
    </row>
    <row r="117" spans="2:20">
      <c r="B117" s="51" t="s">
        <v>81</v>
      </c>
      <c r="C117" s="54" t="s">
        <v>82</v>
      </c>
      <c r="D117" s="64"/>
      <c r="E117" s="65"/>
      <c r="F117" s="64"/>
      <c r="G117" s="65"/>
      <c r="H117" s="64"/>
      <c r="I117" s="65"/>
      <c r="J117" s="64"/>
      <c r="K117" s="65"/>
      <c r="L117" s="64"/>
      <c r="M117" s="65"/>
      <c r="N117" s="64"/>
      <c r="O117" s="65"/>
      <c r="P117" s="64"/>
      <c r="Q117" s="65"/>
      <c r="R117" s="64"/>
      <c r="S117" s="65"/>
      <c r="T117" s="64"/>
    </row>
    <row r="118" spans="2:20">
      <c r="B118" s="51" t="s">
        <v>83</v>
      </c>
      <c r="C118" s="54" t="s">
        <v>84</v>
      </c>
      <c r="D118" s="66"/>
      <c r="E118" s="67"/>
      <c r="F118" s="66"/>
      <c r="G118" s="67"/>
      <c r="H118" s="66"/>
      <c r="I118" s="67"/>
      <c r="J118" s="66"/>
      <c r="K118" s="67"/>
      <c r="L118" s="66"/>
      <c r="M118" s="67"/>
      <c r="N118" s="66"/>
      <c r="O118" s="67"/>
      <c r="P118" s="66"/>
      <c r="Q118" s="67"/>
      <c r="R118" s="66"/>
      <c r="S118" s="67"/>
      <c r="T118" s="66"/>
    </row>
    <row r="119" spans="2:20">
      <c r="B119" s="51" t="s">
        <v>85</v>
      </c>
      <c r="C119" s="54" t="s">
        <v>339</v>
      </c>
      <c r="D119" s="64"/>
      <c r="E119" s="65"/>
      <c r="F119" s="64"/>
      <c r="G119" s="65"/>
      <c r="H119" s="64"/>
      <c r="I119" s="65"/>
      <c r="J119" s="64"/>
      <c r="K119" s="65"/>
      <c r="L119" s="64"/>
      <c r="M119" s="65"/>
      <c r="N119" s="64"/>
      <c r="O119" s="65"/>
      <c r="P119" s="64"/>
      <c r="Q119" s="65"/>
      <c r="R119" s="64"/>
      <c r="S119" s="65"/>
      <c r="T119" s="64"/>
    </row>
    <row r="120" spans="2:20">
      <c r="B120" s="51" t="s">
        <v>129</v>
      </c>
      <c r="C120" s="54" t="s">
        <v>177</v>
      </c>
      <c r="D120" s="64"/>
      <c r="E120" s="65"/>
      <c r="F120" s="64"/>
      <c r="G120" s="65"/>
      <c r="H120" s="64"/>
      <c r="I120" s="65"/>
      <c r="J120" s="64"/>
      <c r="K120" s="65"/>
      <c r="L120" s="64"/>
      <c r="M120" s="65"/>
      <c r="N120" s="64"/>
      <c r="O120" s="65"/>
      <c r="P120" s="64"/>
      <c r="Q120" s="65"/>
      <c r="R120" s="64"/>
      <c r="S120" s="65"/>
      <c r="T120" s="64"/>
    </row>
    <row r="121" spans="2:20">
      <c r="B121" s="51" t="s">
        <v>86</v>
      </c>
      <c r="C121" s="54" t="s">
        <v>87</v>
      </c>
      <c r="D121" s="64"/>
      <c r="E121" s="65"/>
      <c r="F121" s="64"/>
      <c r="G121" s="65"/>
      <c r="H121" s="64"/>
      <c r="I121" s="65"/>
      <c r="J121" s="64"/>
      <c r="K121" s="65"/>
      <c r="L121" s="64"/>
      <c r="M121" s="65"/>
      <c r="N121" s="64"/>
      <c r="O121" s="65"/>
      <c r="P121" s="64"/>
      <c r="Q121" s="65"/>
      <c r="R121" s="64"/>
      <c r="S121" s="65"/>
      <c r="T121" s="64"/>
    </row>
    <row r="122" spans="2:20">
      <c r="B122" s="51" t="s">
        <v>88</v>
      </c>
      <c r="C122" s="54" t="s">
        <v>89</v>
      </c>
      <c r="D122" s="64"/>
      <c r="E122" s="65"/>
      <c r="F122" s="64"/>
      <c r="G122" s="65"/>
      <c r="H122" s="64"/>
      <c r="I122" s="65"/>
      <c r="J122" s="64"/>
      <c r="K122" s="65"/>
      <c r="L122" s="64"/>
      <c r="M122" s="65"/>
      <c r="N122" s="64"/>
      <c r="O122" s="65"/>
      <c r="P122" s="64"/>
      <c r="Q122" s="65"/>
      <c r="R122" s="64"/>
      <c r="S122" s="65"/>
      <c r="T122" s="64"/>
    </row>
    <row r="123" spans="2:20">
      <c r="B123" s="51" t="s">
        <v>90</v>
      </c>
      <c r="C123" s="54" t="s">
        <v>91</v>
      </c>
      <c r="D123" s="64"/>
      <c r="E123" s="65"/>
      <c r="F123" s="64"/>
      <c r="G123" s="65"/>
      <c r="H123" s="64"/>
      <c r="I123" s="65"/>
      <c r="J123" s="64"/>
      <c r="K123" s="65"/>
      <c r="L123" s="64"/>
      <c r="M123" s="65"/>
      <c r="N123" s="64"/>
      <c r="O123" s="65"/>
      <c r="P123" s="64"/>
      <c r="Q123" s="65"/>
      <c r="R123" s="64"/>
      <c r="S123" s="65"/>
      <c r="T123" s="64"/>
    </row>
    <row r="124" spans="2:20">
      <c r="B124" s="51" t="s">
        <v>92</v>
      </c>
      <c r="C124" s="54" t="s">
        <v>93</v>
      </c>
      <c r="D124" s="66"/>
      <c r="E124" s="67"/>
      <c r="F124" s="66"/>
      <c r="G124" s="67"/>
      <c r="H124" s="66"/>
      <c r="I124" s="67"/>
      <c r="J124" s="66"/>
      <c r="K124" s="67"/>
      <c r="L124" s="66"/>
      <c r="M124" s="67"/>
      <c r="N124" s="66"/>
      <c r="O124" s="67"/>
      <c r="P124" s="66"/>
      <c r="Q124" s="67"/>
      <c r="R124" s="66"/>
      <c r="S124" s="67"/>
      <c r="T124" s="66"/>
    </row>
    <row r="125" spans="2:20">
      <c r="B125" s="51" t="s">
        <v>94</v>
      </c>
      <c r="C125" s="54" t="s">
        <v>95</v>
      </c>
      <c r="D125" s="66"/>
      <c r="E125" s="67"/>
      <c r="F125" s="66"/>
      <c r="G125" s="67"/>
      <c r="H125" s="66"/>
      <c r="I125" s="67"/>
      <c r="J125" s="66"/>
      <c r="K125" s="67"/>
      <c r="L125" s="66"/>
      <c r="M125" s="67"/>
      <c r="N125" s="66"/>
      <c r="O125" s="67"/>
      <c r="P125" s="66"/>
      <c r="Q125" s="67"/>
      <c r="R125" s="66"/>
      <c r="S125" s="67"/>
      <c r="T125" s="66"/>
    </row>
    <row r="126" spans="2:20">
      <c r="B126" s="51" t="s">
        <v>96</v>
      </c>
      <c r="C126" s="54" t="s">
        <v>97</v>
      </c>
      <c r="D126" s="66"/>
      <c r="E126" s="67"/>
      <c r="F126" s="66"/>
      <c r="G126" s="67"/>
      <c r="H126" s="66"/>
      <c r="I126" s="67"/>
      <c r="J126" s="66"/>
      <c r="K126" s="67"/>
      <c r="L126" s="66"/>
      <c r="M126" s="67"/>
      <c r="N126" s="66"/>
      <c r="O126" s="67"/>
      <c r="P126" s="66"/>
      <c r="Q126" s="67"/>
      <c r="R126" s="66"/>
      <c r="S126" s="67"/>
      <c r="T126" s="66"/>
    </row>
    <row r="127" spans="2:20">
      <c r="B127" s="51" t="s">
        <v>99</v>
      </c>
      <c r="C127" s="54" t="s">
        <v>100</v>
      </c>
      <c r="D127" s="66"/>
      <c r="E127" s="67"/>
      <c r="F127" s="66"/>
      <c r="G127" s="67"/>
      <c r="H127" s="66"/>
      <c r="I127" s="67"/>
      <c r="J127" s="66"/>
      <c r="K127" s="67"/>
      <c r="L127" s="66"/>
      <c r="M127" s="67"/>
      <c r="N127" s="66"/>
      <c r="O127" s="67"/>
      <c r="P127" s="66"/>
      <c r="Q127" s="67"/>
      <c r="R127" s="66"/>
      <c r="S127" s="67"/>
      <c r="T127" s="66"/>
    </row>
    <row r="128" spans="2:20">
      <c r="B128" s="51" t="s">
        <v>101</v>
      </c>
      <c r="C128" s="54" t="s">
        <v>102</v>
      </c>
      <c r="D128" s="66"/>
      <c r="E128" s="67"/>
      <c r="F128" s="66"/>
      <c r="G128" s="67"/>
      <c r="H128" s="66"/>
      <c r="I128" s="67"/>
      <c r="J128" s="66"/>
      <c r="K128" s="67"/>
      <c r="L128" s="66"/>
      <c r="M128" s="67"/>
      <c r="N128" s="66"/>
      <c r="O128" s="67"/>
      <c r="P128" s="66"/>
      <c r="Q128" s="67"/>
      <c r="R128" s="66"/>
      <c r="S128" s="67"/>
      <c r="T128" s="66"/>
    </row>
    <row r="129" spans="2:20">
      <c r="B129" s="51" t="s">
        <v>103</v>
      </c>
      <c r="C129" s="54" t="s">
        <v>104</v>
      </c>
      <c r="D129" s="66"/>
      <c r="E129" s="67"/>
      <c r="F129" s="66"/>
      <c r="G129" s="67"/>
      <c r="H129" s="66"/>
      <c r="I129" s="67"/>
      <c r="J129" s="66"/>
      <c r="K129" s="67"/>
      <c r="L129" s="66"/>
      <c r="M129" s="67"/>
      <c r="N129" s="66"/>
      <c r="O129" s="67"/>
      <c r="P129" s="66"/>
      <c r="Q129" s="67"/>
      <c r="R129" s="66"/>
      <c r="S129" s="67"/>
      <c r="T129" s="66"/>
    </row>
    <row r="130" spans="2:20">
      <c r="B130" s="51" t="s">
        <v>105</v>
      </c>
      <c r="C130" s="54" t="s">
        <v>106</v>
      </c>
      <c r="D130" s="66"/>
      <c r="E130" s="67"/>
      <c r="F130" s="66"/>
      <c r="G130" s="67"/>
      <c r="H130" s="66"/>
      <c r="I130" s="67"/>
      <c r="J130" s="66"/>
      <c r="K130" s="67"/>
      <c r="L130" s="66"/>
      <c r="M130" s="67"/>
      <c r="N130" s="66"/>
      <c r="O130" s="67"/>
      <c r="P130" s="66"/>
      <c r="Q130" s="67"/>
      <c r="R130" s="66"/>
      <c r="S130" s="67"/>
      <c r="T130" s="66"/>
    </row>
    <row r="131" spans="2:20">
      <c r="B131" s="51" t="s">
        <v>107</v>
      </c>
      <c r="C131" s="54" t="s">
        <v>170</v>
      </c>
      <c r="D131" s="66"/>
      <c r="E131" s="67"/>
      <c r="F131" s="66"/>
      <c r="G131" s="67"/>
      <c r="H131" s="66"/>
      <c r="I131" s="67"/>
      <c r="J131" s="66"/>
      <c r="K131" s="67"/>
      <c r="L131" s="66"/>
      <c r="M131" s="67"/>
      <c r="N131" s="66"/>
      <c r="O131" s="67"/>
      <c r="P131" s="66"/>
      <c r="Q131" s="67"/>
      <c r="R131" s="66"/>
      <c r="S131" s="67"/>
      <c r="T131" s="66"/>
    </row>
    <row r="132" spans="2:20">
      <c r="B132" s="51" t="s">
        <v>108</v>
      </c>
      <c r="C132" s="54" t="s">
        <v>171</v>
      </c>
      <c r="D132" s="64"/>
      <c r="E132" s="65"/>
      <c r="F132" s="64"/>
      <c r="G132" s="65"/>
      <c r="H132" s="64"/>
      <c r="I132" s="65"/>
      <c r="J132" s="64"/>
      <c r="K132" s="65"/>
      <c r="L132" s="64"/>
      <c r="M132" s="65"/>
      <c r="N132" s="64"/>
      <c r="O132" s="65"/>
      <c r="P132" s="64"/>
      <c r="Q132" s="65"/>
      <c r="R132" s="64"/>
      <c r="S132" s="65"/>
      <c r="T132" s="64"/>
    </row>
    <row r="133" spans="2:20">
      <c r="B133" s="51" t="s">
        <v>130</v>
      </c>
      <c r="C133" s="54" t="s">
        <v>173</v>
      </c>
      <c r="D133" s="64"/>
      <c r="E133" s="65"/>
      <c r="F133" s="64"/>
      <c r="G133" s="65"/>
      <c r="H133" s="64"/>
      <c r="I133" s="65"/>
      <c r="J133" s="64"/>
      <c r="K133" s="65"/>
      <c r="L133" s="64"/>
      <c r="M133" s="65"/>
      <c r="N133" s="64"/>
      <c r="O133" s="65"/>
      <c r="P133" s="64"/>
      <c r="Q133" s="65"/>
      <c r="R133" s="64"/>
      <c r="S133" s="65"/>
      <c r="T133" s="64"/>
    </row>
    <row r="134" spans="2:20">
      <c r="B134" s="51" t="s">
        <v>110</v>
      </c>
      <c r="C134" s="54" t="s">
        <v>111</v>
      </c>
      <c r="D134" s="64"/>
      <c r="E134" s="65"/>
      <c r="F134" s="64"/>
      <c r="G134" s="65"/>
      <c r="H134" s="64"/>
      <c r="I134" s="65"/>
      <c r="J134" s="64"/>
      <c r="K134" s="65"/>
      <c r="L134" s="64"/>
      <c r="M134" s="65"/>
      <c r="N134" s="64"/>
      <c r="O134" s="65"/>
      <c r="P134" s="64"/>
      <c r="Q134" s="65"/>
      <c r="R134" s="64"/>
      <c r="S134" s="65"/>
      <c r="T134" s="64"/>
    </row>
    <row r="135" spans="2:20">
      <c r="B135" s="51" t="s">
        <v>117</v>
      </c>
      <c r="C135" s="54" t="s">
        <v>118</v>
      </c>
      <c r="D135" s="64"/>
      <c r="E135" s="65"/>
      <c r="F135" s="64"/>
      <c r="G135" s="65"/>
      <c r="H135" s="64"/>
      <c r="I135" s="65"/>
      <c r="J135" s="64"/>
      <c r="K135" s="65"/>
      <c r="L135" s="64"/>
      <c r="M135" s="65"/>
      <c r="N135" s="64"/>
      <c r="O135" s="65"/>
      <c r="P135" s="64"/>
      <c r="Q135" s="65"/>
      <c r="R135" s="64"/>
      <c r="S135" s="65"/>
      <c r="T135" s="64"/>
    </row>
    <row r="136" spans="2:20">
      <c r="B136" s="51" t="s">
        <v>151</v>
      </c>
      <c r="C136" s="54" t="s">
        <v>174</v>
      </c>
      <c r="D136" s="66"/>
      <c r="E136" s="67"/>
      <c r="F136" s="66"/>
      <c r="G136" s="67"/>
      <c r="H136" s="66"/>
      <c r="I136" s="67"/>
      <c r="J136" s="66"/>
      <c r="K136" s="67"/>
      <c r="L136" s="66"/>
      <c r="M136" s="67"/>
      <c r="N136" s="66"/>
      <c r="O136" s="67"/>
      <c r="P136" s="66"/>
      <c r="Q136" s="67"/>
      <c r="R136" s="66"/>
      <c r="S136" s="67"/>
      <c r="T136" s="66"/>
    </row>
    <row r="137" spans="2:20">
      <c r="B137" s="51" t="s">
        <v>131</v>
      </c>
      <c r="C137" s="54" t="s">
        <v>510</v>
      </c>
      <c r="D137" s="66"/>
      <c r="E137" s="67"/>
      <c r="F137" s="66"/>
      <c r="G137" s="67"/>
      <c r="H137" s="66"/>
      <c r="I137" s="67"/>
      <c r="J137" s="66"/>
      <c r="K137" s="67"/>
      <c r="L137" s="66"/>
      <c r="M137" s="67"/>
      <c r="N137" s="66"/>
      <c r="O137" s="67"/>
      <c r="P137" s="66"/>
      <c r="Q137" s="67"/>
      <c r="R137" s="66"/>
      <c r="S137" s="67"/>
      <c r="T137" s="66"/>
    </row>
    <row r="138" spans="2:20">
      <c r="B138" s="51" t="s">
        <v>132</v>
      </c>
      <c r="C138" s="54" t="s">
        <v>175</v>
      </c>
      <c r="D138" s="64"/>
      <c r="E138" s="65"/>
      <c r="F138" s="64"/>
      <c r="G138" s="65"/>
      <c r="H138" s="64"/>
      <c r="I138" s="65"/>
      <c r="J138" s="64"/>
      <c r="K138" s="65"/>
      <c r="L138" s="64"/>
      <c r="M138" s="65"/>
      <c r="N138" s="64"/>
      <c r="O138" s="65"/>
      <c r="P138" s="64"/>
      <c r="Q138" s="65"/>
      <c r="R138" s="64"/>
      <c r="S138" s="65"/>
      <c r="T138" s="64"/>
    </row>
    <row r="139" spans="2:20">
      <c r="B139" s="51" t="s">
        <v>511</v>
      </c>
      <c r="C139" s="54" t="s">
        <v>512</v>
      </c>
      <c r="D139" s="64"/>
      <c r="E139" s="65"/>
      <c r="F139" s="64"/>
      <c r="G139" s="65"/>
      <c r="H139" s="64"/>
      <c r="I139" s="65"/>
      <c r="J139" s="64"/>
      <c r="K139" s="65"/>
      <c r="L139" s="64"/>
      <c r="M139" s="65"/>
      <c r="N139" s="64"/>
      <c r="O139" s="65"/>
      <c r="P139" s="64"/>
      <c r="Q139" s="65"/>
      <c r="R139" s="64"/>
      <c r="S139" s="65"/>
      <c r="T139" s="64"/>
    </row>
    <row r="140" spans="2:20">
      <c r="B140" s="51" t="s">
        <v>0</v>
      </c>
      <c r="C140" s="54" t="s">
        <v>133</v>
      </c>
      <c r="D140" s="64"/>
      <c r="E140" s="65"/>
      <c r="F140" s="64"/>
      <c r="G140" s="65"/>
      <c r="H140" s="64"/>
      <c r="I140" s="65"/>
      <c r="J140" s="64"/>
      <c r="K140" s="65"/>
      <c r="L140" s="64"/>
      <c r="M140" s="65"/>
      <c r="N140" s="64"/>
      <c r="O140" s="65"/>
      <c r="P140" s="64"/>
      <c r="Q140" s="65"/>
      <c r="R140" s="64"/>
      <c r="S140" s="65"/>
      <c r="T140" s="64"/>
    </row>
    <row r="141" spans="2:20">
      <c r="B141" s="51" t="s">
        <v>134</v>
      </c>
      <c r="C141" s="54" t="s">
        <v>135</v>
      </c>
      <c r="D141" s="64"/>
      <c r="E141" s="65"/>
      <c r="F141" s="64"/>
      <c r="G141" s="65"/>
      <c r="H141" s="64"/>
      <c r="I141" s="65"/>
      <c r="J141" s="64"/>
      <c r="K141" s="65"/>
      <c r="L141" s="64"/>
      <c r="M141" s="65"/>
      <c r="N141" s="64"/>
      <c r="O141" s="65"/>
      <c r="P141" s="64"/>
      <c r="Q141" s="65"/>
      <c r="R141" s="64"/>
      <c r="S141" s="65"/>
      <c r="T141" s="64"/>
    </row>
    <row r="142" spans="2:20">
      <c r="B142" s="51" t="s">
        <v>136</v>
      </c>
      <c r="C142" s="54" t="s">
        <v>137</v>
      </c>
      <c r="D142" s="64"/>
      <c r="E142" s="65"/>
      <c r="F142" s="64"/>
      <c r="G142" s="65"/>
      <c r="H142" s="64"/>
      <c r="I142" s="65"/>
      <c r="J142" s="64"/>
      <c r="K142" s="65"/>
      <c r="L142" s="64"/>
      <c r="M142" s="65"/>
      <c r="N142" s="64"/>
      <c r="O142" s="65"/>
      <c r="P142" s="64"/>
      <c r="Q142" s="65"/>
      <c r="R142" s="64"/>
      <c r="S142" s="65"/>
      <c r="T142" s="64"/>
    </row>
    <row r="143" spans="2:20">
      <c r="B143" s="51" t="s">
        <v>115</v>
      </c>
      <c r="C143" s="54" t="s">
        <v>138</v>
      </c>
    </row>
    <row r="144" spans="2:20">
      <c r="B144" s="51" t="s">
        <v>112</v>
      </c>
      <c r="C144" s="54" t="s">
        <v>139</v>
      </c>
    </row>
    <row r="145" spans="2:22">
      <c r="B145" s="51" t="s">
        <v>140</v>
      </c>
      <c r="C145" s="54" t="s">
        <v>141</v>
      </c>
    </row>
    <row r="146" spans="2:22">
      <c r="B146" s="51" t="s">
        <v>120</v>
      </c>
      <c r="C146" s="54" t="s">
        <v>142</v>
      </c>
    </row>
    <row r="147" spans="2:22">
      <c r="B147" s="51" t="s">
        <v>143</v>
      </c>
      <c r="C147" s="54" t="s">
        <v>144</v>
      </c>
    </row>
    <row r="148" spans="2:22">
      <c r="B148" s="51" t="s">
        <v>121</v>
      </c>
      <c r="C148" s="54" t="s">
        <v>145</v>
      </c>
    </row>
    <row r="149" spans="2:22">
      <c r="B149" s="51" t="s">
        <v>122</v>
      </c>
      <c r="C149" s="54" t="s">
        <v>146</v>
      </c>
    </row>
    <row r="150" spans="2:22">
      <c r="B150" s="51" t="s">
        <v>326</v>
      </c>
      <c r="C150" s="54" t="s">
        <v>147</v>
      </c>
    </row>
    <row r="151" spans="2:22">
      <c r="B151" s="51" t="s">
        <v>124</v>
      </c>
      <c r="C151" s="54" t="s">
        <v>148</v>
      </c>
    </row>
    <row r="152" spans="2:22">
      <c r="B152" s="53" t="s">
        <v>264</v>
      </c>
      <c r="C152" s="53" t="s">
        <v>265</v>
      </c>
    </row>
    <row r="153" spans="2:22">
      <c r="B153" s="53" t="s">
        <v>509</v>
      </c>
      <c r="C153" s="54" t="s">
        <v>513</v>
      </c>
    </row>
    <row r="155" spans="2:22">
      <c r="B155" s="586" t="s">
        <v>254</v>
      </c>
      <c r="C155" s="586"/>
      <c r="D155" s="586"/>
      <c r="E155" s="586"/>
      <c r="F155" s="586"/>
      <c r="G155" s="586"/>
      <c r="H155" s="586"/>
      <c r="I155" s="586"/>
      <c r="J155" s="586"/>
      <c r="K155" s="586"/>
      <c r="L155" s="586"/>
      <c r="M155" s="586"/>
      <c r="N155" s="586"/>
      <c r="O155" s="586"/>
      <c r="P155" s="586"/>
      <c r="Q155" s="586"/>
      <c r="R155" s="586"/>
      <c r="S155" s="586"/>
      <c r="T155" s="586"/>
    </row>
    <row r="159" spans="2:22">
      <c r="C159" s="53">
        <v>2006</v>
      </c>
      <c r="E159" s="53">
        <v>2007</v>
      </c>
      <c r="G159" s="53">
        <v>2008</v>
      </c>
      <c r="I159" s="53">
        <v>2009</v>
      </c>
      <c r="K159" s="53">
        <v>2010</v>
      </c>
      <c r="M159" s="53">
        <v>2011</v>
      </c>
      <c r="O159" s="53">
        <v>2012</v>
      </c>
      <c r="Q159" s="53">
        <v>2013</v>
      </c>
      <c r="S159" s="53">
        <v>2014</v>
      </c>
      <c r="U159" s="53">
        <v>2015</v>
      </c>
    </row>
    <row r="160" spans="2:22">
      <c r="B160" s="53" t="s">
        <v>257</v>
      </c>
      <c r="C160" s="53" t="s">
        <v>261</v>
      </c>
      <c r="D160" s="53" t="s">
        <v>152</v>
      </c>
      <c r="E160" s="53" t="s">
        <v>261</v>
      </c>
      <c r="F160" s="53" t="s">
        <v>152</v>
      </c>
      <c r="G160" s="53" t="s">
        <v>261</v>
      </c>
      <c r="H160" s="53" t="s">
        <v>152</v>
      </c>
      <c r="I160" s="53" t="s">
        <v>261</v>
      </c>
      <c r="J160" s="53" t="s">
        <v>152</v>
      </c>
      <c r="K160" s="53" t="s">
        <v>261</v>
      </c>
      <c r="L160" s="53" t="s">
        <v>152</v>
      </c>
      <c r="M160" s="53" t="s">
        <v>261</v>
      </c>
      <c r="N160" s="53" t="s">
        <v>152</v>
      </c>
      <c r="O160" s="53" t="s">
        <v>261</v>
      </c>
      <c r="P160" s="53" t="s">
        <v>152</v>
      </c>
      <c r="Q160" s="53" t="s">
        <v>261</v>
      </c>
      <c r="R160" s="53" t="s">
        <v>152</v>
      </c>
      <c r="S160" s="53" t="s">
        <v>261</v>
      </c>
      <c r="T160" s="53" t="s">
        <v>152</v>
      </c>
      <c r="U160" s="53" t="s">
        <v>261</v>
      </c>
      <c r="V160" s="35" t="s">
        <v>152</v>
      </c>
    </row>
    <row r="161" spans="2:22">
      <c r="B161" s="53" t="s">
        <v>256</v>
      </c>
      <c r="C161" s="53" t="s">
        <v>261</v>
      </c>
      <c r="D161" s="53" t="s">
        <v>255</v>
      </c>
      <c r="E161" s="53" t="s">
        <v>261</v>
      </c>
      <c r="F161" s="53" t="s">
        <v>255</v>
      </c>
      <c r="G161" s="53" t="s">
        <v>261</v>
      </c>
      <c r="H161" s="53" t="s">
        <v>255</v>
      </c>
      <c r="I161" s="53" t="s">
        <v>261</v>
      </c>
      <c r="J161" s="53" t="s">
        <v>255</v>
      </c>
      <c r="K161" s="53" t="s">
        <v>261</v>
      </c>
      <c r="L161" s="53" t="s">
        <v>255</v>
      </c>
      <c r="M161" s="53" t="s">
        <v>261</v>
      </c>
      <c r="N161" s="53" t="s">
        <v>255</v>
      </c>
      <c r="O161" s="53" t="s">
        <v>261</v>
      </c>
      <c r="P161" s="53" t="s">
        <v>255</v>
      </c>
      <c r="Q161" s="53" t="s">
        <v>261</v>
      </c>
      <c r="R161" s="53" t="s">
        <v>255</v>
      </c>
      <c r="S161" s="53" t="s">
        <v>261</v>
      </c>
      <c r="T161" s="53" t="s">
        <v>255</v>
      </c>
      <c r="U161" s="53" t="s">
        <v>261</v>
      </c>
      <c r="V161" s="35" t="s">
        <v>255</v>
      </c>
    </row>
    <row r="162" spans="2:22">
      <c r="B162" s="53" t="s">
        <v>259</v>
      </c>
      <c r="C162" s="53" t="s">
        <v>258</v>
      </c>
    </row>
    <row r="163" spans="2:22">
      <c r="B163" s="53" t="s">
        <v>127</v>
      </c>
      <c r="C163" s="53" t="s">
        <v>1</v>
      </c>
    </row>
    <row r="164" spans="2:22">
      <c r="B164" s="53" t="s">
        <v>2</v>
      </c>
      <c r="C164" s="53" t="s">
        <v>164</v>
      </c>
    </row>
    <row r="165" spans="2:22">
      <c r="B165" s="53" t="s">
        <v>3</v>
      </c>
      <c r="C165" s="53" t="s">
        <v>4</v>
      </c>
    </row>
    <row r="166" spans="2:22">
      <c r="B166" s="53" t="s">
        <v>5</v>
      </c>
      <c r="C166" s="53" t="s">
        <v>6</v>
      </c>
    </row>
    <row r="167" spans="2:22">
      <c r="B167" s="53" t="s">
        <v>7</v>
      </c>
      <c r="C167" s="53" t="s">
        <v>8</v>
      </c>
    </row>
    <row r="168" spans="2:22">
      <c r="B168" s="53" t="s">
        <v>9</v>
      </c>
      <c r="C168" s="53" t="s">
        <v>10</v>
      </c>
    </row>
    <row r="169" spans="2:22">
      <c r="B169" s="53" t="s">
        <v>11</v>
      </c>
      <c r="C169" s="53" t="s">
        <v>262</v>
      </c>
    </row>
    <row r="170" spans="2:22">
      <c r="B170" s="53" t="s">
        <v>12</v>
      </c>
      <c r="C170" s="53" t="s">
        <v>13</v>
      </c>
    </row>
    <row r="171" spans="2:22">
      <c r="B171" s="53" t="s">
        <v>14</v>
      </c>
      <c r="C171" s="53" t="s">
        <v>15</v>
      </c>
    </row>
    <row r="172" spans="2:22">
      <c r="B172" s="53" t="s">
        <v>402</v>
      </c>
      <c r="C172" s="53" t="s">
        <v>403</v>
      </c>
    </row>
    <row r="173" spans="2:22">
      <c r="B173" s="53" t="s">
        <v>18</v>
      </c>
      <c r="C173" s="53" t="s">
        <v>19</v>
      </c>
    </row>
    <row r="174" spans="2:22">
      <c r="B174" s="53" t="s">
        <v>20</v>
      </c>
      <c r="C174" s="53" t="s">
        <v>21</v>
      </c>
    </row>
    <row r="175" spans="2:22">
      <c r="B175" s="53" t="s">
        <v>22</v>
      </c>
      <c r="C175" s="53" t="s">
        <v>23</v>
      </c>
    </row>
    <row r="176" spans="2:22">
      <c r="B176" s="53" t="s">
        <v>24</v>
      </c>
      <c r="C176" s="53" t="s">
        <v>25</v>
      </c>
    </row>
    <row r="177" spans="2:3">
      <c r="B177" s="53" t="s">
        <v>26</v>
      </c>
      <c r="C177" s="53" t="s">
        <v>27</v>
      </c>
    </row>
    <row r="178" spans="2:3">
      <c r="B178" s="53" t="s">
        <v>28</v>
      </c>
      <c r="C178" s="53" t="s">
        <v>29</v>
      </c>
    </row>
    <row r="179" spans="2:3">
      <c r="B179" s="53" t="s">
        <v>30</v>
      </c>
      <c r="C179" s="53" t="s">
        <v>172</v>
      </c>
    </row>
    <row r="180" spans="2:3">
      <c r="B180" s="53" t="s">
        <v>31</v>
      </c>
      <c r="C180" s="53" t="s">
        <v>32</v>
      </c>
    </row>
    <row r="181" spans="2:3">
      <c r="B181" s="53" t="s">
        <v>33</v>
      </c>
      <c r="C181" s="53" t="s">
        <v>266</v>
      </c>
    </row>
    <row r="182" spans="2:3">
      <c r="B182" s="53" t="s">
        <v>35</v>
      </c>
      <c r="C182" s="53" t="s">
        <v>271</v>
      </c>
    </row>
    <row r="183" spans="2:3">
      <c r="B183" s="53" t="s">
        <v>36</v>
      </c>
      <c r="C183" s="53" t="s">
        <v>37</v>
      </c>
    </row>
    <row r="184" spans="2:3">
      <c r="B184" s="53" t="s">
        <v>38</v>
      </c>
      <c r="C184" s="53" t="s">
        <v>165</v>
      </c>
    </row>
    <row r="185" spans="2:3">
      <c r="B185" s="53" t="s">
        <v>39</v>
      </c>
      <c r="C185" s="53" t="s">
        <v>40</v>
      </c>
    </row>
    <row r="186" spans="2:3">
      <c r="B186" s="53" t="s">
        <v>41</v>
      </c>
      <c r="C186" s="53" t="s">
        <v>42</v>
      </c>
    </row>
    <row r="187" spans="2:3">
      <c r="B187" s="53" t="s">
        <v>160</v>
      </c>
      <c r="C187" s="53" t="s">
        <v>276</v>
      </c>
    </row>
    <row r="188" spans="2:3">
      <c r="B188" s="53" t="s">
        <v>43</v>
      </c>
      <c r="C188" s="53" t="s">
        <v>275</v>
      </c>
    </row>
    <row r="189" spans="2:3">
      <c r="B189" s="53" t="s">
        <v>44</v>
      </c>
      <c r="C189" s="53" t="s">
        <v>45</v>
      </c>
    </row>
    <row r="190" spans="2:3">
      <c r="B190" s="53" t="s">
        <v>46</v>
      </c>
      <c r="C190" s="53" t="s">
        <v>47</v>
      </c>
    </row>
    <row r="191" spans="2:3">
      <c r="B191" s="53" t="s">
        <v>48</v>
      </c>
      <c r="C191" s="53" t="s">
        <v>267</v>
      </c>
    </row>
    <row r="192" spans="2:3">
      <c r="B192" s="53" t="s">
        <v>49</v>
      </c>
      <c r="C192" s="53" t="s">
        <v>166</v>
      </c>
    </row>
    <row r="193" spans="2:3">
      <c r="B193" s="53" t="s">
        <v>50</v>
      </c>
      <c r="C193" s="53" t="s">
        <v>51</v>
      </c>
    </row>
    <row r="194" spans="2:3">
      <c r="B194" s="53" t="s">
        <v>52</v>
      </c>
      <c r="C194" s="53" t="s">
        <v>53</v>
      </c>
    </row>
    <row r="195" spans="2:3">
      <c r="B195" s="53" t="s">
        <v>54</v>
      </c>
      <c r="C195" s="53" t="s">
        <v>55</v>
      </c>
    </row>
    <row r="196" spans="2:3">
      <c r="B196" s="53" t="s">
        <v>56</v>
      </c>
      <c r="C196" s="53" t="s">
        <v>57</v>
      </c>
    </row>
    <row r="197" spans="2:3">
      <c r="B197" s="53" t="s">
        <v>58</v>
      </c>
      <c r="C197" s="53" t="s">
        <v>59</v>
      </c>
    </row>
    <row r="198" spans="2:3">
      <c r="B198" s="53" t="s">
        <v>52</v>
      </c>
      <c r="C198" s="53" t="s">
        <v>53</v>
      </c>
    </row>
    <row r="199" spans="2:3">
      <c r="B199" s="49" t="s">
        <v>400</v>
      </c>
      <c r="C199" s="53" t="s">
        <v>399</v>
      </c>
    </row>
    <row r="200" spans="2:3">
      <c r="B200" s="53" t="s">
        <v>122</v>
      </c>
      <c r="C200" s="53" t="s">
        <v>146</v>
      </c>
    </row>
    <row r="201" spans="2:3">
      <c r="B201" s="53" t="s">
        <v>61</v>
      </c>
      <c r="C201" s="53" t="s">
        <v>337</v>
      </c>
    </row>
    <row r="202" spans="2:3">
      <c r="B202" s="53" t="s">
        <v>260</v>
      </c>
      <c r="C202" s="53" t="s">
        <v>268</v>
      </c>
    </row>
    <row r="203" spans="2:3">
      <c r="B203" s="53" t="s">
        <v>62</v>
      </c>
      <c r="C203" s="53" t="s">
        <v>338</v>
      </c>
    </row>
    <row r="204" spans="2:3">
      <c r="B204" s="53" t="s">
        <v>63</v>
      </c>
      <c r="C204" s="53" t="s">
        <v>64</v>
      </c>
    </row>
    <row r="205" spans="2:3">
      <c r="B205" s="53" t="s">
        <v>65</v>
      </c>
      <c r="C205" s="53" t="s">
        <v>66</v>
      </c>
    </row>
    <row r="206" spans="2:3">
      <c r="B206" s="53" t="s">
        <v>67</v>
      </c>
      <c r="C206" s="53" t="s">
        <v>68</v>
      </c>
    </row>
    <row r="207" spans="2:3">
      <c r="B207" s="53" t="s">
        <v>69</v>
      </c>
      <c r="C207" s="53" t="s">
        <v>70</v>
      </c>
    </row>
    <row r="208" spans="2:3">
      <c r="B208" s="53" t="s">
        <v>71</v>
      </c>
      <c r="C208" s="53" t="s">
        <v>72</v>
      </c>
    </row>
    <row r="209" spans="2:3">
      <c r="B209" s="53" t="s">
        <v>73</v>
      </c>
      <c r="C209" s="53" t="s">
        <v>269</v>
      </c>
    </row>
    <row r="210" spans="2:3">
      <c r="B210" s="53" t="s">
        <v>74</v>
      </c>
      <c r="C210" s="53" t="s">
        <v>75</v>
      </c>
    </row>
    <row r="211" spans="2:3">
      <c r="B211" s="53" t="s">
        <v>76</v>
      </c>
      <c r="C211" s="53" t="s">
        <v>77</v>
      </c>
    </row>
    <row r="212" spans="2:3">
      <c r="B212" s="53" t="s">
        <v>78</v>
      </c>
      <c r="C212" s="53" t="s">
        <v>270</v>
      </c>
    </row>
    <row r="213" spans="2:3">
      <c r="B213" s="53" t="s">
        <v>79</v>
      </c>
      <c r="C213" s="53" t="s">
        <v>80</v>
      </c>
    </row>
    <row r="214" spans="2:3">
      <c r="B214" s="53" t="s">
        <v>81</v>
      </c>
      <c r="C214" s="53" t="s">
        <v>82</v>
      </c>
    </row>
    <row r="215" spans="2:3">
      <c r="B215" s="53" t="s">
        <v>83</v>
      </c>
      <c r="C215" s="53" t="s">
        <v>84</v>
      </c>
    </row>
    <row r="216" spans="2:3">
      <c r="B216" s="53" t="s">
        <v>85</v>
      </c>
      <c r="C216" s="53" t="s">
        <v>339</v>
      </c>
    </row>
    <row r="217" spans="2:3">
      <c r="B217" s="53" t="s">
        <v>86</v>
      </c>
      <c r="C217" s="53" t="s">
        <v>87</v>
      </c>
    </row>
    <row r="218" spans="2:3">
      <c r="B218" s="53" t="s">
        <v>88</v>
      </c>
      <c r="C218" s="53" t="s">
        <v>89</v>
      </c>
    </row>
    <row r="219" spans="2:3">
      <c r="B219" s="53" t="s">
        <v>90</v>
      </c>
      <c r="C219" s="53" t="s">
        <v>91</v>
      </c>
    </row>
    <row r="220" spans="2:3">
      <c r="B220" s="53" t="s">
        <v>92</v>
      </c>
      <c r="C220" s="53" t="s">
        <v>93</v>
      </c>
    </row>
    <row r="221" spans="2:3">
      <c r="B221" s="53" t="s">
        <v>94</v>
      </c>
      <c r="C221" s="53" t="s">
        <v>95</v>
      </c>
    </row>
    <row r="222" spans="2:3">
      <c r="B222" s="53" t="s">
        <v>96</v>
      </c>
      <c r="C222" s="53" t="s">
        <v>97</v>
      </c>
    </row>
    <row r="223" spans="2:3">
      <c r="B223" s="53" t="s">
        <v>98</v>
      </c>
      <c r="C223" s="53" t="s">
        <v>100</v>
      </c>
    </row>
    <row r="224" spans="2:3">
      <c r="B224" s="53" t="s">
        <v>101</v>
      </c>
      <c r="C224" s="53" t="s">
        <v>102</v>
      </c>
    </row>
    <row r="225" spans="2:3">
      <c r="B225" s="53" t="s">
        <v>103</v>
      </c>
      <c r="C225" s="53" t="s">
        <v>104</v>
      </c>
    </row>
    <row r="226" spans="2:3">
      <c r="B226" s="53" t="s">
        <v>105</v>
      </c>
      <c r="C226" s="53" t="s">
        <v>106</v>
      </c>
    </row>
    <row r="227" spans="2:3">
      <c r="B227" s="53" t="s">
        <v>107</v>
      </c>
      <c r="C227" s="54" t="s">
        <v>170</v>
      </c>
    </row>
    <row r="228" spans="2:3">
      <c r="B228" s="53" t="s">
        <v>108</v>
      </c>
      <c r="C228" s="54" t="s">
        <v>171</v>
      </c>
    </row>
    <row r="229" spans="2:3">
      <c r="B229" s="53" t="s">
        <v>395</v>
      </c>
      <c r="C229" s="53" t="s">
        <v>340</v>
      </c>
    </row>
    <row r="230" spans="2:3">
      <c r="B230" s="53" t="s">
        <v>109</v>
      </c>
      <c r="C230" s="54" t="s">
        <v>173</v>
      </c>
    </row>
    <row r="231" spans="2:3">
      <c r="B231" s="53" t="s">
        <v>110</v>
      </c>
      <c r="C231" s="53" t="s">
        <v>111</v>
      </c>
    </row>
    <row r="232" spans="2:3">
      <c r="B232" s="53" t="s">
        <v>112</v>
      </c>
      <c r="C232" s="53" t="s">
        <v>113</v>
      </c>
    </row>
    <row r="233" spans="2:3">
      <c r="B233" s="53" t="s">
        <v>114</v>
      </c>
      <c r="C233" s="53" t="s">
        <v>116</v>
      </c>
    </row>
    <row r="234" spans="2:3">
      <c r="B234" s="53" t="s">
        <v>117</v>
      </c>
      <c r="C234" s="53" t="s">
        <v>118</v>
      </c>
    </row>
    <row r="235" spans="2:3">
      <c r="B235" s="53" t="s">
        <v>151</v>
      </c>
      <c r="C235" s="54" t="s">
        <v>174</v>
      </c>
    </row>
    <row r="236" spans="2:3">
      <c r="B236" s="53" t="s">
        <v>263</v>
      </c>
      <c r="C236" s="53" t="s">
        <v>284</v>
      </c>
    </row>
    <row r="237" spans="2:3">
      <c r="B237" s="53" t="s">
        <v>132</v>
      </c>
      <c r="C237" s="54" t="s">
        <v>175</v>
      </c>
    </row>
    <row r="238" spans="2:3">
      <c r="B238" s="53" t="s">
        <v>0</v>
      </c>
      <c r="C238" s="54" t="s">
        <v>133</v>
      </c>
    </row>
    <row r="239" spans="2:3">
      <c r="B239" s="53" t="s">
        <v>156</v>
      </c>
      <c r="C239" s="54" t="s">
        <v>135</v>
      </c>
    </row>
    <row r="240" spans="2:3">
      <c r="B240" s="53" t="s">
        <v>157</v>
      </c>
      <c r="C240" s="54" t="s">
        <v>137</v>
      </c>
    </row>
    <row r="241" spans="2:20">
      <c r="B241" s="53" t="s">
        <v>158</v>
      </c>
      <c r="C241" s="54" t="s">
        <v>138</v>
      </c>
    </row>
    <row r="242" spans="2:20">
      <c r="B242" s="53" t="s">
        <v>112</v>
      </c>
      <c r="C242" s="54" t="s">
        <v>139</v>
      </c>
    </row>
    <row r="243" spans="2:20">
      <c r="B243" s="53" t="s">
        <v>140</v>
      </c>
      <c r="C243" s="54" t="s">
        <v>141</v>
      </c>
    </row>
    <row r="244" spans="2:20">
      <c r="B244" s="53" t="s">
        <v>120</v>
      </c>
      <c r="C244" s="54" t="s">
        <v>142</v>
      </c>
    </row>
    <row r="245" spans="2:20">
      <c r="B245" s="53" t="s">
        <v>143</v>
      </c>
      <c r="C245" s="54" t="s">
        <v>144</v>
      </c>
    </row>
    <row r="246" spans="2:20">
      <c r="B246" s="53" t="s">
        <v>121</v>
      </c>
      <c r="C246" s="54" t="s">
        <v>145</v>
      </c>
    </row>
    <row r="247" spans="2:20">
      <c r="B247" s="53" t="s">
        <v>123</v>
      </c>
      <c r="C247" s="54" t="s">
        <v>147</v>
      </c>
    </row>
    <row r="248" spans="2:20">
      <c r="B248" s="53" t="s">
        <v>122</v>
      </c>
      <c r="C248" s="47" t="s">
        <v>146</v>
      </c>
    </row>
    <row r="249" spans="2:20">
      <c r="B249" s="53" t="s">
        <v>161</v>
      </c>
      <c r="C249" s="47" t="s">
        <v>273</v>
      </c>
    </row>
    <row r="250" spans="2:20">
      <c r="B250" s="53" t="s">
        <v>162</v>
      </c>
      <c r="C250" s="47" t="s">
        <v>274</v>
      </c>
    </row>
    <row r="251" spans="2:20">
      <c r="B251" s="53" t="s">
        <v>264</v>
      </c>
      <c r="C251" s="53" t="s">
        <v>272</v>
      </c>
    </row>
    <row r="254" spans="2:20">
      <c r="B254" s="586" t="s">
        <v>277</v>
      </c>
      <c r="C254" s="586"/>
      <c r="D254" s="586"/>
      <c r="E254" s="586"/>
      <c r="F254" s="586"/>
      <c r="G254" s="586"/>
      <c r="H254" s="586"/>
      <c r="I254" s="586"/>
      <c r="J254" s="586"/>
      <c r="K254" s="586"/>
      <c r="L254" s="586"/>
      <c r="M254" s="586"/>
      <c r="N254" s="586"/>
      <c r="O254" s="586"/>
      <c r="P254" s="586"/>
      <c r="Q254" s="586"/>
      <c r="R254" s="586"/>
      <c r="S254" s="586"/>
      <c r="T254" s="586"/>
    </row>
    <row r="257" spans="2:22">
      <c r="C257" s="53">
        <v>2006</v>
      </c>
      <c r="E257" s="53">
        <v>2007</v>
      </c>
      <c r="G257" s="53">
        <v>2008</v>
      </c>
      <c r="I257" s="53">
        <v>2009</v>
      </c>
      <c r="K257" s="53">
        <v>2010</v>
      </c>
      <c r="M257" s="53">
        <v>2011</v>
      </c>
      <c r="O257" s="53">
        <v>2012</v>
      </c>
      <c r="Q257" s="53">
        <v>2013</v>
      </c>
      <c r="S257" s="53">
        <v>2014</v>
      </c>
      <c r="U257" s="53">
        <v>2015</v>
      </c>
    </row>
    <row r="258" spans="2:22">
      <c r="B258" s="53" t="s">
        <v>233</v>
      </c>
      <c r="C258" s="53" t="s">
        <v>261</v>
      </c>
      <c r="D258" s="53" t="s">
        <v>152</v>
      </c>
      <c r="E258" s="53" t="s">
        <v>261</v>
      </c>
      <c r="F258" s="53" t="s">
        <v>152</v>
      </c>
      <c r="G258" s="53" t="s">
        <v>261</v>
      </c>
      <c r="H258" s="53" t="s">
        <v>152</v>
      </c>
      <c r="I258" s="53" t="s">
        <v>261</v>
      </c>
      <c r="J258" s="53" t="s">
        <v>152</v>
      </c>
      <c r="K258" s="53" t="s">
        <v>261</v>
      </c>
      <c r="L258" s="53" t="s">
        <v>152</v>
      </c>
      <c r="M258" s="53" t="s">
        <v>261</v>
      </c>
      <c r="N258" s="53" t="s">
        <v>152</v>
      </c>
      <c r="O258" s="53" t="s">
        <v>261</v>
      </c>
      <c r="P258" s="53" t="s">
        <v>152</v>
      </c>
      <c r="Q258" s="53" t="s">
        <v>261</v>
      </c>
      <c r="R258" s="53" t="s">
        <v>152</v>
      </c>
      <c r="S258" s="53" t="s">
        <v>261</v>
      </c>
      <c r="T258" s="53" t="s">
        <v>152</v>
      </c>
      <c r="U258" s="53" t="s">
        <v>261</v>
      </c>
      <c r="V258" s="35" t="s">
        <v>152</v>
      </c>
    </row>
    <row r="259" spans="2:22">
      <c r="B259" s="53" t="s">
        <v>189</v>
      </c>
      <c r="C259" s="53" t="s">
        <v>261</v>
      </c>
      <c r="D259" s="53" t="s">
        <v>255</v>
      </c>
      <c r="E259" s="53" t="s">
        <v>261</v>
      </c>
      <c r="F259" s="53" t="s">
        <v>255</v>
      </c>
      <c r="G259" s="53" t="s">
        <v>261</v>
      </c>
      <c r="H259" s="53" t="s">
        <v>255</v>
      </c>
      <c r="I259" s="53" t="s">
        <v>261</v>
      </c>
      <c r="J259" s="53" t="s">
        <v>255</v>
      </c>
      <c r="K259" s="53" t="s">
        <v>261</v>
      </c>
      <c r="L259" s="53" t="s">
        <v>255</v>
      </c>
      <c r="M259" s="53" t="s">
        <v>261</v>
      </c>
      <c r="N259" s="53" t="s">
        <v>255</v>
      </c>
      <c r="O259" s="53" t="s">
        <v>261</v>
      </c>
      <c r="P259" s="53" t="s">
        <v>255</v>
      </c>
      <c r="Q259" s="53" t="s">
        <v>261</v>
      </c>
      <c r="R259" s="53" t="s">
        <v>255</v>
      </c>
      <c r="S259" s="53" t="s">
        <v>261</v>
      </c>
      <c r="T259" s="53" t="s">
        <v>255</v>
      </c>
      <c r="U259" s="53" t="s">
        <v>261</v>
      </c>
      <c r="V259" s="35" t="s">
        <v>255</v>
      </c>
    </row>
    <row r="260" spans="2:22">
      <c r="B260" s="53" t="s">
        <v>127</v>
      </c>
      <c r="C260" s="53" t="s">
        <v>1</v>
      </c>
    </row>
    <row r="261" spans="2:22">
      <c r="B261" s="53" t="s">
        <v>2</v>
      </c>
      <c r="C261" s="53" t="s">
        <v>164</v>
      </c>
    </row>
    <row r="262" spans="2:22">
      <c r="B262" s="53" t="s">
        <v>3</v>
      </c>
      <c r="C262" s="53" t="s">
        <v>4</v>
      </c>
    </row>
    <row r="263" spans="2:22">
      <c r="B263" s="53" t="s">
        <v>5</v>
      </c>
      <c r="C263" s="53" t="s">
        <v>6</v>
      </c>
    </row>
    <row r="264" spans="2:22">
      <c r="B264" s="53" t="s">
        <v>7</v>
      </c>
      <c r="C264" s="53" t="s">
        <v>8</v>
      </c>
    </row>
    <row r="265" spans="2:22">
      <c r="B265" s="53" t="s">
        <v>9</v>
      </c>
      <c r="C265" s="53" t="s">
        <v>10</v>
      </c>
    </row>
    <row r="266" spans="2:22">
      <c r="B266" s="53" t="s">
        <v>12</v>
      </c>
      <c r="C266" s="53" t="s">
        <v>13</v>
      </c>
    </row>
    <row r="267" spans="2:22">
      <c r="B267" s="53" t="s">
        <v>14</v>
      </c>
      <c r="C267" s="53" t="s">
        <v>15</v>
      </c>
    </row>
    <row r="268" spans="2:22">
      <c r="B268" s="53" t="s">
        <v>11</v>
      </c>
      <c r="C268" s="53" t="s">
        <v>279</v>
      </c>
    </row>
    <row r="269" spans="2:22">
      <c r="B269" s="53" t="s">
        <v>402</v>
      </c>
      <c r="C269" s="53" t="s">
        <v>403</v>
      </c>
    </row>
    <row r="270" spans="2:22">
      <c r="B270" s="53" t="s">
        <v>18</v>
      </c>
      <c r="C270" s="53" t="s">
        <v>19</v>
      </c>
    </row>
    <row r="271" spans="2:22">
      <c r="B271" s="53" t="s">
        <v>20</v>
      </c>
      <c r="C271" s="53" t="s">
        <v>21</v>
      </c>
    </row>
    <row r="272" spans="2:22">
      <c r="B272" s="53" t="s">
        <v>22</v>
      </c>
      <c r="C272" s="53" t="s">
        <v>23</v>
      </c>
    </row>
    <row r="273" spans="2:3">
      <c r="B273" s="53" t="s">
        <v>24</v>
      </c>
      <c r="C273" s="53" t="s">
        <v>25</v>
      </c>
    </row>
    <row r="274" spans="2:3">
      <c r="B274" s="53" t="s">
        <v>26</v>
      </c>
      <c r="C274" s="53" t="s">
        <v>27</v>
      </c>
    </row>
    <row r="275" spans="2:3">
      <c r="B275" s="53" t="s">
        <v>28</v>
      </c>
      <c r="C275" s="53" t="s">
        <v>29</v>
      </c>
    </row>
    <row r="276" spans="2:3">
      <c r="B276" s="53" t="s">
        <v>38</v>
      </c>
      <c r="C276" s="53" t="s">
        <v>165</v>
      </c>
    </row>
    <row r="277" spans="2:3">
      <c r="B277" s="53" t="s">
        <v>52</v>
      </c>
      <c r="C277" s="53" t="s">
        <v>53</v>
      </c>
    </row>
    <row r="278" spans="2:3">
      <c r="B278" s="49" t="s">
        <v>398</v>
      </c>
      <c r="C278" s="53" t="s">
        <v>401</v>
      </c>
    </row>
    <row r="279" spans="2:3">
      <c r="B279" s="53" t="s">
        <v>233</v>
      </c>
      <c r="C279" s="53" t="s">
        <v>280</v>
      </c>
    </row>
    <row r="280" spans="2:3">
      <c r="B280" s="53" t="s">
        <v>278</v>
      </c>
      <c r="C280" s="53" t="s">
        <v>281</v>
      </c>
    </row>
    <row r="281" spans="2:3">
      <c r="B281" s="53" t="s">
        <v>62</v>
      </c>
      <c r="C281" s="53" t="s">
        <v>338</v>
      </c>
    </row>
    <row r="282" spans="2:3">
      <c r="B282" s="53" t="s">
        <v>63</v>
      </c>
      <c r="C282" s="53" t="s">
        <v>64</v>
      </c>
    </row>
    <row r="283" spans="2:3">
      <c r="B283" s="53" t="s">
        <v>65</v>
      </c>
      <c r="C283" s="53" t="s">
        <v>66</v>
      </c>
    </row>
    <row r="284" spans="2:3">
      <c r="B284" s="53" t="s">
        <v>67</v>
      </c>
      <c r="C284" s="53" t="s">
        <v>68</v>
      </c>
    </row>
    <row r="285" spans="2:3">
      <c r="B285" s="53" t="s">
        <v>69</v>
      </c>
      <c r="C285" s="53" t="s">
        <v>70</v>
      </c>
    </row>
    <row r="286" spans="2:3">
      <c r="B286" s="53" t="s">
        <v>71</v>
      </c>
      <c r="C286" s="53" t="s">
        <v>72</v>
      </c>
    </row>
    <row r="287" spans="2:3">
      <c r="B287" s="53" t="s">
        <v>153</v>
      </c>
      <c r="C287" s="53" t="s">
        <v>269</v>
      </c>
    </row>
    <row r="288" spans="2:3">
      <c r="B288" s="53" t="s">
        <v>74</v>
      </c>
      <c r="C288" s="53" t="s">
        <v>75</v>
      </c>
    </row>
    <row r="289" spans="2:3">
      <c r="B289" s="53" t="s">
        <v>76</v>
      </c>
      <c r="C289" s="53" t="s">
        <v>77</v>
      </c>
    </row>
    <row r="290" spans="2:3">
      <c r="B290" s="53" t="s">
        <v>78</v>
      </c>
      <c r="C290" s="53" t="s">
        <v>270</v>
      </c>
    </row>
    <row r="291" spans="2:3">
      <c r="B291" s="53" t="s">
        <v>79</v>
      </c>
      <c r="C291" s="53" t="s">
        <v>80</v>
      </c>
    </row>
    <row r="292" spans="2:3">
      <c r="B292" s="53" t="s">
        <v>81</v>
      </c>
      <c r="C292" s="53" t="s">
        <v>82</v>
      </c>
    </row>
    <row r="293" spans="2:3">
      <c r="B293" s="53" t="s">
        <v>83</v>
      </c>
      <c r="C293" s="53" t="s">
        <v>84</v>
      </c>
    </row>
    <row r="294" spans="2:3">
      <c r="B294" s="53" t="s">
        <v>85</v>
      </c>
      <c r="C294" s="53" t="s">
        <v>339</v>
      </c>
    </row>
    <row r="295" spans="2:3">
      <c r="B295" s="53" t="s">
        <v>396</v>
      </c>
      <c r="C295" s="53" t="s">
        <v>341</v>
      </c>
    </row>
    <row r="296" spans="2:3">
      <c r="B296" s="53" t="s">
        <v>86</v>
      </c>
      <c r="C296" s="53" t="s">
        <v>87</v>
      </c>
    </row>
    <row r="297" spans="2:3">
      <c r="B297" s="53" t="s">
        <v>88</v>
      </c>
      <c r="C297" s="53" t="s">
        <v>89</v>
      </c>
    </row>
    <row r="298" spans="2:3">
      <c r="B298" s="53" t="s">
        <v>90</v>
      </c>
      <c r="C298" s="53" t="s">
        <v>91</v>
      </c>
    </row>
    <row r="299" spans="2:3">
      <c r="B299" s="53" t="s">
        <v>92</v>
      </c>
      <c r="C299" s="53" t="s">
        <v>93</v>
      </c>
    </row>
    <row r="300" spans="2:3">
      <c r="B300" s="53" t="s">
        <v>94</v>
      </c>
      <c r="C300" s="53" t="s">
        <v>95</v>
      </c>
    </row>
    <row r="301" spans="2:3">
      <c r="B301" s="53" t="s">
        <v>96</v>
      </c>
      <c r="C301" s="53" t="s">
        <v>97</v>
      </c>
    </row>
    <row r="302" spans="2:3">
      <c r="B302" s="53" t="s">
        <v>154</v>
      </c>
      <c r="C302" s="53" t="s">
        <v>100</v>
      </c>
    </row>
    <row r="303" spans="2:3">
      <c r="B303" s="53" t="s">
        <v>101</v>
      </c>
      <c r="C303" s="53" t="s">
        <v>102</v>
      </c>
    </row>
    <row r="304" spans="2:3">
      <c r="B304" s="53" t="s">
        <v>103</v>
      </c>
      <c r="C304" s="53" t="s">
        <v>104</v>
      </c>
    </row>
    <row r="305" spans="2:3">
      <c r="B305" s="53" t="s">
        <v>108</v>
      </c>
      <c r="C305" s="54" t="s">
        <v>171</v>
      </c>
    </row>
    <row r="306" spans="2:3">
      <c r="B306" s="53" t="s">
        <v>105</v>
      </c>
      <c r="C306" s="53" t="s">
        <v>106</v>
      </c>
    </row>
    <row r="307" spans="2:3">
      <c r="B307" s="53" t="s">
        <v>130</v>
      </c>
      <c r="C307" s="53" t="s">
        <v>340</v>
      </c>
    </row>
    <row r="308" spans="2:3">
      <c r="B308" s="53" t="s">
        <v>109</v>
      </c>
      <c r="C308" s="53" t="s">
        <v>282</v>
      </c>
    </row>
    <row r="309" spans="2:3">
      <c r="B309" s="53" t="s">
        <v>155</v>
      </c>
      <c r="C309" s="53" t="s">
        <v>283</v>
      </c>
    </row>
    <row r="310" spans="2:3">
      <c r="B310" s="53" t="s">
        <v>110</v>
      </c>
      <c r="C310" s="53" t="s">
        <v>111</v>
      </c>
    </row>
    <row r="311" spans="2:3">
      <c r="B311" s="53" t="s">
        <v>112</v>
      </c>
      <c r="C311" s="53" t="s">
        <v>113</v>
      </c>
    </row>
    <row r="312" spans="2:3">
      <c r="B312" s="53" t="s">
        <v>115</v>
      </c>
      <c r="C312" s="53" t="s">
        <v>116</v>
      </c>
    </row>
    <row r="313" spans="2:3">
      <c r="B313" s="53" t="s">
        <v>117</v>
      </c>
      <c r="C313" s="53" t="s">
        <v>118</v>
      </c>
    </row>
    <row r="314" spans="2:3">
      <c r="B314" s="53" t="s">
        <v>151</v>
      </c>
      <c r="C314" s="54" t="s">
        <v>174</v>
      </c>
    </row>
    <row r="315" spans="2:3">
      <c r="B315" s="53" t="s">
        <v>263</v>
      </c>
      <c r="C315" s="53" t="s">
        <v>284</v>
      </c>
    </row>
    <row r="316" spans="2:3">
      <c r="B316" s="53" t="s">
        <v>132</v>
      </c>
      <c r="C316" s="54" t="s">
        <v>175</v>
      </c>
    </row>
    <row r="317" spans="2:3">
      <c r="B317" s="53" t="s">
        <v>0</v>
      </c>
      <c r="C317" s="54" t="s">
        <v>133</v>
      </c>
    </row>
    <row r="318" spans="2:3">
      <c r="B318" s="53" t="s">
        <v>156</v>
      </c>
      <c r="C318" s="54" t="s">
        <v>135</v>
      </c>
    </row>
    <row r="319" spans="2:3">
      <c r="B319" s="53" t="s">
        <v>157</v>
      </c>
      <c r="C319" s="54" t="s">
        <v>137</v>
      </c>
    </row>
    <row r="320" spans="2:3">
      <c r="B320" s="53" t="s">
        <v>115</v>
      </c>
      <c r="C320" s="54" t="s">
        <v>138</v>
      </c>
    </row>
    <row r="321" spans="2:20">
      <c r="B321" s="53" t="s">
        <v>112</v>
      </c>
      <c r="C321" s="54" t="s">
        <v>139</v>
      </c>
    </row>
    <row r="322" spans="2:20">
      <c r="B322" s="53" t="s">
        <v>140</v>
      </c>
      <c r="C322" s="54" t="s">
        <v>141</v>
      </c>
    </row>
    <row r="323" spans="2:20">
      <c r="B323" s="53" t="s">
        <v>120</v>
      </c>
      <c r="C323" s="54" t="s">
        <v>285</v>
      </c>
    </row>
    <row r="324" spans="2:20">
      <c r="B324" s="53" t="s">
        <v>143</v>
      </c>
      <c r="C324" s="54" t="s">
        <v>144</v>
      </c>
    </row>
    <row r="325" spans="2:20">
      <c r="B325" s="53" t="s">
        <v>121</v>
      </c>
      <c r="C325" s="54" t="s">
        <v>145</v>
      </c>
    </row>
    <row r="326" spans="2:20">
      <c r="B326" s="53" t="s">
        <v>122</v>
      </c>
      <c r="C326" s="47" t="s">
        <v>146</v>
      </c>
    </row>
    <row r="327" spans="2:20">
      <c r="B327" s="53" t="s">
        <v>123</v>
      </c>
      <c r="C327" s="54" t="s">
        <v>286</v>
      </c>
    </row>
    <row r="328" spans="2:20">
      <c r="B328" s="53" t="s">
        <v>159</v>
      </c>
      <c r="C328" s="54" t="s">
        <v>148</v>
      </c>
    </row>
    <row r="329" spans="2:20">
      <c r="B329" s="53" t="s">
        <v>264</v>
      </c>
      <c r="C329" s="53" t="s">
        <v>272</v>
      </c>
    </row>
    <row r="332" spans="2:20">
      <c r="B332" s="586" t="s">
        <v>312</v>
      </c>
      <c r="C332" s="586"/>
      <c r="D332" s="586"/>
      <c r="E332" s="586"/>
      <c r="F332" s="586"/>
      <c r="G332" s="586"/>
      <c r="H332" s="586"/>
      <c r="I332" s="586"/>
      <c r="J332" s="586"/>
      <c r="K332" s="586"/>
      <c r="L332" s="586"/>
      <c r="M332" s="586"/>
      <c r="N332" s="586"/>
      <c r="O332" s="586"/>
      <c r="P332" s="586"/>
      <c r="Q332" s="586"/>
      <c r="R332" s="586"/>
      <c r="S332" s="586"/>
      <c r="T332" s="586"/>
    </row>
    <row r="335" spans="2:20">
      <c r="C335" s="53">
        <v>2013</v>
      </c>
    </row>
    <row r="336" spans="2:20">
      <c r="B336" s="53" t="s">
        <v>382</v>
      </c>
      <c r="C336" s="53" t="s">
        <v>290</v>
      </c>
      <c r="D336" s="53" t="s">
        <v>291</v>
      </c>
      <c r="E336" s="53" t="s">
        <v>292</v>
      </c>
      <c r="F336" s="53" t="s">
        <v>293</v>
      </c>
      <c r="G336" s="53" t="s">
        <v>294</v>
      </c>
      <c r="H336" s="53" t="s">
        <v>295</v>
      </c>
      <c r="I336" s="53" t="s">
        <v>296</v>
      </c>
      <c r="J336" s="53" t="s">
        <v>297</v>
      </c>
      <c r="K336" s="53" t="s">
        <v>298</v>
      </c>
      <c r="L336" s="53" t="s">
        <v>299</v>
      </c>
      <c r="M336" s="53" t="s">
        <v>300</v>
      </c>
      <c r="N336" s="53" t="s">
        <v>301</v>
      </c>
      <c r="O336" s="53" t="s">
        <v>381</v>
      </c>
    </row>
    <row r="337" spans="2:15">
      <c r="B337" s="53" t="s">
        <v>383</v>
      </c>
      <c r="C337" s="53" t="s">
        <v>313</v>
      </c>
      <c r="D337" s="53" t="s">
        <v>314</v>
      </c>
      <c r="E337" s="53" t="s">
        <v>315</v>
      </c>
      <c r="F337" s="53" t="s">
        <v>293</v>
      </c>
      <c r="G337" s="53" t="s">
        <v>316</v>
      </c>
      <c r="H337" s="53" t="s">
        <v>317</v>
      </c>
      <c r="I337" s="53" t="s">
        <v>318</v>
      </c>
      <c r="J337" s="53" t="s">
        <v>319</v>
      </c>
      <c r="K337" s="53" t="s">
        <v>320</v>
      </c>
      <c r="L337" s="53" t="s">
        <v>321</v>
      </c>
      <c r="M337" s="53" t="s">
        <v>322</v>
      </c>
      <c r="N337" s="53" t="s">
        <v>323</v>
      </c>
      <c r="O337" s="53" t="s">
        <v>380</v>
      </c>
    </row>
    <row r="338" spans="2:15">
      <c r="B338" s="53" t="s">
        <v>127</v>
      </c>
      <c r="C338" s="53" t="s">
        <v>1</v>
      </c>
    </row>
    <row r="339" spans="2:15">
      <c r="B339" s="53" t="s">
        <v>2</v>
      </c>
      <c r="C339" s="53" t="s">
        <v>164</v>
      </c>
    </row>
    <row r="340" spans="2:15">
      <c r="B340" s="53" t="s">
        <v>3</v>
      </c>
      <c r="C340" s="53" t="s">
        <v>4</v>
      </c>
    </row>
    <row r="341" spans="2:15">
      <c r="B341" s="53" t="s">
        <v>5</v>
      </c>
      <c r="C341" s="53" t="s">
        <v>6</v>
      </c>
    </row>
    <row r="342" spans="2:15">
      <c r="B342" s="53" t="s">
        <v>302</v>
      </c>
      <c r="C342" s="53" t="s">
        <v>8</v>
      </c>
    </row>
    <row r="343" spans="2:15">
      <c r="B343" s="53" t="s">
        <v>9</v>
      </c>
      <c r="C343" s="53" t="s">
        <v>10</v>
      </c>
    </row>
    <row r="344" spans="2:15">
      <c r="B344" s="53" t="s">
        <v>303</v>
      </c>
      <c r="C344" s="53" t="s">
        <v>13</v>
      </c>
    </row>
    <row r="345" spans="2:15">
      <c r="B345" s="53" t="s">
        <v>304</v>
      </c>
      <c r="C345" s="53" t="s">
        <v>15</v>
      </c>
    </row>
    <row r="346" spans="2:15">
      <c r="B346" s="53" t="s">
        <v>16</v>
      </c>
      <c r="C346" s="53" t="s">
        <v>17</v>
      </c>
    </row>
    <row r="347" spans="2:15">
      <c r="B347" s="53" t="s">
        <v>18</v>
      </c>
      <c r="C347" s="53" t="s">
        <v>19</v>
      </c>
    </row>
    <row r="348" spans="2:15">
      <c r="B348" s="53" t="s">
        <v>305</v>
      </c>
      <c r="C348" s="53" t="s">
        <v>21</v>
      </c>
    </row>
    <row r="349" spans="2:15">
      <c r="B349" s="53" t="s">
        <v>306</v>
      </c>
      <c r="C349" s="53" t="s">
        <v>23</v>
      </c>
    </row>
    <row r="350" spans="2:15">
      <c r="B350" s="53" t="s">
        <v>307</v>
      </c>
      <c r="C350" s="53" t="s">
        <v>25</v>
      </c>
    </row>
    <row r="351" spans="2:15">
      <c r="B351" s="53" t="s">
        <v>26</v>
      </c>
      <c r="C351" s="53" t="s">
        <v>27</v>
      </c>
    </row>
    <row r="352" spans="2:15">
      <c r="B352" s="53" t="s">
        <v>28</v>
      </c>
      <c r="C352" s="53" t="s">
        <v>29</v>
      </c>
    </row>
    <row r="353" spans="2:3">
      <c r="B353" s="53" t="s">
        <v>30</v>
      </c>
      <c r="C353" s="53" t="s">
        <v>172</v>
      </c>
    </row>
    <row r="354" spans="2:3">
      <c r="B354" s="53" t="s">
        <v>31</v>
      </c>
      <c r="C354" s="53" t="s">
        <v>32</v>
      </c>
    </row>
    <row r="355" spans="2:3">
      <c r="B355" s="53" t="s">
        <v>33</v>
      </c>
      <c r="C355" s="53" t="s">
        <v>34</v>
      </c>
    </row>
    <row r="356" spans="2:3">
      <c r="B356" s="53" t="s">
        <v>36</v>
      </c>
      <c r="C356" s="53" t="s">
        <v>37</v>
      </c>
    </row>
    <row r="357" spans="2:3">
      <c r="B357" s="53" t="s">
        <v>38</v>
      </c>
      <c r="C357" s="53" t="s">
        <v>165</v>
      </c>
    </row>
    <row r="358" spans="2:3">
      <c r="B358" s="53" t="s">
        <v>325</v>
      </c>
      <c r="C358" s="53" t="s">
        <v>40</v>
      </c>
    </row>
    <row r="359" spans="2:3">
      <c r="B359" s="53" t="s">
        <v>308</v>
      </c>
      <c r="C359" s="53" t="s">
        <v>42</v>
      </c>
    </row>
    <row r="360" spans="2:3">
      <c r="B360" s="53" t="s">
        <v>44</v>
      </c>
      <c r="C360" s="53" t="s">
        <v>45</v>
      </c>
    </row>
    <row r="361" spans="2:3">
      <c r="B361" s="53" t="s">
        <v>309</v>
      </c>
      <c r="C361" s="53" t="s">
        <v>47</v>
      </c>
    </row>
    <row r="362" spans="2:3">
      <c r="B362" s="53" t="s">
        <v>310</v>
      </c>
      <c r="C362" s="53" t="s">
        <v>166</v>
      </c>
    </row>
    <row r="363" spans="2:3">
      <c r="B363" s="53" t="s">
        <v>50</v>
      </c>
      <c r="C363" s="53" t="s">
        <v>51</v>
      </c>
    </row>
    <row r="364" spans="2:3">
      <c r="B364" s="53" t="s">
        <v>52</v>
      </c>
      <c r="C364" s="53" t="s">
        <v>53</v>
      </c>
    </row>
    <row r="365" spans="2:3">
      <c r="B365" s="53" t="s">
        <v>54</v>
      </c>
      <c r="C365" s="53" t="s">
        <v>55</v>
      </c>
    </row>
    <row r="366" spans="2:3">
      <c r="B366" s="53" t="s">
        <v>56</v>
      </c>
      <c r="C366" s="53" t="s">
        <v>57</v>
      </c>
    </row>
    <row r="367" spans="2:3">
      <c r="B367" s="53" t="s">
        <v>311</v>
      </c>
      <c r="C367" s="53" t="s">
        <v>59</v>
      </c>
    </row>
    <row r="368" spans="2:3">
      <c r="B368" s="53" t="s">
        <v>52</v>
      </c>
      <c r="C368" s="53" t="s">
        <v>53</v>
      </c>
    </row>
    <row r="369" spans="2:3">
      <c r="B369" s="49" t="s">
        <v>253</v>
      </c>
      <c r="C369" s="53" t="s">
        <v>60</v>
      </c>
    </row>
    <row r="370" spans="2:3">
      <c r="B370" s="53" t="s">
        <v>61</v>
      </c>
      <c r="C370" s="53" t="s">
        <v>337</v>
      </c>
    </row>
    <row r="371" spans="2:3">
      <c r="B371" s="53" t="s">
        <v>125</v>
      </c>
      <c r="C371" s="53" t="s">
        <v>167</v>
      </c>
    </row>
    <row r="372" spans="2:3">
      <c r="B372" s="53" t="s">
        <v>62</v>
      </c>
      <c r="C372" s="53" t="s">
        <v>338</v>
      </c>
    </row>
    <row r="373" spans="2:3">
      <c r="B373" s="53" t="s">
        <v>63</v>
      </c>
      <c r="C373" s="53" t="s">
        <v>64</v>
      </c>
    </row>
    <row r="374" spans="2:3">
      <c r="B374" s="53" t="s">
        <v>65</v>
      </c>
      <c r="C374" s="53" t="s">
        <v>66</v>
      </c>
    </row>
    <row r="375" spans="2:3">
      <c r="B375" s="53" t="s">
        <v>67</v>
      </c>
      <c r="C375" s="53" t="s">
        <v>68</v>
      </c>
    </row>
    <row r="376" spans="2:3">
      <c r="B376" s="53" t="s">
        <v>69</v>
      </c>
      <c r="C376" s="53" t="s">
        <v>70</v>
      </c>
    </row>
    <row r="377" spans="2:3">
      <c r="B377" s="53" t="s">
        <v>71</v>
      </c>
      <c r="C377" s="53" t="s">
        <v>72</v>
      </c>
    </row>
    <row r="378" spans="2:3">
      <c r="B378" s="53" t="s">
        <v>128</v>
      </c>
      <c r="C378" s="53" t="s">
        <v>176</v>
      </c>
    </row>
    <row r="379" spans="2:3">
      <c r="B379" s="53" t="s">
        <v>74</v>
      </c>
      <c r="C379" s="53" t="s">
        <v>75</v>
      </c>
    </row>
    <row r="380" spans="2:3">
      <c r="B380" s="53" t="s">
        <v>76</v>
      </c>
      <c r="C380" s="53" t="s">
        <v>77</v>
      </c>
    </row>
    <row r="381" spans="2:3">
      <c r="B381" s="53" t="s">
        <v>78</v>
      </c>
      <c r="C381" s="53" t="s">
        <v>150</v>
      </c>
    </row>
    <row r="382" spans="2:3">
      <c r="B382" s="53" t="s">
        <v>79</v>
      </c>
      <c r="C382" s="53" t="s">
        <v>80</v>
      </c>
    </row>
    <row r="383" spans="2:3">
      <c r="B383" s="53" t="s">
        <v>81</v>
      </c>
      <c r="C383" s="53" t="s">
        <v>82</v>
      </c>
    </row>
    <row r="384" spans="2:3">
      <c r="B384" s="53" t="s">
        <v>83</v>
      </c>
      <c r="C384" s="53" t="s">
        <v>84</v>
      </c>
    </row>
    <row r="385" spans="2:3">
      <c r="B385" s="53" t="s">
        <v>85</v>
      </c>
      <c r="C385" s="53" t="s">
        <v>339</v>
      </c>
    </row>
    <row r="386" spans="2:3">
      <c r="B386" s="53" t="s">
        <v>129</v>
      </c>
      <c r="C386" s="53" t="s">
        <v>177</v>
      </c>
    </row>
    <row r="387" spans="2:3">
      <c r="B387" s="53" t="s">
        <v>86</v>
      </c>
      <c r="C387" s="53" t="s">
        <v>87</v>
      </c>
    </row>
    <row r="388" spans="2:3">
      <c r="B388" s="53" t="s">
        <v>88</v>
      </c>
      <c r="C388" s="53" t="s">
        <v>89</v>
      </c>
    </row>
    <row r="389" spans="2:3">
      <c r="B389" s="53" t="s">
        <v>90</v>
      </c>
      <c r="C389" s="53" t="s">
        <v>91</v>
      </c>
    </row>
    <row r="390" spans="2:3">
      <c r="B390" s="53" t="s">
        <v>92</v>
      </c>
      <c r="C390" s="53" t="s">
        <v>93</v>
      </c>
    </row>
    <row r="391" spans="2:3">
      <c r="B391" s="53" t="s">
        <v>94</v>
      </c>
      <c r="C391" s="53" t="s">
        <v>95</v>
      </c>
    </row>
    <row r="392" spans="2:3">
      <c r="B392" s="53" t="s">
        <v>96</v>
      </c>
      <c r="C392" s="53" t="s">
        <v>97</v>
      </c>
    </row>
    <row r="393" spans="2:3">
      <c r="B393" s="53" t="s">
        <v>99</v>
      </c>
      <c r="C393" s="53" t="s">
        <v>100</v>
      </c>
    </row>
    <row r="394" spans="2:3">
      <c r="B394" s="53" t="s">
        <v>101</v>
      </c>
      <c r="C394" s="53" t="s">
        <v>102</v>
      </c>
    </row>
    <row r="395" spans="2:3">
      <c r="B395" s="53" t="s">
        <v>103</v>
      </c>
      <c r="C395" s="53" t="s">
        <v>104</v>
      </c>
    </row>
    <row r="396" spans="2:3">
      <c r="B396" s="53" t="s">
        <v>105</v>
      </c>
      <c r="C396" s="53" t="s">
        <v>106</v>
      </c>
    </row>
    <row r="397" spans="2:3">
      <c r="B397" s="53" t="s">
        <v>107</v>
      </c>
      <c r="C397" s="53" t="s">
        <v>170</v>
      </c>
    </row>
    <row r="398" spans="2:3">
      <c r="B398" s="53" t="s">
        <v>108</v>
      </c>
      <c r="C398" s="53" t="s">
        <v>171</v>
      </c>
    </row>
    <row r="399" spans="2:3">
      <c r="B399" s="53" t="s">
        <v>130</v>
      </c>
      <c r="C399" s="53" t="s">
        <v>370</v>
      </c>
    </row>
    <row r="400" spans="2:3">
      <c r="B400" s="53" t="s">
        <v>110</v>
      </c>
      <c r="C400" s="53" t="s">
        <v>111</v>
      </c>
    </row>
    <row r="401" spans="2:3">
      <c r="B401" s="53" t="s">
        <v>117</v>
      </c>
      <c r="C401" s="53" t="s">
        <v>118</v>
      </c>
    </row>
    <row r="402" spans="2:3">
      <c r="B402" s="53" t="s">
        <v>151</v>
      </c>
      <c r="C402" s="53" t="s">
        <v>174</v>
      </c>
    </row>
    <row r="403" spans="2:3">
      <c r="B403" s="53" t="s">
        <v>131</v>
      </c>
      <c r="C403" s="53" t="s">
        <v>119</v>
      </c>
    </row>
    <row r="404" spans="2:3">
      <c r="B404" s="53" t="s">
        <v>132</v>
      </c>
      <c r="C404" s="53" t="s">
        <v>175</v>
      </c>
    </row>
    <row r="405" spans="2:3">
      <c r="B405" s="53" t="s">
        <v>0</v>
      </c>
      <c r="C405" s="53" t="s">
        <v>133</v>
      </c>
    </row>
    <row r="406" spans="2:3">
      <c r="B406" s="53" t="s">
        <v>134</v>
      </c>
      <c r="C406" s="53" t="s">
        <v>135</v>
      </c>
    </row>
    <row r="407" spans="2:3">
      <c r="B407" s="53" t="s">
        <v>136</v>
      </c>
      <c r="C407" s="53" t="s">
        <v>137</v>
      </c>
    </row>
    <row r="408" spans="2:3">
      <c r="B408" s="53" t="s">
        <v>115</v>
      </c>
      <c r="C408" s="53" t="s">
        <v>138</v>
      </c>
    </row>
    <row r="409" spans="2:3">
      <c r="B409" s="53" t="s">
        <v>112</v>
      </c>
      <c r="C409" s="53" t="s">
        <v>139</v>
      </c>
    </row>
    <row r="410" spans="2:3">
      <c r="B410" s="53" t="s">
        <v>140</v>
      </c>
      <c r="C410" s="53" t="s">
        <v>141</v>
      </c>
    </row>
    <row r="411" spans="2:3">
      <c r="B411" s="53" t="s">
        <v>120</v>
      </c>
      <c r="C411" s="53" t="s">
        <v>142</v>
      </c>
    </row>
    <row r="412" spans="2:3">
      <c r="B412" s="53" t="s">
        <v>143</v>
      </c>
      <c r="C412" s="53" t="s">
        <v>144</v>
      </c>
    </row>
    <row r="413" spans="2:3">
      <c r="B413" s="53" t="s">
        <v>121</v>
      </c>
      <c r="C413" s="53" t="s">
        <v>145</v>
      </c>
    </row>
    <row r="414" spans="2:3">
      <c r="B414" s="53" t="s">
        <v>122</v>
      </c>
      <c r="C414" s="53" t="s">
        <v>146</v>
      </c>
    </row>
    <row r="415" spans="2:3">
      <c r="B415" s="53" t="s">
        <v>326</v>
      </c>
      <c r="C415" s="53" t="s">
        <v>147</v>
      </c>
    </row>
    <row r="416" spans="2:3">
      <c r="B416" s="53" t="s">
        <v>124</v>
      </c>
      <c r="C416" s="53" t="s">
        <v>148</v>
      </c>
    </row>
    <row r="417" spans="2:23">
      <c r="B417" s="53" t="s">
        <v>264</v>
      </c>
      <c r="C417" s="53" t="s">
        <v>265</v>
      </c>
    </row>
    <row r="420" spans="2:23">
      <c r="B420" s="586" t="s">
        <v>384</v>
      </c>
      <c r="C420" s="589"/>
      <c r="D420" s="589"/>
      <c r="E420" s="589"/>
      <c r="F420" s="589"/>
      <c r="G420" s="589"/>
      <c r="H420" s="589"/>
      <c r="I420" s="589"/>
      <c r="J420" s="589"/>
      <c r="K420" s="589"/>
      <c r="L420" s="589"/>
      <c r="M420" s="589"/>
      <c r="N420" s="589"/>
      <c r="O420" s="589"/>
      <c r="P420" s="589"/>
      <c r="Q420" s="589"/>
      <c r="R420" s="589"/>
      <c r="S420" s="589"/>
      <c r="T420" s="589"/>
    </row>
    <row r="422" spans="2:23">
      <c r="B422" s="53" t="s">
        <v>324</v>
      </c>
    </row>
    <row r="423" spans="2:23">
      <c r="B423" s="53" t="s">
        <v>331</v>
      </c>
      <c r="O423" s="35"/>
    </row>
    <row r="425" spans="2:23">
      <c r="B425" s="53" t="s">
        <v>386</v>
      </c>
    </row>
    <row r="426" spans="2:23">
      <c r="B426" s="53" t="s">
        <v>386</v>
      </c>
    </row>
    <row r="428" spans="2:23">
      <c r="B428" s="586" t="s">
        <v>327</v>
      </c>
      <c r="C428" s="586"/>
      <c r="D428" s="586"/>
      <c r="E428" s="586"/>
      <c r="F428" s="586"/>
      <c r="G428" s="586"/>
      <c r="H428" s="586"/>
      <c r="I428" s="586"/>
      <c r="J428" s="586"/>
      <c r="K428" s="586"/>
      <c r="L428" s="586"/>
      <c r="M428" s="586"/>
      <c r="N428" s="586"/>
      <c r="O428" s="586"/>
      <c r="P428" s="586"/>
      <c r="Q428" s="586"/>
      <c r="R428" s="586"/>
      <c r="S428" s="586"/>
      <c r="T428" s="586"/>
    </row>
    <row r="430" spans="2:23">
      <c r="B430" s="53" t="s">
        <v>332</v>
      </c>
      <c r="C430" s="53" t="s">
        <v>238</v>
      </c>
      <c r="D430" s="53" t="s">
        <v>385</v>
      </c>
      <c r="E430" s="69" t="s">
        <v>387</v>
      </c>
      <c r="F430" s="69" t="s">
        <v>388</v>
      </c>
    </row>
    <row r="431" spans="2:23">
      <c r="B431" s="53" t="s">
        <v>333</v>
      </c>
      <c r="C431" s="53" t="s">
        <v>336</v>
      </c>
      <c r="D431" s="53" t="s">
        <v>385</v>
      </c>
      <c r="E431" s="69" t="s">
        <v>387</v>
      </c>
      <c r="F431" s="69" t="s">
        <v>389</v>
      </c>
      <c r="W431" s="70"/>
    </row>
    <row r="433" spans="2:20">
      <c r="B433" s="586" t="s">
        <v>342</v>
      </c>
      <c r="C433" s="586"/>
      <c r="D433" s="586"/>
      <c r="E433" s="586"/>
      <c r="F433" s="586"/>
      <c r="G433" s="586"/>
      <c r="H433" s="586"/>
      <c r="I433" s="586"/>
      <c r="J433" s="586"/>
      <c r="K433" s="586"/>
      <c r="L433" s="586"/>
      <c r="M433" s="586"/>
      <c r="N433" s="586"/>
      <c r="O433" s="586"/>
      <c r="P433" s="586"/>
      <c r="Q433" s="586"/>
      <c r="R433" s="586"/>
      <c r="S433" s="586"/>
      <c r="T433" s="586"/>
    </row>
    <row r="436" spans="2:20">
      <c r="B436" s="53" t="s">
        <v>350</v>
      </c>
      <c r="C436" s="53" t="s">
        <v>351</v>
      </c>
    </row>
    <row r="438" spans="2:20">
      <c r="B438" s="53" t="s">
        <v>343</v>
      </c>
      <c r="C438" s="53" t="s">
        <v>342</v>
      </c>
    </row>
    <row r="439" spans="2:20">
      <c r="B439" s="53" t="s">
        <v>344</v>
      </c>
      <c r="C439" s="53" t="s">
        <v>352</v>
      </c>
    </row>
    <row r="440" spans="2:20">
      <c r="B440" s="53" t="s">
        <v>345</v>
      </c>
      <c r="C440" s="53" t="s">
        <v>353</v>
      </c>
    </row>
    <row r="442" spans="2:20">
      <c r="B442" s="53" t="s">
        <v>354</v>
      </c>
      <c r="C442" s="53" t="s">
        <v>346</v>
      </c>
      <c r="D442" s="53" t="s">
        <v>347</v>
      </c>
      <c r="E442" s="53" t="s">
        <v>348</v>
      </c>
      <c r="F442" s="53" t="s">
        <v>349</v>
      </c>
    </row>
    <row r="443" spans="2:20">
      <c r="B443" s="53" t="s">
        <v>355</v>
      </c>
      <c r="C443" s="53" t="s">
        <v>356</v>
      </c>
      <c r="D443" s="53" t="s">
        <v>357</v>
      </c>
      <c r="E443" s="53" t="s">
        <v>358</v>
      </c>
      <c r="F443" s="53" t="s">
        <v>359</v>
      </c>
    </row>
    <row r="444" spans="2:20">
      <c r="B444" s="53" t="s">
        <v>360</v>
      </c>
    </row>
    <row r="445" spans="2:20">
      <c r="B445" s="53" t="s">
        <v>361</v>
      </c>
    </row>
  </sheetData>
  <mergeCells count="21">
    <mergeCell ref="B3:C3"/>
    <mergeCell ref="F42:H42"/>
    <mergeCell ref="B52:B59"/>
    <mergeCell ref="M42:P42"/>
    <mergeCell ref="J40:L40"/>
    <mergeCell ref="B37:T37"/>
    <mergeCell ref="F40:H40"/>
    <mergeCell ref="D52:D59"/>
    <mergeCell ref="J42:L42"/>
    <mergeCell ref="B40:C41"/>
    <mergeCell ref="B42:B51"/>
    <mergeCell ref="M40:P40"/>
    <mergeCell ref="B433:T433"/>
    <mergeCell ref="B428:T428"/>
    <mergeCell ref="B332:T332"/>
    <mergeCell ref="D40:E41"/>
    <mergeCell ref="D42:D51"/>
    <mergeCell ref="B420:T420"/>
    <mergeCell ref="B254:T254"/>
    <mergeCell ref="B62:T62"/>
    <mergeCell ref="B155:T15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3:N49"/>
  <sheetViews>
    <sheetView zoomScaleNormal="100" workbookViewId="0">
      <selection activeCell="P7" sqref="P7"/>
    </sheetView>
  </sheetViews>
  <sheetFormatPr defaultColWidth="8.85546875" defaultRowHeight="15"/>
  <cols>
    <col min="1" max="1" width="8.140625" style="423" customWidth="1"/>
    <col min="2" max="2" width="11.140625" style="423" customWidth="1"/>
    <col min="3" max="3" width="33.42578125" style="423" customWidth="1"/>
    <col min="4" max="8" width="8.85546875" style="423"/>
    <col min="9" max="9" width="13.42578125" style="423" customWidth="1"/>
    <col min="10" max="10" width="9.140625" style="423" customWidth="1"/>
    <col min="11" max="11" width="0.140625" style="423" customWidth="1"/>
    <col min="12" max="16384" width="8.85546875" style="423"/>
  </cols>
  <sheetData>
    <row r="3" spans="3:14" ht="15.75">
      <c r="C3" s="536" t="s">
        <v>477</v>
      </c>
      <c r="D3" s="537"/>
      <c r="E3" s="537"/>
      <c r="F3" s="537"/>
      <c r="G3" s="537"/>
      <c r="H3" s="537"/>
      <c r="I3" s="537"/>
    </row>
    <row r="4" spans="3:14" ht="44.25" customHeight="1">
      <c r="D4" s="423">
        <v>2017</v>
      </c>
      <c r="E4" s="423">
        <v>2018</v>
      </c>
      <c r="F4" s="423">
        <v>2019</v>
      </c>
      <c r="G4" s="423">
        <v>2020</v>
      </c>
      <c r="H4" s="423">
        <v>2021</v>
      </c>
      <c r="I4" s="437" t="s">
        <v>476</v>
      </c>
    </row>
    <row r="5" spans="3:14" ht="27.75" customHeight="1">
      <c r="C5" s="438" t="s">
        <v>475</v>
      </c>
      <c r="I5" s="437"/>
    </row>
    <row r="6" spans="3:14" ht="35.25" customHeight="1">
      <c r="C6" s="439" t="s">
        <v>474</v>
      </c>
      <c r="D6" s="439">
        <v>12</v>
      </c>
      <c r="E6" s="439">
        <v>0</v>
      </c>
      <c r="F6" s="439">
        <v>0</v>
      </c>
      <c r="G6" s="439">
        <v>0</v>
      </c>
      <c r="H6" s="439">
        <v>0</v>
      </c>
      <c r="I6" s="423">
        <f>SUM(D6:H6)</f>
        <v>12</v>
      </c>
      <c r="K6" s="423">
        <f>SUM(396/3805*100)</f>
        <v>10.407358738501971</v>
      </c>
    </row>
    <row r="7" spans="3:14" ht="18" customHeight="1">
      <c r="C7" s="423" t="s">
        <v>473</v>
      </c>
      <c r="D7" s="423">
        <v>15</v>
      </c>
      <c r="E7" s="423">
        <v>-3</v>
      </c>
      <c r="F7" s="423">
        <v>-2</v>
      </c>
      <c r="G7" s="423">
        <v>0</v>
      </c>
      <c r="H7" s="423">
        <v>0</v>
      </c>
      <c r="I7" s="423">
        <f>SUM(D7:H7)</f>
        <v>10</v>
      </c>
    </row>
    <row r="8" spans="3:14" ht="18" customHeight="1">
      <c r="C8" s="435" t="s">
        <v>478</v>
      </c>
      <c r="D8" s="423">
        <v>-1.2</v>
      </c>
      <c r="E8" s="436"/>
      <c r="F8" s="436"/>
      <c r="G8" s="436"/>
      <c r="H8" s="436"/>
    </row>
    <row r="9" spans="3:14" ht="18" customHeight="1">
      <c r="C9" s="435" t="s">
        <v>479</v>
      </c>
      <c r="D9" s="423">
        <v>1.5</v>
      </c>
      <c r="I9" s="423">
        <f>SUM(D9:H9)</f>
        <v>1.5</v>
      </c>
    </row>
    <row r="10" spans="3:14" ht="18" customHeight="1">
      <c r="C10" s="440" t="s">
        <v>472</v>
      </c>
      <c r="D10" s="439">
        <v>32</v>
      </c>
      <c r="E10" s="439">
        <v>0</v>
      </c>
      <c r="F10" s="439">
        <v>0</v>
      </c>
      <c r="G10" s="439">
        <v>0</v>
      </c>
      <c r="H10" s="439">
        <v>0</v>
      </c>
      <c r="I10" s="423">
        <f>SUM(D10:H10)</f>
        <v>32</v>
      </c>
    </row>
    <row r="11" spans="3:14" ht="18" customHeight="1">
      <c r="C11" s="435" t="s">
        <v>471</v>
      </c>
      <c r="D11" s="423">
        <v>0</v>
      </c>
      <c r="E11" s="423">
        <v>10</v>
      </c>
      <c r="F11" s="423">
        <v>2</v>
      </c>
      <c r="G11" s="423">
        <v>5</v>
      </c>
      <c r="H11" s="423">
        <v>5</v>
      </c>
      <c r="I11" s="423">
        <f>SUM(D11:H11)</f>
        <v>22</v>
      </c>
    </row>
    <row r="12" spans="3:14" ht="18" customHeight="1">
      <c r="C12" s="435"/>
    </row>
    <row r="13" spans="3:14" ht="18" customHeight="1">
      <c r="C13" s="432" t="s">
        <v>470</v>
      </c>
      <c r="D13" s="441">
        <f>SUM(D6:D11)</f>
        <v>59.3</v>
      </c>
      <c r="E13" s="441">
        <f t="shared" ref="E13:H13" si="0">SUM(E6:E11)</f>
        <v>7</v>
      </c>
      <c r="F13" s="441">
        <f t="shared" si="0"/>
        <v>0</v>
      </c>
      <c r="G13" s="441">
        <f t="shared" si="0"/>
        <v>5</v>
      </c>
      <c r="H13" s="441">
        <f t="shared" si="0"/>
        <v>5</v>
      </c>
      <c r="I13" s="423">
        <f>SUM(D13:H13)</f>
        <v>76.3</v>
      </c>
      <c r="N13" s="423">
        <v>1</v>
      </c>
    </row>
    <row r="14" spans="3:14" ht="18" customHeight="1">
      <c r="C14" s="432"/>
      <c r="D14" s="434"/>
      <c r="E14" s="434"/>
      <c r="F14" s="434"/>
      <c r="G14" s="434"/>
      <c r="H14" s="434"/>
    </row>
    <row r="15" spans="3:14" ht="18" customHeight="1">
      <c r="C15" s="433" t="s">
        <v>469</v>
      </c>
    </row>
    <row r="16" spans="3:14" ht="34.5" customHeight="1">
      <c r="E16" s="423">
        <v>0</v>
      </c>
      <c r="F16" s="423">
        <v>0</v>
      </c>
      <c r="G16" s="423">
        <v>0</v>
      </c>
      <c r="H16" s="423">
        <v>0</v>
      </c>
      <c r="I16" s="423">
        <f>SUM(D16:H16)</f>
        <v>0</v>
      </c>
    </row>
    <row r="17" spans="2:11" ht="18" customHeight="1">
      <c r="C17" s="423" t="s">
        <v>468</v>
      </c>
      <c r="D17" s="423">
        <v>12.5</v>
      </c>
      <c r="E17" s="423">
        <v>5</v>
      </c>
      <c r="F17" s="423">
        <v>0</v>
      </c>
      <c r="G17" s="423">
        <v>0</v>
      </c>
      <c r="H17" s="423">
        <v>0</v>
      </c>
      <c r="I17" s="423">
        <f>SUM(D17:H17)</f>
        <v>17.5</v>
      </c>
    </row>
    <row r="18" spans="2:11" ht="18" customHeight="1">
      <c r="B18" s="423" t="s">
        <v>467</v>
      </c>
      <c r="C18" s="423" t="s">
        <v>466</v>
      </c>
      <c r="D18" s="423">
        <v>0</v>
      </c>
      <c r="E18" s="423">
        <v>0</v>
      </c>
      <c r="F18" s="423">
        <v>0</v>
      </c>
      <c r="G18" s="423">
        <v>0</v>
      </c>
      <c r="H18" s="423">
        <v>0</v>
      </c>
      <c r="I18" s="423">
        <f>SUM(D18:H18)</f>
        <v>0</v>
      </c>
    </row>
    <row r="19" spans="2:11" ht="18" customHeight="1">
      <c r="C19" s="423" t="s">
        <v>465</v>
      </c>
      <c r="D19" s="423">
        <v>10</v>
      </c>
      <c r="E19" s="423">
        <v>-2</v>
      </c>
      <c r="F19" s="423">
        <v>-2</v>
      </c>
      <c r="G19" s="423">
        <v>0</v>
      </c>
      <c r="H19" s="423">
        <v>0</v>
      </c>
      <c r="I19" s="423">
        <f>SUM(D19:H19)</f>
        <v>6</v>
      </c>
    </row>
    <row r="20" spans="2:11" ht="18" customHeight="1">
      <c r="C20" s="423" t="s">
        <v>464</v>
      </c>
      <c r="D20" s="423">
        <v>4.2</v>
      </c>
      <c r="E20" s="423">
        <v>0</v>
      </c>
      <c r="F20" s="423">
        <v>5</v>
      </c>
      <c r="G20" s="423">
        <v>0</v>
      </c>
      <c r="H20" s="423">
        <v>0</v>
      </c>
      <c r="I20" s="423">
        <f>SUM(D20:H20)</f>
        <v>9.1999999999999993</v>
      </c>
    </row>
    <row r="21" spans="2:11" ht="18" customHeight="1">
      <c r="C21" s="423" t="s">
        <v>478</v>
      </c>
      <c r="D21" s="423">
        <v>2.8</v>
      </c>
    </row>
    <row r="22" spans="2:11" ht="18" customHeight="1">
      <c r="C22" s="432" t="s">
        <v>463</v>
      </c>
      <c r="D22" s="431">
        <f>SUM(D17:D21)</f>
        <v>29.5</v>
      </c>
      <c r="E22" s="431">
        <f>SUM(E16:E20)</f>
        <v>3</v>
      </c>
      <c r="F22" s="431">
        <f>SUM(F16:F20)</f>
        <v>3</v>
      </c>
      <c r="G22" s="431">
        <f>SUM(G16:G20)</f>
        <v>0</v>
      </c>
      <c r="H22" s="431">
        <f>SUM(H16:H20)</f>
        <v>0</v>
      </c>
    </row>
    <row r="23" spans="2:11" ht="18" customHeight="1"/>
    <row r="24" spans="2:11" ht="18" customHeight="1">
      <c r="C24" s="429" t="s">
        <v>462</v>
      </c>
      <c r="D24" s="430">
        <f>SUM(D22+D13)</f>
        <v>88.8</v>
      </c>
      <c r="E24" s="430">
        <f>SUM(E22+E13)</f>
        <v>10</v>
      </c>
      <c r="F24" s="430">
        <f>SUM(F22+F13)</f>
        <v>3</v>
      </c>
      <c r="G24" s="430">
        <f>SUM(G22+G13)</f>
        <v>5</v>
      </c>
      <c r="H24" s="430">
        <f>SUM(H22+H13)</f>
        <v>5</v>
      </c>
    </row>
    <row r="25" spans="2:11" ht="15.75" thickBot="1">
      <c r="C25" s="423" t="s">
        <v>461</v>
      </c>
      <c r="D25" s="429">
        <v>3979.5</v>
      </c>
      <c r="E25" s="423">
        <v>4212.3</v>
      </c>
      <c r="F25" s="423">
        <v>4352</v>
      </c>
      <c r="G25" s="423">
        <v>4486</v>
      </c>
      <c r="H25" s="423">
        <v>4675</v>
      </c>
    </row>
    <row r="26" spans="2:11" ht="15.75" thickBot="1">
      <c r="C26" s="423" t="s">
        <v>460</v>
      </c>
      <c r="D26" s="428">
        <f>SUM(D24/D25)</f>
        <v>2.2314361100640782E-2</v>
      </c>
      <c r="E26" s="428">
        <f>SUM(E24/E25)</f>
        <v>2.3739999525200007E-3</v>
      </c>
      <c r="F26" s="428">
        <f>SUM(F24/F25)</f>
        <v>6.8933823529411769E-4</v>
      </c>
      <c r="G26" s="428">
        <f>SUM(G24/G25)</f>
        <v>1.1145786892554615E-3</v>
      </c>
      <c r="H26" s="428">
        <f>SUM(H24/H25)</f>
        <v>1.0695187165775401E-3</v>
      </c>
      <c r="I26" s="427">
        <f>SUM(D26:H26)</f>
        <v>2.7561796694287904E-2</v>
      </c>
    </row>
    <row r="27" spans="2:11" ht="25.5" customHeight="1">
      <c r="C27" s="424" t="s">
        <v>459</v>
      </c>
      <c r="D27" s="535" t="s">
        <v>458</v>
      </c>
      <c r="E27" s="535"/>
      <c r="F27" s="535"/>
      <c r="G27" s="535"/>
      <c r="H27" s="535"/>
      <c r="I27" s="535"/>
      <c r="J27" s="535"/>
      <c r="K27" s="535"/>
    </row>
    <row r="28" spans="2:11" ht="15" customHeight="1">
      <c r="C28" s="424"/>
      <c r="D28" s="538" t="s">
        <v>457</v>
      </c>
      <c r="E28" s="538"/>
      <c r="F28" s="538"/>
      <c r="G28" s="538"/>
      <c r="H28" s="538"/>
      <c r="I28" s="538"/>
      <c r="J28" s="426"/>
      <c r="K28" s="424"/>
    </row>
    <row r="29" spans="2:11" ht="15" customHeight="1">
      <c r="C29" s="424"/>
      <c r="D29" s="535" t="s">
        <v>456</v>
      </c>
      <c r="E29" s="535"/>
      <c r="F29" s="535"/>
      <c r="G29" s="535"/>
      <c r="H29" s="535"/>
      <c r="I29" s="535"/>
      <c r="J29" s="535"/>
      <c r="K29" s="424"/>
    </row>
    <row r="30" spans="2:11" ht="15" customHeight="1">
      <c r="C30" s="424"/>
      <c r="D30" s="535" t="s">
        <v>455</v>
      </c>
      <c r="E30" s="535"/>
      <c r="F30" s="535"/>
      <c r="G30" s="535"/>
      <c r="H30" s="535"/>
      <c r="I30" s="535"/>
      <c r="J30" s="424"/>
      <c r="K30" s="424"/>
    </row>
    <row r="31" spans="2:11" ht="15" customHeight="1">
      <c r="C31" s="424"/>
      <c r="D31" s="535" t="s">
        <v>454</v>
      </c>
      <c r="E31" s="535"/>
      <c r="F31" s="535"/>
      <c r="G31" s="535"/>
      <c r="H31" s="535"/>
      <c r="I31" s="535"/>
      <c r="J31" s="424"/>
      <c r="K31" s="424"/>
    </row>
    <row r="32" spans="2:11" ht="15" customHeight="1">
      <c r="C32" s="424"/>
      <c r="D32" s="535" t="s">
        <v>453</v>
      </c>
      <c r="E32" s="535"/>
      <c r="F32" s="535"/>
      <c r="G32" s="535"/>
      <c r="H32" s="535"/>
      <c r="I32" s="535"/>
      <c r="J32" s="424"/>
      <c r="K32" s="424"/>
    </row>
    <row r="33" spans="3:11" ht="15" customHeight="1">
      <c r="C33" s="424"/>
      <c r="D33" s="535" t="s">
        <v>452</v>
      </c>
      <c r="E33" s="535"/>
      <c r="F33" s="535"/>
      <c r="G33" s="535"/>
      <c r="H33" s="535"/>
      <c r="I33" s="535"/>
      <c r="J33" s="424"/>
      <c r="K33" s="424"/>
    </row>
    <row r="34" spans="3:11" ht="15" customHeight="1">
      <c r="C34" s="424"/>
      <c r="D34" s="535" t="s">
        <v>451</v>
      </c>
      <c r="E34" s="535"/>
      <c r="F34" s="535"/>
      <c r="G34" s="535"/>
      <c r="H34" s="535"/>
      <c r="I34" s="535"/>
      <c r="J34" s="424"/>
      <c r="K34" s="424"/>
    </row>
    <row r="35" spans="3:11" ht="15" customHeight="1">
      <c r="C35" s="424"/>
      <c r="D35" s="535" t="s">
        <v>450</v>
      </c>
      <c r="E35" s="535"/>
      <c r="F35" s="535"/>
      <c r="G35" s="535"/>
      <c r="H35" s="535"/>
      <c r="I35" s="535"/>
      <c r="J35" s="424"/>
      <c r="K35" s="424"/>
    </row>
    <row r="36" spans="3:11" ht="15" customHeight="1">
      <c r="C36" s="424"/>
      <c r="D36" s="535" t="s">
        <v>449</v>
      </c>
      <c r="E36" s="535"/>
      <c r="F36" s="535"/>
      <c r="G36" s="535"/>
      <c r="H36" s="535"/>
      <c r="I36" s="535"/>
      <c r="J36" s="424"/>
      <c r="K36" s="424"/>
    </row>
    <row r="37" spans="3:11" ht="15" customHeight="1">
      <c r="C37" s="424"/>
      <c r="D37" s="535" t="s">
        <v>448</v>
      </c>
      <c r="E37" s="535"/>
      <c r="F37" s="535"/>
      <c r="G37" s="535"/>
      <c r="H37" s="535"/>
      <c r="I37" s="535"/>
      <c r="J37" s="424"/>
      <c r="K37" s="424"/>
    </row>
    <row r="38" spans="3:11" ht="15" customHeight="1">
      <c r="C38" s="424"/>
      <c r="D38" s="535" t="s">
        <v>447</v>
      </c>
      <c r="E38" s="535"/>
      <c r="F38" s="535"/>
      <c r="G38" s="535"/>
      <c r="H38" s="535"/>
      <c r="I38" s="535"/>
      <c r="J38" s="424"/>
      <c r="K38" s="424"/>
    </row>
    <row r="39" spans="3:11" ht="15" customHeight="1">
      <c r="C39" s="424"/>
      <c r="D39" s="535" t="s">
        <v>446</v>
      </c>
      <c r="E39" s="535"/>
      <c r="F39" s="535"/>
      <c r="G39" s="535"/>
      <c r="H39" s="535"/>
      <c r="I39" s="535"/>
      <c r="J39" s="424"/>
      <c r="K39" s="424"/>
    </row>
    <row r="40" spans="3:11" ht="15" customHeight="1">
      <c r="C40" s="424"/>
      <c r="D40" s="535" t="s">
        <v>442</v>
      </c>
      <c r="E40" s="535"/>
      <c r="F40" s="535"/>
      <c r="G40" s="535"/>
      <c r="H40" s="535"/>
      <c r="I40" s="535"/>
      <c r="J40" s="424"/>
      <c r="K40" s="424"/>
    </row>
    <row r="41" spans="3:11" ht="15" customHeight="1">
      <c r="C41" s="424"/>
      <c r="D41" s="535" t="s">
        <v>445</v>
      </c>
      <c r="E41" s="535"/>
      <c r="F41" s="535"/>
      <c r="G41" s="535"/>
      <c r="H41" s="535"/>
      <c r="I41" s="535"/>
      <c r="J41" s="424"/>
      <c r="K41" s="424"/>
    </row>
    <row r="42" spans="3:11" ht="15" customHeight="1">
      <c r="C42" s="424"/>
      <c r="D42" s="535"/>
      <c r="E42" s="535"/>
      <c r="F42" s="535"/>
      <c r="G42" s="535"/>
      <c r="H42" s="535"/>
      <c r="I42" s="535"/>
      <c r="J42" s="424"/>
      <c r="K42" s="424"/>
    </row>
    <row r="43" spans="3:11" ht="25.5" customHeight="1">
      <c r="C43" s="424" t="s">
        <v>444</v>
      </c>
      <c r="D43" s="535" t="s">
        <v>443</v>
      </c>
      <c r="E43" s="535"/>
      <c r="F43" s="535"/>
      <c r="G43" s="535"/>
      <c r="H43" s="535"/>
      <c r="I43" s="535"/>
      <c r="J43" s="424"/>
      <c r="K43" s="424"/>
    </row>
    <row r="44" spans="3:11" ht="15.75" customHeight="1">
      <c r="C44" s="424"/>
      <c r="D44" s="535" t="s">
        <v>442</v>
      </c>
      <c r="E44" s="535"/>
      <c r="F44" s="535"/>
      <c r="G44" s="535"/>
      <c r="H44" s="535"/>
      <c r="I44" s="535"/>
      <c r="J44" s="424"/>
      <c r="K44" s="424"/>
    </row>
    <row r="45" spans="3:11" ht="15.75" customHeight="1">
      <c r="C45" s="424"/>
      <c r="D45" s="535" t="s">
        <v>441</v>
      </c>
      <c r="E45" s="535"/>
      <c r="F45" s="535"/>
      <c r="G45" s="535"/>
      <c r="H45" s="535"/>
      <c r="I45" s="535"/>
      <c r="J45" s="424"/>
      <c r="K45" s="424"/>
    </row>
    <row r="46" spans="3:11" ht="15.75" customHeight="1">
      <c r="C46" s="424"/>
      <c r="D46" s="425"/>
      <c r="E46" s="425"/>
      <c r="F46" s="425"/>
      <c r="G46" s="425"/>
      <c r="H46" s="425"/>
      <c r="I46" s="425"/>
      <c r="J46" s="424"/>
      <c r="K46" s="424"/>
    </row>
    <row r="47" spans="3:11" ht="25.5" customHeight="1">
      <c r="C47" s="424" t="s">
        <v>440</v>
      </c>
      <c r="D47" s="539" t="s">
        <v>439</v>
      </c>
      <c r="E47" s="539"/>
      <c r="F47" s="539"/>
      <c r="G47" s="539"/>
      <c r="H47" s="539"/>
      <c r="I47" s="539"/>
      <c r="J47" s="424"/>
      <c r="K47" s="424"/>
    </row>
    <row r="48" spans="3:11" ht="25.5" customHeight="1">
      <c r="C48" s="424" t="s">
        <v>438</v>
      </c>
      <c r="D48" s="539"/>
      <c r="E48" s="539"/>
      <c r="F48" s="539"/>
      <c r="G48" s="539"/>
      <c r="H48" s="539"/>
      <c r="I48" s="539"/>
      <c r="J48" s="424"/>
      <c r="K48" s="424"/>
    </row>
    <row r="49" spans="3:11" ht="25.5" customHeight="1">
      <c r="C49" s="424" t="s">
        <v>437</v>
      </c>
      <c r="D49" s="539"/>
      <c r="E49" s="539"/>
      <c r="F49" s="539"/>
      <c r="G49" s="539"/>
      <c r="H49" s="539"/>
      <c r="I49" s="539"/>
      <c r="J49" s="424"/>
      <c r="K49" s="424"/>
    </row>
  </sheetData>
  <mergeCells count="21">
    <mergeCell ref="D45:I45"/>
    <mergeCell ref="D47:I49"/>
    <mergeCell ref="D43:I43"/>
    <mergeCell ref="D42:I42"/>
    <mergeCell ref="D35:I35"/>
    <mergeCell ref="D36:I36"/>
    <mergeCell ref="D37:I37"/>
    <mergeCell ref="D38:I38"/>
    <mergeCell ref="D39:I39"/>
    <mergeCell ref="D44:I44"/>
    <mergeCell ref="D41:I41"/>
    <mergeCell ref="D40:I40"/>
    <mergeCell ref="D31:I31"/>
    <mergeCell ref="D32:I32"/>
    <mergeCell ref="D33:I33"/>
    <mergeCell ref="D34:I34"/>
    <mergeCell ref="C3:I3"/>
    <mergeCell ref="D27:K27"/>
    <mergeCell ref="D29:J29"/>
    <mergeCell ref="D28:I28"/>
    <mergeCell ref="D30:I30"/>
  </mergeCells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I47"/>
  <sheetViews>
    <sheetView workbookViewId="0">
      <selection activeCell="A21" sqref="A21"/>
    </sheetView>
  </sheetViews>
  <sheetFormatPr defaultRowHeight="12.75"/>
  <cols>
    <col min="2" max="2" width="9.140625" customWidth="1"/>
    <col min="3" max="3" width="48.5703125" customWidth="1"/>
    <col min="4" max="4" width="9.140625" hidden="1" customWidth="1"/>
    <col min="5" max="5" width="10.7109375" customWidth="1"/>
    <col min="6" max="6" width="10.140625" customWidth="1"/>
    <col min="7" max="7" width="11" customWidth="1"/>
    <col min="8" max="8" width="10.140625" customWidth="1"/>
    <col min="9" max="9" width="11" customWidth="1"/>
  </cols>
  <sheetData>
    <row r="2" spans="2:9"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</row>
    <row r="3" spans="2:9">
      <c r="C3" t="s">
        <v>406</v>
      </c>
      <c r="D3" s="159">
        <v>0.89999999999999147</v>
      </c>
      <c r="E3" s="159">
        <v>1.5</v>
      </c>
      <c r="F3" s="159">
        <v>0.7</v>
      </c>
      <c r="G3" s="159">
        <v>0.4</v>
      </c>
      <c r="H3" s="159">
        <v>0.3</v>
      </c>
      <c r="I3" s="159">
        <v>0.7</v>
      </c>
    </row>
    <row r="4" spans="2:9">
      <c r="C4" t="s">
        <v>407</v>
      </c>
      <c r="D4" s="159">
        <v>1</v>
      </c>
      <c r="E4" s="159">
        <v>2.1</v>
      </c>
      <c r="F4" s="159">
        <v>1.7</v>
      </c>
      <c r="G4" s="159">
        <v>1.7</v>
      </c>
      <c r="H4" s="159">
        <v>1.8</v>
      </c>
      <c r="I4" s="159">
        <v>2</v>
      </c>
    </row>
    <row r="5" spans="2:9">
      <c r="D5" s="159"/>
      <c r="E5" s="159"/>
      <c r="F5" s="159"/>
      <c r="G5" s="159"/>
      <c r="H5" s="159"/>
      <c r="I5" s="159"/>
    </row>
    <row r="6" spans="2:9">
      <c r="C6" t="s">
        <v>408</v>
      </c>
      <c r="D6" s="160">
        <v>4.0999999999999996</v>
      </c>
      <c r="E6" s="160">
        <v>7.1</v>
      </c>
      <c r="F6" s="160">
        <v>4.5999999999999996</v>
      </c>
      <c r="G6" s="160">
        <v>4</v>
      </c>
      <c r="H6" s="160">
        <v>3</v>
      </c>
      <c r="I6" s="160">
        <v>4.5999999999999996</v>
      </c>
    </row>
    <row r="7" spans="2:9">
      <c r="C7" t="s">
        <v>409</v>
      </c>
      <c r="D7" s="160">
        <v>2.5</v>
      </c>
      <c r="E7" s="160">
        <v>4.4000000000000004</v>
      </c>
      <c r="F7" s="160">
        <v>3</v>
      </c>
      <c r="G7" s="160">
        <v>2.8</v>
      </c>
      <c r="H7" s="160">
        <v>2.1</v>
      </c>
      <c r="I7" s="160">
        <v>3</v>
      </c>
    </row>
    <row r="8" spans="2:9">
      <c r="C8" t="s">
        <v>500</v>
      </c>
      <c r="D8" s="160">
        <v>1.6</v>
      </c>
      <c r="E8" s="160">
        <v>2.5</v>
      </c>
      <c r="F8" s="160">
        <v>2.6</v>
      </c>
      <c r="G8" s="160">
        <v>1.9</v>
      </c>
      <c r="H8" s="160">
        <v>1.5</v>
      </c>
      <c r="I8" s="160">
        <v>2</v>
      </c>
    </row>
    <row r="11" spans="2:9" ht="13.5" thickBot="1"/>
    <row r="12" spans="2:9" ht="16.5" thickTop="1" thickBot="1">
      <c r="B12" s="151"/>
      <c r="C12" s="540" t="s">
        <v>414</v>
      </c>
      <c r="D12" s="152" t="s">
        <v>410</v>
      </c>
      <c r="E12" s="166" t="s">
        <v>411</v>
      </c>
      <c r="F12" s="166" t="s">
        <v>412</v>
      </c>
      <c r="G12" s="166" t="s">
        <v>413</v>
      </c>
      <c r="H12" s="166" t="s">
        <v>421</v>
      </c>
      <c r="I12" s="166" t="s">
        <v>422</v>
      </c>
    </row>
    <row r="13" spans="2:9" ht="14.25" thickTop="1" thickBot="1">
      <c r="B13" s="150"/>
      <c r="C13" s="541">
        <f>IF([1]MasterSheet!$A$1=1,[1]MasterSheet!B69,[1]MasterSheet!B68)</f>
        <v>0</v>
      </c>
      <c r="D13" s="75" t="s">
        <v>405</v>
      </c>
      <c r="E13" s="167" t="s">
        <v>415</v>
      </c>
      <c r="F13" s="167" t="str">
        <f>+E13</f>
        <v>mil.€</v>
      </c>
      <c r="G13" s="167" t="str">
        <f>+F13</f>
        <v>mil.€</v>
      </c>
      <c r="H13" s="167" t="str">
        <f>+G13</f>
        <v>mil.€</v>
      </c>
      <c r="I13" s="167" t="str">
        <f>+H13</f>
        <v>mil.€</v>
      </c>
    </row>
    <row r="14" spans="2:9" ht="14.25" thickTop="1" thickBot="1">
      <c r="B14" s="150"/>
      <c r="C14" s="153" t="str">
        <f>IF([1]MasterSheet!$A$1=1,[1]MasterSheet!C70,[1]MasterSheet!B70)</f>
        <v>Budžet Crne Gore</v>
      </c>
      <c r="D14" s="165" t="e">
        <f>#REF!+D22+D27+D32+D39+#REF!+D47</f>
        <v>#REF!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</row>
    <row r="15" spans="2:9" ht="13.5" thickTop="1">
      <c r="B15" s="150">
        <v>7111</v>
      </c>
      <c r="C15" s="154" t="str">
        <f>IF([1]MasterSheet!$A$1=1,[1]MasterSheet!C72,[1]MasterSheet!B72)</f>
        <v>Izvorni prihodi</v>
      </c>
      <c r="D15" s="157">
        <f>+(1+$D$5/100)*(1+$D$6/100)*100-100</f>
        <v>4.0999999999999943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</row>
    <row r="16" spans="2:9">
      <c r="B16" s="150">
        <v>7112</v>
      </c>
      <c r="C16" s="154" t="str">
        <f>IF([1]MasterSheet!$A$1=1,[1]MasterSheet!C73,[1]MasterSheet!B73)</f>
        <v>Porezi</v>
      </c>
      <c r="D16" s="157"/>
      <c r="E16" s="157">
        <v>0</v>
      </c>
      <c r="F16" s="157">
        <v>0</v>
      </c>
      <c r="G16" s="157">
        <v>0</v>
      </c>
      <c r="H16" s="157">
        <v>0</v>
      </c>
      <c r="I16" s="157">
        <v>0</v>
      </c>
    </row>
    <row r="17" spans="2:9">
      <c r="B17" s="150">
        <v>7113</v>
      </c>
      <c r="C17" s="156" t="str">
        <f>IF([1]MasterSheet!$A$1=1,[1]MasterSheet!C74,[1]MasterSheet!B74)</f>
        <v>Porez na dohodak fizičkih lica</v>
      </c>
      <c r="D17" s="157">
        <f>+(1+$D$10/100)*100-100+0.04</f>
        <v>0.04</v>
      </c>
      <c r="E17" s="157">
        <f>+(1+E3/100)*(1+E4/100)*100-100</f>
        <v>3.6314999999999884</v>
      </c>
      <c r="F17" s="157">
        <f>+(1+F3/100)*(1+F4/100)*100-100</f>
        <v>2.4118999999999744</v>
      </c>
      <c r="G17" s="157">
        <f>+(1+G3/100)*(1+G4/100)*100-100</f>
        <v>2.1067999999999927</v>
      </c>
      <c r="H17" s="157">
        <f>+(1+H3/100)*(1+H4/100)*100-100</f>
        <v>2.1053999999999888</v>
      </c>
      <c r="I17" s="157">
        <f>+(1+I3/100)*(1+I4/100)*100-100</f>
        <v>2.7139999999999986</v>
      </c>
    </row>
    <row r="18" spans="2:9">
      <c r="B18" s="150">
        <v>7114</v>
      </c>
      <c r="C18" s="156" t="str">
        <f>IF([1]MasterSheet!$A$1=1,[1]MasterSheet!C75,[1]MasterSheet!B75)</f>
        <v>Porez na dobit pravnih lica</v>
      </c>
      <c r="D18" s="157">
        <f>+(1+$D$9*0.5/100)*(1+$D$10/100)*100-100+0.01</f>
        <v>0.01</v>
      </c>
      <c r="E18" s="157">
        <f>+(1+D7*0.5/100)*(1+D8/100)*100-100</f>
        <v>2.8699999999999903</v>
      </c>
      <c r="F18" s="157">
        <f>+(1+E7*0.5/100)*(1+E8/100)*100-100</f>
        <v>4.7549999999999955</v>
      </c>
      <c r="G18" s="157">
        <f>+(1+F7*0.5/100)*(1+F8/100)*100-100</f>
        <v>4.1389999999999816</v>
      </c>
      <c r="H18" s="157">
        <f>+(1+G7*0.5/100)*(1+G8/100)*100-100</f>
        <v>3.3265999999999991</v>
      </c>
      <c r="I18" s="157">
        <f>+(1+H7*0.5/100)*(1+H8/100)*100-100</f>
        <v>2.5657499999999942</v>
      </c>
    </row>
    <row r="19" spans="2:9">
      <c r="B19" s="150">
        <v>7115</v>
      </c>
      <c r="C19" s="156" t="str">
        <f>IF([1]MasterSheet!$A$1=1,[1]MasterSheet!C76,[1]MasterSheet!B76)</f>
        <v>Porez na promet nepokretnosti</v>
      </c>
      <c r="D19" s="157">
        <f>+(1+$D$9*0.5/100)*100-100+0.04</f>
        <v>0.04</v>
      </c>
      <c r="E19" s="157">
        <f>+(1+E8/100)*100-100</f>
        <v>2.4999999999999858</v>
      </c>
      <c r="F19" s="157">
        <f>+(1+F8/100)*100-100</f>
        <v>2.6000000000000085</v>
      </c>
      <c r="G19" s="157">
        <f>+(1+G8/100)*100-100</f>
        <v>1.8999999999999915</v>
      </c>
      <c r="H19" s="157">
        <f>+(1+H8/100)*100-100</f>
        <v>1.4999999999999858</v>
      </c>
      <c r="I19" s="157">
        <f>+(1+I8/100)*100-100</f>
        <v>2</v>
      </c>
    </row>
    <row r="20" spans="2:9">
      <c r="B20" s="150">
        <v>7116</v>
      </c>
      <c r="C20" s="156" t="str">
        <f>IF([1]MasterSheet!$A$1=1,[1]MasterSheet!C77,[1]MasterSheet!B77)</f>
        <v>Porez na dodatu vrijednost</v>
      </c>
      <c r="D20" s="157">
        <f>+(1+$D$9*0.5/100)*100-100</f>
        <v>0</v>
      </c>
      <c r="E20" s="157">
        <f>+(1+E7*0.5/100)*(1+E8/100)*100-100+0.01</f>
        <v>4.7649999999999952</v>
      </c>
      <c r="F20" s="157">
        <f>+(1+F7*0.5/100)*(1+F8/100)*100-100+0.01</f>
        <v>4.1489999999999814</v>
      </c>
      <c r="G20" s="157">
        <f>+(1+G7*0.5/100)*(1+G8/100)*100-100+0.01</f>
        <v>3.3365999999999989</v>
      </c>
      <c r="H20" s="157">
        <f t="shared" ref="H20:I20" si="0">+(1+H7*0.5/100)*(1+H8/100)*100-100+0.01</f>
        <v>2.575749999999994</v>
      </c>
      <c r="I20" s="157">
        <f t="shared" si="0"/>
        <v>3.5399999999999867</v>
      </c>
    </row>
    <row r="21" spans="2:9">
      <c r="B21" s="150">
        <v>7118</v>
      </c>
      <c r="C21" s="156" t="str">
        <f>IF([1]MasterSheet!$A$1=1,[1]MasterSheet!C78,[1]MasterSheet!B78)</f>
        <v>Akcize</v>
      </c>
      <c r="D21" s="157">
        <f>+(1+$D$9*0.5/100)*(1+$D$10/100)*100-100</f>
        <v>0</v>
      </c>
      <c r="E21" s="157">
        <f>+(1+E7*0.5/100)*100-100</f>
        <v>2.2000000000000028</v>
      </c>
      <c r="F21" s="157">
        <f>+(1+F7*0.5/100)*100-100</f>
        <v>1.4999999999999858</v>
      </c>
      <c r="G21" s="157">
        <f>+(1+G7*0.5/100)*100-100</f>
        <v>1.4000000000000057</v>
      </c>
      <c r="H21" s="157">
        <f>+(1+H7*0.5/100)*100-100</f>
        <v>1.0499999999999972</v>
      </c>
      <c r="I21" s="157">
        <f>+(1+I7*0.5/100)*100-100</f>
        <v>1.4999999999999858</v>
      </c>
    </row>
    <row r="22" spans="2:9">
      <c r="B22" s="150">
        <v>712</v>
      </c>
      <c r="C22" s="162" t="str">
        <f>IF([1]MasterSheet!$A$1=1,[1]MasterSheet!C79,[1]MasterSheet!B79)</f>
        <v>Porez na međunarodnu trgovinu i transakcije</v>
      </c>
      <c r="D22" s="155">
        <f>SUM(D23:D26)</f>
        <v>16.399999999999977</v>
      </c>
      <c r="E22" s="157">
        <f>+(1+E7*0.5/100)*100-100</f>
        <v>2.2000000000000028</v>
      </c>
      <c r="F22" s="157">
        <f>+(1+F7*0.5/100)*100-100</f>
        <v>1.4999999999999858</v>
      </c>
      <c r="G22" s="157">
        <f>+(1+G7*0.5/100)*100-100</f>
        <v>1.4000000000000057</v>
      </c>
      <c r="H22" s="157">
        <f>+(1+H7*0.5/100)*100-100</f>
        <v>1.0499999999999972</v>
      </c>
      <c r="I22" s="157">
        <f>+(1+I7*0.5/100)*100-100</f>
        <v>1.4999999999999858</v>
      </c>
    </row>
    <row r="23" spans="2:9">
      <c r="B23" s="150">
        <v>7121</v>
      </c>
      <c r="C23" s="156" t="str">
        <f>IF([1]MasterSheet!$A$1=1,[1]MasterSheet!C80,[1]MasterSheet!B80)</f>
        <v>Ostali državni porezi</v>
      </c>
      <c r="D23" s="157">
        <f>+(1+$D$5/100)*(1+$D$6/100)*100-100</f>
        <v>4.0999999999999943</v>
      </c>
      <c r="E23" s="157">
        <f>+(1+E7*0.5/100)*(1+E8*0.5/100)*100-100+0.01</f>
        <v>3.487500000000006</v>
      </c>
      <c r="F23" s="157">
        <f>+(1+F7*0.5/100)*(1+F8*0.5/100)*100-100+0.01</f>
        <v>2.8294999999999764</v>
      </c>
      <c r="G23" s="157">
        <f>+(1+G7*0.5/100)*(1+G8*0.5/100)*100-100+0.01</f>
        <v>2.3732999999999951</v>
      </c>
      <c r="H23" s="157">
        <f>+(1+H7*0.5/100)*(1+H8*0.5/100)*100-100+0.01</f>
        <v>1.8178749999999957</v>
      </c>
      <c r="I23" s="157">
        <f>+(1+I7*0.5/100)*(1+I8*0.5/100)*100-100+0.01</f>
        <v>2.5250000000000004</v>
      </c>
    </row>
    <row r="24" spans="2:9">
      <c r="B24" s="150">
        <v>7122</v>
      </c>
      <c r="C24" s="161" t="str">
        <f>IF([1]MasterSheet!$A$1=1,[1]MasterSheet!C81,[1]MasterSheet!B81)</f>
        <v>Doprinosi</v>
      </c>
      <c r="D24" s="157">
        <f>+(1+$D$5/100)*(1+$D$6/100)*100-100</f>
        <v>4.0999999999999943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</row>
    <row r="25" spans="2:9">
      <c r="B25" s="150">
        <v>7123</v>
      </c>
      <c r="C25" s="156" t="str">
        <f>IF([1]MasterSheet!$A$1=1,[1]MasterSheet!C82,[1]MasterSheet!B82)</f>
        <v>Doprinosi za penzijsko i invalidsko osiguranje</v>
      </c>
      <c r="D25" s="157">
        <f>+(1+$D$5/100)*(1+$D$6/100)*100-100</f>
        <v>4.0999999999999943</v>
      </c>
      <c r="E25" s="157">
        <f>+(1+E3/100)*(1+E4/100)*100-100</f>
        <v>3.6314999999999884</v>
      </c>
      <c r="F25" s="157">
        <f>+(1+F3/100)*(1+F4/100)*100-100</f>
        <v>2.4118999999999744</v>
      </c>
      <c r="G25" s="157">
        <f>+(1+G3/100)*(1+G4/100)*100-100</f>
        <v>2.1067999999999927</v>
      </c>
      <c r="H25" s="157">
        <f>+(1+H3/100)*(1+H4/100)*100-100</f>
        <v>2.1053999999999888</v>
      </c>
      <c r="I25" s="157">
        <f>+(1+I3/100)*(1+I4/100)*100-100</f>
        <v>2.7139999999999986</v>
      </c>
    </row>
    <row r="26" spans="2:9">
      <c r="B26" s="150">
        <v>7124</v>
      </c>
      <c r="C26" s="156" t="str">
        <f>IF([1]MasterSheet!$A$1=1,[1]MasterSheet!C83,[1]MasterSheet!B83)</f>
        <v>Doprinosi za zdravstveno osiguranje</v>
      </c>
      <c r="D26" s="157">
        <f>+(1+$D$5/100)*(1+$D$6/100)*100-100</f>
        <v>4.0999999999999943</v>
      </c>
      <c r="E26" s="157">
        <f>+(1+E3/100)*(1+E4/100)*100-100</f>
        <v>3.6314999999999884</v>
      </c>
      <c r="F26" s="157">
        <f>+(1+F3/100)*(1+F4/100)*100-100</f>
        <v>2.4118999999999744</v>
      </c>
      <c r="G26" s="157">
        <f>+(1+G3/100)*(1+G4/100)*100-100</f>
        <v>2.1067999999999927</v>
      </c>
      <c r="H26" s="157">
        <f>+(1+H3/100)*(1+H4/100)*100-100</f>
        <v>2.1053999999999888</v>
      </c>
      <c r="I26" s="157">
        <f>+(1+I3/100)*(1+I4/100)*100-100</f>
        <v>2.7139999999999986</v>
      </c>
    </row>
    <row r="27" spans="2:9">
      <c r="B27" s="150">
        <v>713</v>
      </c>
      <c r="C27" s="162" t="str">
        <f>IF([1]MasterSheet!$A$1=1,[1]MasterSheet!C84,[1]MasterSheet!B84)</f>
        <v>Doprinosi za osiguranje od nezaposlenosti</v>
      </c>
      <c r="D27" s="155">
        <f>SUM(D28:D31)</f>
        <v>5</v>
      </c>
      <c r="E27" s="157">
        <f>+(1+E3/100)*(1+E4/100)*100-100</f>
        <v>3.6314999999999884</v>
      </c>
      <c r="F27" s="157">
        <f>+(1+F3/100)*(1+F4/100)*100-100</f>
        <v>2.4118999999999744</v>
      </c>
      <c r="G27" s="157">
        <f>+(1+G3/100)*(1+G4/100)*100-100</f>
        <v>2.1067999999999927</v>
      </c>
      <c r="H27" s="157">
        <f>+(1+H3/100)*(1+H4/100)*100-100</f>
        <v>2.1053999999999888</v>
      </c>
      <c r="I27" s="157">
        <f>+(1+I3/100)*(1+I4/100)*100-100</f>
        <v>2.7139999999999986</v>
      </c>
    </row>
    <row r="28" spans="2:9">
      <c r="B28" s="150">
        <v>7131</v>
      </c>
      <c r="C28" s="156" t="str">
        <f>IF([1]MasterSheet!$A$1=1,[1]MasterSheet!C85,[1]MasterSheet!B85)</f>
        <v>Ostali doprinosi</v>
      </c>
      <c r="D28" s="157">
        <f>+$D$10</f>
        <v>0</v>
      </c>
      <c r="E28" s="157">
        <f>+(1+E3/100)*(1+E4/100)*100-100</f>
        <v>3.6314999999999884</v>
      </c>
      <c r="F28" s="157">
        <f>+(1+F3/100)*(1+F4/100)*100-100</f>
        <v>2.4118999999999744</v>
      </c>
      <c r="G28" s="157">
        <f>+(1+G3/100)*(1+G4/100)*100-100</f>
        <v>2.1067999999999927</v>
      </c>
      <c r="H28" s="157">
        <f>+(1+H3/100)*(1+H4/100)*100-100</f>
        <v>2.1053999999999888</v>
      </c>
      <c r="I28" s="157">
        <f>+(1+I3/100)*(1+I4/100)*100-100</f>
        <v>2.7139999999999986</v>
      </c>
    </row>
    <row r="29" spans="2:9">
      <c r="B29" s="150">
        <v>7132</v>
      </c>
      <c r="C29" s="161" t="str">
        <f>IF([1]MasterSheet!$A$1=1,[1]MasterSheet!C86,[1]MasterSheet!B86)</f>
        <v>Takse</v>
      </c>
      <c r="D29" s="157">
        <f>+$D$10</f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</row>
    <row r="30" spans="2:9">
      <c r="B30" s="150">
        <v>7133</v>
      </c>
      <c r="C30" s="156" t="str">
        <f>IF([1]MasterSheet!$A$1=1,[1]MasterSheet!C87,[1]MasterSheet!B87)</f>
        <v>Administrativne takse</v>
      </c>
      <c r="D30" s="157">
        <v>5</v>
      </c>
      <c r="E30" s="157">
        <f>+(1+E8/100)*100-100</f>
        <v>2.4999999999999858</v>
      </c>
      <c r="F30" s="157">
        <f>+(1+F8/100)*100-100</f>
        <v>2.6000000000000085</v>
      </c>
      <c r="G30" s="157">
        <f>+(1+G8/100)*100-100</f>
        <v>1.8999999999999915</v>
      </c>
      <c r="H30" s="157">
        <f>+(1+H8/100)*100-100</f>
        <v>1.4999999999999858</v>
      </c>
      <c r="I30" s="157">
        <f>+(1+I8/100)*100-100</f>
        <v>2</v>
      </c>
    </row>
    <row r="31" spans="2:9">
      <c r="B31" s="150">
        <v>7136</v>
      </c>
      <c r="C31" s="156" t="str">
        <f>IF([1]MasterSheet!$A$1=1,[1]MasterSheet!C88,[1]MasterSheet!B88)</f>
        <v>Sudske takse</v>
      </c>
      <c r="D31" s="157">
        <f>+$D$10</f>
        <v>0</v>
      </c>
      <c r="E31" s="157">
        <f>+(1+E8/100)*100-100</f>
        <v>2.4999999999999858</v>
      </c>
      <c r="F31" s="157">
        <f>+(1+F8/100)*100-100</f>
        <v>2.6000000000000085</v>
      </c>
      <c r="G31" s="157">
        <f>+(1+G8/100)*100-100</f>
        <v>1.8999999999999915</v>
      </c>
      <c r="H31" s="157">
        <f>+(1+H8/100)*100-100</f>
        <v>1.4999999999999858</v>
      </c>
      <c r="I31" s="157">
        <f>+(1+I8/100)*100-100</f>
        <v>2</v>
      </c>
    </row>
    <row r="32" spans="2:9">
      <c r="B32" s="150">
        <v>714</v>
      </c>
      <c r="C32" s="162" t="str">
        <f>IF([1]MasterSheet!$A$1=1,[1]MasterSheet!C89,[1]MasterSheet!B89)</f>
        <v>Boravišne takse</v>
      </c>
      <c r="D32" s="155">
        <f>SUM(D33:D38)</f>
        <v>0</v>
      </c>
      <c r="E32" s="157">
        <f t="shared" ref="E32:I33" si="1">+(1+E7/100)*100-100</f>
        <v>4.4000000000000057</v>
      </c>
      <c r="F32" s="157">
        <f t="shared" si="1"/>
        <v>3</v>
      </c>
      <c r="G32" s="157">
        <f t="shared" si="1"/>
        <v>2.7999999999999972</v>
      </c>
      <c r="H32" s="157">
        <f t="shared" si="1"/>
        <v>2.0999999999999943</v>
      </c>
      <c r="I32" s="157">
        <f t="shared" si="1"/>
        <v>3</v>
      </c>
    </row>
    <row r="33" spans="2:9">
      <c r="B33" s="150">
        <v>7141</v>
      </c>
      <c r="C33" s="156" t="str">
        <f>IF([1]MasterSheet!$A$1=1,[1]MasterSheet!C90,[1]MasterSheet!B90)</f>
        <v>Ostale takse</v>
      </c>
      <c r="D33" s="157">
        <f>+(1+$D$9*0.5/100)*100-100</f>
        <v>0</v>
      </c>
      <c r="E33" s="157">
        <f t="shared" si="1"/>
        <v>2.4999999999999858</v>
      </c>
      <c r="F33" s="157">
        <f t="shared" si="1"/>
        <v>2.6000000000000085</v>
      </c>
      <c r="G33" s="157">
        <f t="shared" si="1"/>
        <v>1.8999999999999915</v>
      </c>
      <c r="H33" s="157">
        <f t="shared" si="1"/>
        <v>1.4999999999999858</v>
      </c>
      <c r="I33" s="157">
        <f t="shared" si="1"/>
        <v>2</v>
      </c>
    </row>
    <row r="34" spans="2:9">
      <c r="B34" s="150">
        <v>7142</v>
      </c>
      <c r="C34" s="161" t="str">
        <f>IF([1]MasterSheet!$A$1=1,[1]MasterSheet!C91,[1]MasterSheet!B91)</f>
        <v>Naknade</v>
      </c>
      <c r="D34" s="157">
        <f t="shared" ref="D34:D45" si="2">+(1+$D$9*0.5/100)*100-100</f>
        <v>0</v>
      </c>
      <c r="E34" s="157">
        <f>+(1+$E$9*0.5/100)*100-100</f>
        <v>0</v>
      </c>
      <c r="F34" s="157">
        <f>+(1+$F$9*0.5/100)*100-100</f>
        <v>0</v>
      </c>
      <c r="G34" s="157">
        <f>+(1+$G$9*0.5/100)*100-100</f>
        <v>0</v>
      </c>
      <c r="H34" s="157">
        <f>+(1+$F$9*0.5/100)*100-100</f>
        <v>0</v>
      </c>
      <c r="I34" s="157">
        <f>+(1+$G$9*0.5/100)*100-100</f>
        <v>0</v>
      </c>
    </row>
    <row r="35" spans="2:9">
      <c r="B35" s="150">
        <v>7143</v>
      </c>
      <c r="C35" s="156" t="str">
        <f>IF([1]MasterSheet!$A$1=1,[1]MasterSheet!C92,[1]MasterSheet!B92)</f>
        <v>Naknade za korišćenje dobara od opšteg interesa</v>
      </c>
      <c r="D35" s="157">
        <f t="shared" si="2"/>
        <v>0</v>
      </c>
      <c r="E35" s="157">
        <f>+(1+E7*0.5/100)*100-100</f>
        <v>2.2000000000000028</v>
      </c>
      <c r="F35" s="157">
        <f>+(1+F7*0.5/100)*100-100</f>
        <v>1.4999999999999858</v>
      </c>
      <c r="G35" s="157">
        <f>+(1+G7*0.5/100)*100-100</f>
        <v>1.4000000000000057</v>
      </c>
      <c r="H35" s="157">
        <f>+(1+H7*0.5/100)*100-100</f>
        <v>1.0499999999999972</v>
      </c>
      <c r="I35" s="157">
        <f>+(1+I7*0.5/100)*100-100</f>
        <v>1.4999999999999858</v>
      </c>
    </row>
    <row r="36" spans="2:9">
      <c r="B36" s="150">
        <v>7144</v>
      </c>
      <c r="C36" s="156" t="str">
        <f>IF([1]MasterSheet!$A$1=1,[1]MasterSheet!C93,[1]MasterSheet!B93)</f>
        <v>Naknade za korišćenje prirodnih dobara</v>
      </c>
      <c r="D36" s="157">
        <f t="shared" si="2"/>
        <v>0</v>
      </c>
      <c r="E36" s="157">
        <f>+(1+E7*0.5/100)*100-100</f>
        <v>2.2000000000000028</v>
      </c>
      <c r="F36" s="157">
        <f>+(1+F7*0.5/100)*100-100</f>
        <v>1.4999999999999858</v>
      </c>
      <c r="G36" s="157">
        <f>+(1+G7*0.5/100)*100-100</f>
        <v>1.4000000000000057</v>
      </c>
      <c r="H36" s="157">
        <f>+(1+H7*0.5/100)*100-100</f>
        <v>1.0499999999999972</v>
      </c>
      <c r="I36" s="157">
        <f>+(1+I7*0.5/100)*100-100</f>
        <v>1.4999999999999858</v>
      </c>
    </row>
    <row r="37" spans="2:9">
      <c r="B37" s="150">
        <v>7148</v>
      </c>
      <c r="C37" s="156" t="str">
        <f>IF([1]MasterSheet!$A$1=1,[1]MasterSheet!C94,[1]MasterSheet!B94)</f>
        <v>Ekološke naknade</v>
      </c>
      <c r="D37" s="157">
        <f>+(1+$D$9*0.5/100)*100-100</f>
        <v>0</v>
      </c>
      <c r="E37" s="157">
        <f>+(1+E7*0.5/100)*100-100</f>
        <v>2.2000000000000028</v>
      </c>
      <c r="F37" s="157">
        <f>+(1+F7*0.5/100)*100-100</f>
        <v>1.4999999999999858</v>
      </c>
      <c r="G37" s="157">
        <f>+(1+G7*0.5/100)*100-100</f>
        <v>1.4000000000000057</v>
      </c>
      <c r="H37" s="157">
        <f>+(1+H7*0.5/100)*100-100</f>
        <v>1.0499999999999972</v>
      </c>
      <c r="I37" s="157">
        <f>+(1+I7*0.5/100)*100-100</f>
        <v>1.4999999999999858</v>
      </c>
    </row>
    <row r="38" spans="2:9">
      <c r="B38" s="150">
        <v>7149</v>
      </c>
      <c r="C38" s="156" t="str">
        <f>IF([1]MasterSheet!$A$1=1,[1]MasterSheet!C95,[1]MasterSheet!B95)</f>
        <v>Naknade za priređivanje igara na sreću</v>
      </c>
      <c r="D38" s="157">
        <f t="shared" si="2"/>
        <v>0</v>
      </c>
      <c r="E38" s="157">
        <f>+(1+E7*0.5/100)*100-100</f>
        <v>2.2000000000000028</v>
      </c>
      <c r="F38" s="157">
        <f>+(1+F7*0.5/100)*100-100</f>
        <v>1.4999999999999858</v>
      </c>
      <c r="G38" s="157">
        <f>+(1+G7*0.5/100)*100-100</f>
        <v>1.4000000000000057</v>
      </c>
      <c r="H38" s="157">
        <f>+(1+H7*0.5/100)*100-100</f>
        <v>1.0499999999999972</v>
      </c>
      <c r="I38" s="157">
        <f>+(1+I7*0.5/100)*100-100</f>
        <v>1.4999999999999858</v>
      </c>
    </row>
    <row r="39" spans="2:9">
      <c r="B39" s="150">
        <v>715</v>
      </c>
      <c r="C39" s="162" t="str">
        <f>IF([1]MasterSheet!$A$1=1,[1]MasterSheet!C96,[1]MasterSheet!B96)</f>
        <v>Naknada za puteve</v>
      </c>
      <c r="D39" s="155">
        <f>SUM(D40:D45)</f>
        <v>0</v>
      </c>
      <c r="E39" s="157">
        <f>+(1+E7*0.5/100)*100-100</f>
        <v>2.2000000000000028</v>
      </c>
      <c r="F39" s="157">
        <f>+(1+F7*0.5/100)*100-100</f>
        <v>1.4999999999999858</v>
      </c>
      <c r="G39" s="157">
        <f>+(1+G7*0.5/100)*100-100</f>
        <v>1.4000000000000057</v>
      </c>
      <c r="H39" s="157">
        <f>+(1+H7*0.5/100)*100-100</f>
        <v>1.0499999999999972</v>
      </c>
      <c r="I39" s="157">
        <f>+(1+I7*0.5/100)*100-100</f>
        <v>1.4999999999999858</v>
      </c>
    </row>
    <row r="40" spans="2:9">
      <c r="B40" s="150">
        <v>7151</v>
      </c>
      <c r="C40" s="156" t="str">
        <f>IF([1]MasterSheet!$A$1=1,[1]MasterSheet!C97,[1]MasterSheet!B97)</f>
        <v>Ostale naknade</v>
      </c>
      <c r="D40" s="157">
        <f t="shared" si="2"/>
        <v>0</v>
      </c>
      <c r="E40" s="157">
        <f>+(1+E7*0.5/100)*100-100</f>
        <v>2.2000000000000028</v>
      </c>
      <c r="F40" s="157">
        <f>+(1+F7*0.5/100)*100-100</f>
        <v>1.4999999999999858</v>
      </c>
      <c r="G40" s="157">
        <f>+(1+G7*0.5/100)*100-100</f>
        <v>1.4000000000000057</v>
      </c>
      <c r="H40" s="157">
        <f>+(1+H7*0.5/100)*100-100</f>
        <v>1.0499999999999972</v>
      </c>
      <c r="I40" s="157">
        <f>+(1+I7*0.5/100)*100-100</f>
        <v>1.4999999999999858</v>
      </c>
    </row>
    <row r="41" spans="2:9">
      <c r="B41" s="150">
        <v>7152</v>
      </c>
      <c r="C41" s="161" t="str">
        <f>IF([1]MasterSheet!$A$1=1,[1]MasterSheet!C98,[1]MasterSheet!B98)</f>
        <v>Ostali prihodi</v>
      </c>
      <c r="D41" s="157">
        <f t="shared" si="2"/>
        <v>0</v>
      </c>
      <c r="E41" s="157">
        <v>0</v>
      </c>
      <c r="F41" s="157">
        <v>0</v>
      </c>
      <c r="G41" s="157">
        <v>0</v>
      </c>
      <c r="H41" s="157">
        <v>0</v>
      </c>
      <c r="I41" s="157">
        <v>0</v>
      </c>
    </row>
    <row r="42" spans="2:9">
      <c r="B42" s="150">
        <v>7153</v>
      </c>
      <c r="C42" s="156" t="str">
        <f>IF([1]MasterSheet!$A$1=1,[1]MasterSheet!C99,[1]MasterSheet!B99)</f>
        <v>Prihodi od kapitala</v>
      </c>
      <c r="D42" s="157">
        <f t="shared" si="2"/>
        <v>0</v>
      </c>
      <c r="E42" s="157">
        <f>+(1+E7*0.5/100)*100-100</f>
        <v>2.2000000000000028</v>
      </c>
      <c r="F42" s="157">
        <f>+(1+F7*0.5/100)*100-100</f>
        <v>1.4999999999999858</v>
      </c>
      <c r="G42" s="157">
        <f>+(1+G7*0.5/100)*100-100</f>
        <v>1.4000000000000057</v>
      </c>
      <c r="H42" s="157">
        <f>+(1+H7*0.5/100)*100-100</f>
        <v>1.0499999999999972</v>
      </c>
      <c r="I42" s="157">
        <f>+(1+I7*0.5/100)*100-100</f>
        <v>1.4999999999999858</v>
      </c>
    </row>
    <row r="43" spans="2:9">
      <c r="B43" s="150"/>
      <c r="C43" s="156" t="str">
        <f>IF([1]MasterSheet!$A$1=1,[1]MasterSheet!C100,[1]MasterSheet!B100)</f>
        <v>Novčane kazne i oduzete imovinske koristi</v>
      </c>
      <c r="D43" s="157"/>
      <c r="E43" s="157">
        <f>+(1+E7*0.5/100)*100-100</f>
        <v>2.2000000000000028</v>
      </c>
      <c r="F43" s="157">
        <f>+(1+F7*0.5/100)*100-100</f>
        <v>1.4999999999999858</v>
      </c>
      <c r="G43" s="157">
        <f>+(1+G7*0.5/100)*100-100</f>
        <v>1.4000000000000057</v>
      </c>
      <c r="H43" s="157">
        <f>+(1+H7*0.5/100)*100-100</f>
        <v>1.0499999999999972</v>
      </c>
      <c r="I43" s="157">
        <f>+(1+I7*0.5/100)*100-100</f>
        <v>1.4999999999999858</v>
      </c>
    </row>
    <row r="44" spans="2:9">
      <c r="B44" s="150"/>
      <c r="C44" s="156" t="s">
        <v>416</v>
      </c>
      <c r="D44" s="157"/>
      <c r="E44" s="157">
        <f>+(1+E7*0.5/100)*100-100</f>
        <v>2.2000000000000028</v>
      </c>
      <c r="F44" s="157">
        <f>+(1+F7*0.5/100)*100-100</f>
        <v>1.4999999999999858</v>
      </c>
      <c r="G44" s="157">
        <f>+(1+G7*0.5/100)*100-100</f>
        <v>1.4000000000000057</v>
      </c>
      <c r="H44" s="157">
        <f>+(1+H7*0.5/100)*100-100</f>
        <v>1.0499999999999972</v>
      </c>
      <c r="I44" s="157">
        <f>+(1+I7*0.5/100)*100-100</f>
        <v>1.4999999999999858</v>
      </c>
    </row>
    <row r="45" spans="2:9">
      <c r="B45" s="150">
        <v>7155</v>
      </c>
      <c r="C45" s="156" t="s">
        <v>52</v>
      </c>
      <c r="D45" s="157">
        <f t="shared" si="2"/>
        <v>0</v>
      </c>
      <c r="E45" s="157">
        <f>+(1+E7*0.5/100)*100-100</f>
        <v>2.2000000000000028</v>
      </c>
      <c r="F45" s="157">
        <f>+(1+F7*0.5/100)*100-100</f>
        <v>1.4999999999999858</v>
      </c>
      <c r="G45" s="157">
        <f>+(1+G7*0.5/100)*100-100</f>
        <v>1.4000000000000057</v>
      </c>
      <c r="H45" s="157">
        <f>+(1+H7*0.5/100)*100-100</f>
        <v>1.0499999999999972</v>
      </c>
      <c r="I45" s="157">
        <f>+(1+I7*0.5/100)*100-100</f>
        <v>1.4999999999999858</v>
      </c>
    </row>
    <row r="46" spans="2:9">
      <c r="B46" s="150"/>
      <c r="C46" s="161" t="s">
        <v>398</v>
      </c>
      <c r="D46" s="157"/>
      <c r="E46" s="157">
        <f>+(1+E7*0.5/100)*100-100</f>
        <v>2.2000000000000028</v>
      </c>
      <c r="F46" s="157">
        <f>+(1+F7*0.5/100)*100-100</f>
        <v>1.4999999999999858</v>
      </c>
      <c r="G46" s="157">
        <f>+(1+G7*0.5/100)*100-100</f>
        <v>1.4000000000000057</v>
      </c>
      <c r="H46" s="157">
        <f>+(1+H7*0.5/100)*100-100</f>
        <v>1.0499999999999972</v>
      </c>
      <c r="I46" s="157">
        <f>+(1+I7*0.5/100)*100-100</f>
        <v>1.4999999999999858</v>
      </c>
    </row>
    <row r="47" spans="2:9">
      <c r="B47" s="150">
        <v>74</v>
      </c>
      <c r="C47" s="163" t="s">
        <v>122</v>
      </c>
      <c r="D47" s="164">
        <v>0</v>
      </c>
      <c r="E47" s="157">
        <v>0</v>
      </c>
      <c r="F47" s="157">
        <v>0</v>
      </c>
      <c r="G47" s="157">
        <v>0</v>
      </c>
      <c r="H47" s="157">
        <v>0</v>
      </c>
      <c r="I47" s="157">
        <v>0</v>
      </c>
    </row>
  </sheetData>
  <mergeCells count="1">
    <mergeCell ref="C12:C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C8:AE59"/>
  <sheetViews>
    <sheetView topLeftCell="O22" workbookViewId="0">
      <selection activeCell="X34" sqref="X34"/>
    </sheetView>
  </sheetViews>
  <sheetFormatPr defaultRowHeight="12.75"/>
  <cols>
    <col min="3" max="3" width="49.7109375" customWidth="1"/>
    <col min="4" max="4" width="0" hidden="1" customWidth="1"/>
    <col min="5" max="5" width="11.28515625" hidden="1" customWidth="1"/>
    <col min="7" max="7" width="11.85546875" bestFit="1" customWidth="1"/>
    <col min="11" max="11" width="35.7109375" customWidth="1"/>
    <col min="12" max="12" width="10.5703125" hidden="1" customWidth="1"/>
    <col min="13" max="13" width="0" hidden="1" customWidth="1"/>
    <col min="17" max="17" width="12.7109375" customWidth="1"/>
    <col min="18" max="18" width="25.42578125" customWidth="1"/>
    <col min="19" max="19" width="11.42578125" hidden="1" customWidth="1"/>
    <col min="20" max="20" width="0" hidden="1" customWidth="1"/>
    <col min="25" max="25" width="12.28515625" hidden="1" customWidth="1"/>
    <col min="26" max="32" width="0" hidden="1" customWidth="1"/>
  </cols>
  <sheetData>
    <row r="8" spans="3:31" ht="21" customHeight="1">
      <c r="K8" s="446" t="s">
        <v>484</v>
      </c>
      <c r="L8" s="447"/>
      <c r="M8" s="447"/>
      <c r="N8" s="447"/>
      <c r="O8" s="447"/>
      <c r="P8" s="447"/>
      <c r="R8" s="448" t="s">
        <v>485</v>
      </c>
      <c r="S8" s="447"/>
      <c r="T8" s="447"/>
      <c r="U8" s="447"/>
      <c r="V8" s="447"/>
      <c r="W8" s="447"/>
    </row>
    <row r="11" spans="3:31" ht="13.5" thickBot="1">
      <c r="K11" s="421" t="s">
        <v>436</v>
      </c>
      <c r="L11" s="518">
        <f>L25+L34-L43+L46+L50+L55</f>
        <v>54315626.605477273</v>
      </c>
      <c r="M11" s="518">
        <f t="shared" ref="M11:P11" si="0">M25+M34-M43+M46+M50+M55</f>
        <v>6999999.9999999991</v>
      </c>
      <c r="N11" s="171">
        <f t="shared" si="0"/>
        <v>-1000000.0000000007</v>
      </c>
      <c r="O11" s="171">
        <f t="shared" si="0"/>
        <v>3999999.9999999991</v>
      </c>
      <c r="P11" s="171">
        <f t="shared" si="0"/>
        <v>-32262.982814517803</v>
      </c>
      <c r="R11" s="421" t="s">
        <v>496</v>
      </c>
      <c r="S11" s="518">
        <f>S25+S37+S40-S48+S56</f>
        <v>17854800</v>
      </c>
      <c r="T11" s="518">
        <f t="shared" ref="T11:V11" si="1">T25+T37+T40-T48+T56</f>
        <v>77314800</v>
      </c>
      <c r="U11" s="171">
        <f t="shared" si="1"/>
        <v>10520000</v>
      </c>
      <c r="V11" s="171">
        <f t="shared" si="1"/>
        <v>9700000</v>
      </c>
      <c r="W11" s="422"/>
    </row>
    <row r="12" spans="3:31" ht="14.25" thickTop="1" thickBot="1">
      <c r="C12" s="158" t="s">
        <v>497</v>
      </c>
      <c r="D12" s="169">
        <v>2017</v>
      </c>
      <c r="E12" s="169">
        <v>2018</v>
      </c>
      <c r="F12" s="169">
        <v>2019</v>
      </c>
      <c r="G12" s="169">
        <v>2020</v>
      </c>
      <c r="H12" s="169">
        <v>2021</v>
      </c>
      <c r="L12" s="519"/>
      <c r="M12" s="519"/>
      <c r="S12" s="519"/>
      <c r="T12" s="519"/>
    </row>
    <row r="13" spans="3:31" ht="13.5" thickTop="1">
      <c r="C13" s="175" t="str">
        <f>IF([2]MasterSheet!$A$1=1,[2]MasterSheet!C70,[2]MasterSheet!B70)</f>
        <v>Budžet Crne Gore</v>
      </c>
      <c r="D13" s="170">
        <f>D15+D23+D29+D33+D40+D46</f>
        <v>54078626.605477266</v>
      </c>
      <c r="E13" s="170">
        <f t="shared" ref="E13:H13" si="2">E15+E23+E29+E33+E40+E46</f>
        <v>113424800</v>
      </c>
      <c r="F13" s="170">
        <f t="shared" si="2"/>
        <v>34120000</v>
      </c>
      <c r="G13" s="170">
        <f t="shared" si="2"/>
        <v>35700000</v>
      </c>
      <c r="H13" s="170">
        <f t="shared" si="2"/>
        <v>11567737.017185481</v>
      </c>
      <c r="K13" s="421" t="s">
        <v>433</v>
      </c>
      <c r="L13" s="520">
        <v>2017</v>
      </c>
      <c r="M13" s="520">
        <v>2018</v>
      </c>
      <c r="N13" s="420">
        <v>2019</v>
      </c>
      <c r="O13" s="420">
        <v>2020</v>
      </c>
      <c r="P13" s="420">
        <v>2021</v>
      </c>
      <c r="Q13" s="35"/>
      <c r="R13" s="421" t="s">
        <v>490</v>
      </c>
      <c r="S13" s="520">
        <v>2017</v>
      </c>
      <c r="T13" s="520">
        <v>2018</v>
      </c>
      <c r="U13" s="420">
        <v>2019</v>
      </c>
      <c r="V13" s="420">
        <v>2020</v>
      </c>
      <c r="W13" s="444"/>
    </row>
    <row r="14" spans="3:31">
      <c r="C14" s="176" t="str">
        <f>IF([2]MasterSheet!$A$1=1,[2]MasterSheet!C72,[2]MasterSheet!B72)</f>
        <v>Izvorni prihodi</v>
      </c>
      <c r="D14" s="171"/>
      <c r="E14" s="172"/>
      <c r="F14" s="171"/>
      <c r="G14" s="172"/>
      <c r="H14" s="171"/>
      <c r="K14" s="171" t="s">
        <v>424</v>
      </c>
      <c r="L14" s="518">
        <v>3544736.8421052629</v>
      </c>
      <c r="M14" s="518">
        <v>0</v>
      </c>
      <c r="N14" s="171">
        <v>0</v>
      </c>
      <c r="O14" s="171">
        <v>0</v>
      </c>
      <c r="P14" s="171">
        <f>(-3249976.25688028)/2</f>
        <v>-1624988.12844014</v>
      </c>
      <c r="R14" s="171" t="s">
        <v>424</v>
      </c>
      <c r="S14" s="518">
        <f>5022690.57881498-AE14</f>
        <v>3249976.2568802806</v>
      </c>
      <c r="T14" s="518">
        <v>0</v>
      </c>
      <c r="U14" s="420">
        <v>0</v>
      </c>
      <c r="V14" s="420">
        <v>0</v>
      </c>
      <c r="W14" s="444"/>
      <c r="Y14" s="159">
        <f>L14+S14</f>
        <v>6794713.0989855435</v>
      </c>
      <c r="AA14">
        <f>Y14/$Y$25*100</f>
        <v>29.545238698911646</v>
      </c>
      <c r="AC14">
        <f>AA14*$AC$25/100</f>
        <v>1772714.3219346988</v>
      </c>
      <c r="AE14">
        <v>1772714.3219346988</v>
      </c>
    </row>
    <row r="15" spans="3:31">
      <c r="C15" s="176" t="str">
        <f>IF([2]MasterSheet!$A$1=1,[2]MasterSheet!C73,[2]MasterSheet!B73)</f>
        <v>Porezi</v>
      </c>
      <c r="D15" s="171">
        <f>SUM(D16:D22)</f>
        <v>52601311.457954928</v>
      </c>
      <c r="E15" s="171">
        <f>SUM(E16:E22)</f>
        <v>82449614.28181152</v>
      </c>
      <c r="F15" s="171">
        <f>SUM(F16:F22)</f>
        <v>2410526.3157894742</v>
      </c>
      <c r="G15" s="171">
        <f>SUM(G16:G22)</f>
        <v>14510526.315789472</v>
      </c>
      <c r="H15" s="171">
        <f>SUM(H16:H22)</f>
        <v>4260046.1083828658</v>
      </c>
      <c r="K15" s="171" t="s">
        <v>425</v>
      </c>
      <c r="L15" s="518">
        <v>1744010.5263157897</v>
      </c>
      <c r="M15" s="518">
        <v>0</v>
      </c>
      <c r="N15" s="171">
        <v>0</v>
      </c>
      <c r="O15" s="171">
        <v>0</v>
      </c>
      <c r="P15" s="171">
        <v>-799494.15919255</v>
      </c>
      <c r="R15" s="171" t="s">
        <v>425</v>
      </c>
      <c r="S15" s="518">
        <f>2471163.76477697-AE15</f>
        <v>1598988.3183850977</v>
      </c>
      <c r="T15" s="518">
        <v>0</v>
      </c>
      <c r="U15" s="420">
        <v>0</v>
      </c>
      <c r="V15" s="420">
        <v>0</v>
      </c>
      <c r="W15" s="444"/>
      <c r="Y15" s="159">
        <f t="shared" ref="Y15:Y25" si="3">L15+S15</f>
        <v>3342998.8447008873</v>
      </c>
      <c r="AA15">
        <f t="shared" ref="AA15:AA24" si="4">Y15/$Y$25*100</f>
        <v>14.536257439864531</v>
      </c>
      <c r="AC15">
        <f t="shared" ref="AC15:AC24" si="5">AA15*$AC$25/100</f>
        <v>872175.4463918719</v>
      </c>
      <c r="AE15">
        <v>872175.44639187213</v>
      </c>
    </row>
    <row r="16" spans="3:31">
      <c r="C16" s="177" t="str">
        <f>IF([2]MasterSheet!$A$1=1,[2]MasterSheet!C74,[2]MasterSheet!B74)</f>
        <v>Porez na dohodak fizičkih lica</v>
      </c>
      <c r="D16" s="171">
        <f>L18+L33-L38+S18-S43</f>
        <v>4007350.5928265979</v>
      </c>
      <c r="E16" s="171">
        <f t="shared" ref="E16:G16" si="6">M18+M33-M38+T18-T43</f>
        <v>-650385.71818847978</v>
      </c>
      <c r="F16" s="171">
        <f>N18+N33-N38+U18-U43+F55</f>
        <v>-10189473.684210526</v>
      </c>
      <c r="G16" s="171">
        <f t="shared" si="6"/>
        <v>-189473.6842105265</v>
      </c>
      <c r="H16" s="171">
        <f>P18+P33-P38+X18-X43</f>
        <v>-584995.72623845004</v>
      </c>
      <c r="K16" s="171" t="s">
        <v>426</v>
      </c>
      <c r="L16" s="518">
        <v>141789.47368421053</v>
      </c>
      <c r="M16" s="518">
        <v>0</v>
      </c>
      <c r="N16" s="171">
        <v>0</v>
      </c>
      <c r="O16" s="171">
        <v>0</v>
      </c>
      <c r="P16" s="171">
        <v>-64999.525137605502</v>
      </c>
      <c r="R16" s="171" t="s">
        <v>426</v>
      </c>
      <c r="S16" s="518">
        <f>200907.623152599-AE16</f>
        <v>129999.05027521102</v>
      </c>
      <c r="T16" s="518">
        <v>0</v>
      </c>
      <c r="U16" s="420">
        <v>0</v>
      </c>
      <c r="V16" s="420">
        <v>0</v>
      </c>
      <c r="W16" s="444"/>
      <c r="Y16" s="159">
        <f t="shared" si="3"/>
        <v>271788.52395942155</v>
      </c>
      <c r="AA16">
        <f t="shared" si="4"/>
        <v>1.181809547956465</v>
      </c>
      <c r="AC16">
        <f t="shared" si="5"/>
        <v>70908.572877387895</v>
      </c>
      <c r="AE16">
        <v>70908.572877387982</v>
      </c>
    </row>
    <row r="17" spans="3:31">
      <c r="C17" s="177" t="str">
        <f>IF([2]MasterSheet!$A$1=1,[2]MasterSheet!C75,[2]MasterSheet!B75)</f>
        <v>Porez na dobit pravnih lica</v>
      </c>
      <c r="D17" s="171">
        <f>L20+S20</f>
        <v>1156823.9665584748</v>
      </c>
      <c r="E17" s="171">
        <f t="shared" ref="E17:G17" si="7">M20+T20</f>
        <v>0</v>
      </c>
      <c r="F17" s="171">
        <f>N20+U20+F59</f>
        <v>0</v>
      </c>
      <c r="G17" s="171">
        <f t="shared" si="7"/>
        <v>0</v>
      </c>
      <c r="H17" s="171">
        <f>P20+X20</f>
        <v>-276659.98327923752</v>
      </c>
      <c r="K17" s="171" t="s">
        <v>26</v>
      </c>
      <c r="L17" s="518">
        <v>28357.894736842103</v>
      </c>
      <c r="M17" s="518">
        <v>0</v>
      </c>
      <c r="N17" s="171">
        <v>0</v>
      </c>
      <c r="O17" s="171">
        <v>0</v>
      </c>
      <c r="P17" s="171">
        <v>-12999.905027521099</v>
      </c>
      <c r="R17" s="171" t="s">
        <v>26</v>
      </c>
      <c r="S17" s="518">
        <f>40181.5246305198-AE17</f>
        <v>25999.81005504221</v>
      </c>
      <c r="T17" s="518">
        <v>0</v>
      </c>
      <c r="U17" s="420">
        <v>0</v>
      </c>
      <c r="V17" s="420">
        <v>0</v>
      </c>
      <c r="W17" s="444"/>
      <c r="Y17" s="159">
        <f t="shared" si="3"/>
        <v>54357.704791884316</v>
      </c>
      <c r="AA17">
        <f t="shared" si="4"/>
        <v>0.23636190959129302</v>
      </c>
      <c r="AC17">
        <f t="shared" si="5"/>
        <v>14181.714575477583</v>
      </c>
      <c r="AE17">
        <v>14181.714575477594</v>
      </c>
    </row>
    <row r="18" spans="3:31">
      <c r="C18" s="177" t="str">
        <f>IF([2]MasterSheet!$A$1=1,[2]MasterSheet!C76,[2]MasterSheet!B76)</f>
        <v>Porez na promet nepokretnosti</v>
      </c>
      <c r="D18" s="171">
        <f>L21+S21</f>
        <v>1955792.0343709602</v>
      </c>
      <c r="E18" s="171">
        <f t="shared" ref="E18:G18" si="8">M21+T21</f>
        <v>0</v>
      </c>
      <c r="F18" s="171">
        <f t="shared" si="8"/>
        <v>0</v>
      </c>
      <c r="G18" s="171">
        <f t="shared" si="8"/>
        <v>0</v>
      </c>
      <c r="H18" s="171">
        <f>P21+X21</f>
        <v>0</v>
      </c>
      <c r="K18" s="171" t="s">
        <v>427</v>
      </c>
      <c r="L18" s="518">
        <v>1276105.2631578946</v>
      </c>
      <c r="M18" s="518">
        <v>0</v>
      </c>
      <c r="N18" s="171">
        <v>0</v>
      </c>
      <c r="O18" s="171">
        <v>0</v>
      </c>
      <c r="P18" s="171">
        <v>-584995.72623845004</v>
      </c>
      <c r="R18" s="171" t="s">
        <v>427</v>
      </c>
      <c r="S18" s="518">
        <f>1808168.60837339-AE18</f>
        <v>1169991.4524768984</v>
      </c>
      <c r="T18" s="518">
        <v>0</v>
      </c>
      <c r="U18" s="420">
        <v>0</v>
      </c>
      <c r="V18" s="420">
        <v>0</v>
      </c>
      <c r="W18" s="444"/>
      <c r="Y18" s="159">
        <f t="shared" si="3"/>
        <v>2446096.715634793</v>
      </c>
      <c r="AA18">
        <f t="shared" si="4"/>
        <v>10.636285931608182</v>
      </c>
      <c r="AC18">
        <f t="shared" si="5"/>
        <v>638177.15589649091</v>
      </c>
      <c r="AE18">
        <v>638177.1558964916</v>
      </c>
    </row>
    <row r="19" spans="3:31">
      <c r="C19" s="177" t="str">
        <f>IF([2]MasterSheet!$A$1=1,[2]MasterSheet!C77,[2]MasterSheet!B77)</f>
        <v>Porez na dodatu vrijednost</v>
      </c>
      <c r="D19" s="171">
        <f>-400000+L22+L54+L46+L50+S22+S30+S32+S34+S36+S40</f>
        <v>15010870.287431773</v>
      </c>
      <c r="E19" s="171">
        <f t="shared" ref="E19" si="9">-400000+M22+M54+M46+M50+T22+T30+T32+T34+T36+T40</f>
        <v>56500000</v>
      </c>
      <c r="F19" s="171">
        <f>N22+N54+N46+N50+U22+U30+U32+U34+U36+U40</f>
        <v>4200000</v>
      </c>
      <c r="G19" s="171">
        <f>O22+O54+O46+O50+V22+V30+V32+V34+V36+V40</f>
        <v>7300000</v>
      </c>
      <c r="H19" s="171">
        <f>P22+P54+P46+P50+X22+W30+W32+W34+W36+X40</f>
        <v>3886387.106284115</v>
      </c>
      <c r="K19" s="171" t="s">
        <v>428</v>
      </c>
      <c r="L19" s="518">
        <f>SUM(L14:L18)</f>
        <v>6735000</v>
      </c>
      <c r="M19" s="518">
        <v>0</v>
      </c>
      <c r="N19" s="171">
        <v>0</v>
      </c>
      <c r="O19" s="171">
        <v>0</v>
      </c>
      <c r="P19" s="171">
        <v>-3087477.4440362649</v>
      </c>
      <c r="R19" s="171" t="s">
        <v>495</v>
      </c>
      <c r="S19" s="518">
        <f>SUM(S14:S18)</f>
        <v>6174954.8880725298</v>
      </c>
      <c r="T19" s="518">
        <v>0</v>
      </c>
      <c r="U19" s="420">
        <v>0</v>
      </c>
      <c r="V19" s="420">
        <v>0</v>
      </c>
      <c r="W19" s="444"/>
      <c r="Y19" s="159"/>
      <c r="AA19">
        <f t="shared" si="4"/>
        <v>0</v>
      </c>
      <c r="AC19">
        <f t="shared" si="5"/>
        <v>0</v>
      </c>
      <c r="AE19">
        <v>0</v>
      </c>
    </row>
    <row r="20" spans="3:31">
      <c r="C20" s="177" t="str">
        <f>IF([2]MasterSheet!$A$1=1,[2]MasterSheet!C78,[2]MasterSheet!B78)</f>
        <v>Akcize</v>
      </c>
      <c r="D20" s="171">
        <f>L53+S29+S31+S33+S35</f>
        <v>30200000</v>
      </c>
      <c r="E20" s="171">
        <f t="shared" ref="E20:H20" si="10">M53+T29+T31+T33+T35</f>
        <v>26600000</v>
      </c>
      <c r="F20" s="171">
        <f>N53+U29+U31+U33+U35</f>
        <v>8400000</v>
      </c>
      <c r="G20" s="171">
        <f t="shared" si="10"/>
        <v>7400000</v>
      </c>
      <c r="H20" s="171">
        <f t="shared" si="10"/>
        <v>1300000</v>
      </c>
      <c r="K20" s="171" t="s">
        <v>5</v>
      </c>
      <c r="L20" s="518">
        <v>603504</v>
      </c>
      <c r="M20" s="518">
        <v>0</v>
      </c>
      <c r="N20" s="171">
        <v>0</v>
      </c>
      <c r="O20" s="171">
        <v>0</v>
      </c>
      <c r="P20" s="171">
        <v>-276659.98327923752</v>
      </c>
      <c r="R20" s="171" t="s">
        <v>5</v>
      </c>
      <c r="S20" s="518">
        <f>855130.857408552-AE20</f>
        <v>553319.96655847481</v>
      </c>
      <c r="T20" s="518">
        <v>0</v>
      </c>
      <c r="U20" s="420">
        <v>0</v>
      </c>
      <c r="V20" s="420">
        <v>0</v>
      </c>
      <c r="W20" s="444"/>
      <c r="Y20" s="159">
        <f t="shared" si="3"/>
        <v>1156823.9665584748</v>
      </c>
      <c r="AA20">
        <f t="shared" si="4"/>
        <v>5.0301815141679525</v>
      </c>
      <c r="AC20">
        <f t="shared" si="5"/>
        <v>301810.89085007715</v>
      </c>
      <c r="AE20">
        <v>301810.89085007721</v>
      </c>
    </row>
    <row r="21" spans="3:31">
      <c r="C21" s="178" t="str">
        <f>IF([2]MasterSheet!$A$1=1,[2]MasterSheet!C79,[2]MasterSheet!B79)</f>
        <v>Porez na međunarodnu trgovinu i transakcije</v>
      </c>
      <c r="D21" s="171"/>
      <c r="E21" s="173"/>
      <c r="F21" s="171"/>
      <c r="G21" s="173"/>
      <c r="H21" s="171"/>
      <c r="K21" s="171" t="s">
        <v>429</v>
      </c>
      <c r="L21" s="518">
        <v>1020318</v>
      </c>
      <c r="M21" s="518">
        <v>0</v>
      </c>
      <c r="N21" s="171">
        <v>0</v>
      </c>
      <c r="O21" s="171">
        <v>0</v>
      </c>
      <c r="P21" s="171"/>
      <c r="R21" s="171" t="s">
        <v>429</v>
      </c>
      <c r="S21" s="518">
        <f>1445732.5985733-AE21</f>
        <v>935474.03437096009</v>
      </c>
      <c r="T21" s="518">
        <v>0</v>
      </c>
      <c r="U21" s="420">
        <v>0</v>
      </c>
      <c r="V21" s="420">
        <v>0</v>
      </c>
      <c r="W21" s="444"/>
      <c r="Y21" s="159">
        <f t="shared" si="3"/>
        <v>1955792.0343709602</v>
      </c>
      <c r="AA21">
        <f t="shared" si="4"/>
        <v>8.5043094033723481</v>
      </c>
      <c r="AC21">
        <f t="shared" si="5"/>
        <v>510258.5642023409</v>
      </c>
      <c r="AE21">
        <v>510258.56420233997</v>
      </c>
    </row>
    <row r="22" spans="3:31">
      <c r="C22" s="177" t="str">
        <f>IF([2]MasterSheet!$A$1=1,[2]MasterSheet!C80,[2]MasterSheet!B80)</f>
        <v>Ostali državni porezi</v>
      </c>
      <c r="D22" s="171">
        <f>L24+S24</f>
        <v>270474.5767671254</v>
      </c>
      <c r="E22" s="171">
        <f t="shared" ref="E22:G22" si="11">M24+T24</f>
        <v>0</v>
      </c>
      <c r="F22" s="171">
        <f t="shared" si="11"/>
        <v>0</v>
      </c>
      <c r="G22" s="171">
        <f t="shared" si="11"/>
        <v>0</v>
      </c>
      <c r="H22" s="171">
        <f>P24+X24</f>
        <v>-64685.288383562503</v>
      </c>
      <c r="K22" s="171" t="s">
        <v>430</v>
      </c>
      <c r="L22" s="518">
        <v>3083644.5</v>
      </c>
      <c r="M22" s="518">
        <v>0</v>
      </c>
      <c r="N22" s="171">
        <v>0</v>
      </c>
      <c r="O22" s="171">
        <v>0</v>
      </c>
      <c r="P22" s="171">
        <v>-1413612.893715885</v>
      </c>
      <c r="R22" s="171" t="s">
        <v>430</v>
      </c>
      <c r="S22" s="518">
        <f>4369348.94421274-AE22</f>
        <v>2827225.7874317733</v>
      </c>
      <c r="T22" s="518">
        <v>0</v>
      </c>
      <c r="U22" s="420">
        <v>0</v>
      </c>
      <c r="V22" s="420">
        <v>0</v>
      </c>
      <c r="W22" s="444"/>
      <c r="Y22" s="159">
        <f t="shared" si="3"/>
        <v>5910870.2874317728</v>
      </c>
      <c r="AA22">
        <f t="shared" si="4"/>
        <v>25.702052613016114</v>
      </c>
      <c r="AC22">
        <f t="shared" si="5"/>
        <v>1542123.1567809668</v>
      </c>
      <c r="AE22">
        <v>1542123.156780967</v>
      </c>
    </row>
    <row r="23" spans="3:31">
      <c r="C23" s="176" t="str">
        <f>IF([2]MasterSheet!$A$1=1,[2]MasterSheet!C81,[2]MasterSheet!B81)</f>
        <v>Doprinosi</v>
      </c>
      <c r="D23" s="171">
        <f>SUM(D24:D27)</f>
        <v>18375372.400723204</v>
      </c>
      <c r="E23" s="171">
        <f>SUM(E24:E27)</f>
        <v>1465185.7181884795</v>
      </c>
      <c r="F23" s="171">
        <f>SUM(F24:F27)</f>
        <v>-2890526.3157894746</v>
      </c>
      <c r="G23" s="171">
        <f>SUM(G24:G27)</f>
        <v>-810526.31578947417</v>
      </c>
      <c r="H23" s="171">
        <f>SUM(H24:H27)</f>
        <v>-2502481.7177978167</v>
      </c>
      <c r="K23" s="171" t="s">
        <v>431</v>
      </c>
      <c r="L23" s="518">
        <v>414088</v>
      </c>
      <c r="M23" s="518">
        <v>0</v>
      </c>
      <c r="N23" s="171">
        <v>0</v>
      </c>
      <c r="O23" s="171">
        <v>0</v>
      </c>
      <c r="P23" s="171">
        <v>-189827.37339956799</v>
      </c>
      <c r="R23" s="171" t="s">
        <v>431</v>
      </c>
      <c r="S23" s="518">
        <f>586739.154144119-AE23</f>
        <v>379654.74679913581</v>
      </c>
      <c r="T23" s="518">
        <v>0</v>
      </c>
      <c r="U23" s="420">
        <v>0</v>
      </c>
      <c r="V23" s="420">
        <v>0</v>
      </c>
      <c r="W23" s="444"/>
      <c r="Y23" s="159">
        <f t="shared" si="3"/>
        <v>793742.74679913581</v>
      </c>
      <c r="AA23">
        <f t="shared" si="4"/>
        <v>3.4514067890830531</v>
      </c>
      <c r="AC23">
        <f t="shared" si="5"/>
        <v>207084.40734498319</v>
      </c>
      <c r="AE23">
        <v>207084.40734498322</v>
      </c>
    </row>
    <row r="24" spans="3:31">
      <c r="C24" s="177" t="str">
        <f>IF([2]MasterSheet!$A$1=1,[2]MasterSheet!C82,[2]MasterSheet!B82)</f>
        <v>Doprinosi za penzijsko i invalidsko osiguranje</v>
      </c>
      <c r="D24" s="171">
        <f>L14+L29-L39+S14-S44+S52</f>
        <v>11932060.000469612</v>
      </c>
      <c r="E24" s="171">
        <f t="shared" ref="E24" si="12">M14+M29-M39+T14-T44+T52</f>
        <v>951419.29752498679</v>
      </c>
      <c r="F24" s="171">
        <f t="shared" ref="F24:F27" si="13">N14+N29-N39+U14-U44+U52</f>
        <v>-1876965.1401230358</v>
      </c>
      <c r="G24" s="171">
        <f t="shared" ref="G24:G27" si="14">O14+O29-O39+V14-V44+V52</f>
        <v>-526315.78947368497</v>
      </c>
      <c r="H24" s="171">
        <f t="shared" ref="H24:H27" si="15">P14+P29-P39+X14-X44+X52</f>
        <v>-1624988.12844014</v>
      </c>
      <c r="K24" s="171" t="s">
        <v>227</v>
      </c>
      <c r="L24" s="518">
        <v>141104</v>
      </c>
      <c r="M24" s="518">
        <v>0</v>
      </c>
      <c r="N24" s="171">
        <v>0</v>
      </c>
      <c r="O24" s="171">
        <v>0</v>
      </c>
      <c r="P24" s="171">
        <v>-64685.288383562503</v>
      </c>
      <c r="R24" s="171" t="s">
        <v>227</v>
      </c>
      <c r="S24" s="518">
        <f>199936.34591283-AE24</f>
        <v>129370.57676712543</v>
      </c>
      <c r="T24" s="518">
        <v>0</v>
      </c>
      <c r="U24" s="420">
        <v>0</v>
      </c>
      <c r="V24" s="420">
        <v>0</v>
      </c>
      <c r="W24" s="444"/>
      <c r="Y24" s="159">
        <f t="shared" si="3"/>
        <v>270474.5767671254</v>
      </c>
      <c r="AA24">
        <f t="shared" si="4"/>
        <v>1.176096152428411</v>
      </c>
      <c r="AC24">
        <f t="shared" si="5"/>
        <v>70565.76914570466</v>
      </c>
      <c r="AE24">
        <v>70565.769145704573</v>
      </c>
    </row>
    <row r="25" spans="3:31">
      <c r="C25" s="177" t="str">
        <f>IF([2]MasterSheet!$A$1=1,[2]MasterSheet!C83,[2]MasterSheet!B83)</f>
        <v>Doprinosi za zdravstveno osiguranje</v>
      </c>
      <c r="D25" s="171">
        <f>L15+L30-L40+S15-S45+S53</f>
        <v>5870573.5202310532</v>
      </c>
      <c r="E25" s="171">
        <f t="shared" ref="E25" si="16">M15+M30-M40+T15-T45+T53</f>
        <v>468098.29438229336</v>
      </c>
      <c r="F25" s="171">
        <f t="shared" si="13"/>
        <v>-923466.848940533</v>
      </c>
      <c r="G25" s="171">
        <f t="shared" si="14"/>
        <v>-258947.3684210525</v>
      </c>
      <c r="H25" s="171">
        <f t="shared" si="15"/>
        <v>-799494.15919255</v>
      </c>
      <c r="K25" s="171" t="s">
        <v>432</v>
      </c>
      <c r="L25" s="518">
        <f>SUM(L19:L24)</f>
        <v>11997658.5</v>
      </c>
      <c r="M25" s="518">
        <f t="shared" ref="M25:P25" si="17">SUM(M19:M24)</f>
        <v>0</v>
      </c>
      <c r="N25" s="171">
        <f t="shared" si="17"/>
        <v>0</v>
      </c>
      <c r="O25" s="171">
        <f t="shared" si="17"/>
        <v>0</v>
      </c>
      <c r="P25" s="171">
        <f t="shared" si="17"/>
        <v>-5032262.9828145178</v>
      </c>
      <c r="R25" s="171" t="s">
        <v>432</v>
      </c>
      <c r="S25" s="518">
        <f>SUM(S19:S24)</f>
        <v>11000000</v>
      </c>
      <c r="T25" s="518">
        <v>0</v>
      </c>
      <c r="U25" s="420">
        <v>0</v>
      </c>
      <c r="V25" s="420">
        <v>0</v>
      </c>
      <c r="W25" s="444"/>
      <c r="Y25" s="159">
        <f t="shared" si="3"/>
        <v>22997658.5</v>
      </c>
      <c r="AC25">
        <v>6000000</v>
      </c>
    </row>
    <row r="26" spans="3:31">
      <c r="C26" s="178" t="str">
        <f>IF([2]MasterSheet!$A$1=1,[2]MasterSheet!C84,[2]MasterSheet!B84)</f>
        <v>Doprinosi za osiguranje od nezaposlenosti</v>
      </c>
      <c r="D26" s="171">
        <f>L16+L31-L41+S16-S46+S54</f>
        <v>477282.40001878509</v>
      </c>
      <c r="E26" s="171">
        <f t="shared" ref="E26" si="18">M16+M31-M41+T16-T46+T54</f>
        <v>38056.771900999505</v>
      </c>
      <c r="F26" s="171">
        <f t="shared" si="13"/>
        <v>-75078.60560492138</v>
      </c>
      <c r="G26" s="171">
        <f t="shared" si="14"/>
        <v>-21052.631578947348</v>
      </c>
      <c r="H26" s="171">
        <f t="shared" si="15"/>
        <v>-64999.525137605502</v>
      </c>
    </row>
    <row r="27" spans="3:31">
      <c r="C27" s="177" t="str">
        <f>IF([2]MasterSheet!$A$1=1,[2]MasterSheet!C85,[2]MasterSheet!B85)</f>
        <v>Ostali doprinosi</v>
      </c>
      <c r="D27" s="171">
        <f>L17+L32-L42+S17-S47+S55</f>
        <v>95456.480003756878</v>
      </c>
      <c r="E27" s="171">
        <f t="shared" ref="E27" si="19">M17+M32-M42+T17-T47+T55</f>
        <v>7611.3543801999003</v>
      </c>
      <c r="F27" s="171">
        <f t="shared" si="13"/>
        <v>-15015.721120984283</v>
      </c>
      <c r="G27" s="171">
        <f t="shared" si="14"/>
        <v>-4210.5263157894751</v>
      </c>
      <c r="H27" s="171">
        <f t="shared" si="15"/>
        <v>-12999.905027521099</v>
      </c>
    </row>
    <row r="28" spans="3:31">
      <c r="C28" s="176" t="str">
        <f>IF([2]MasterSheet!$A$1=1,[2]MasterSheet!C86,[2]MasterSheet!B86)</f>
        <v>Takse</v>
      </c>
      <c r="D28" s="171">
        <f>SUM(D29:D32)</f>
        <v>0</v>
      </c>
      <c r="E28" s="171">
        <f>SUM(E29:E32)</f>
        <v>5000000</v>
      </c>
      <c r="F28" s="171">
        <f>SUM(F29:F32)</f>
        <v>-3000000</v>
      </c>
      <c r="G28" s="171">
        <f>SUM(G29:G32)</f>
        <v>-3000000</v>
      </c>
      <c r="H28" s="171">
        <f>SUM(H29:H32)</f>
        <v>0</v>
      </c>
      <c r="K28" s="421" t="s">
        <v>434</v>
      </c>
      <c r="L28" s="520">
        <v>2017</v>
      </c>
      <c r="M28" s="520">
        <v>2018</v>
      </c>
      <c r="N28" s="420">
        <v>2019</v>
      </c>
      <c r="O28" s="420">
        <v>2020</v>
      </c>
      <c r="P28" s="420">
        <v>2021</v>
      </c>
      <c r="R28" s="421" t="s">
        <v>492</v>
      </c>
      <c r="S28" s="520">
        <v>2017</v>
      </c>
      <c r="T28" s="520">
        <v>2018</v>
      </c>
      <c r="U28" s="420">
        <v>2019</v>
      </c>
      <c r="V28" s="420">
        <v>2020</v>
      </c>
      <c r="W28" s="420">
        <v>2021</v>
      </c>
    </row>
    <row r="29" spans="3:31">
      <c r="C29" s="177" t="str">
        <f>IF([2]MasterSheet!$A$1=1,[2]MasterSheet!C87,[2]MasterSheet!B87)</f>
        <v>Administrativne takse</v>
      </c>
      <c r="D29" s="171">
        <f>+D52</f>
        <v>0</v>
      </c>
      <c r="E29" s="171">
        <f t="shared" ref="E29:H29" si="20">+E52</f>
        <v>5000000</v>
      </c>
      <c r="F29" s="171">
        <f t="shared" si="20"/>
        <v>-3000000</v>
      </c>
      <c r="G29" s="171">
        <f t="shared" si="20"/>
        <v>-3000000</v>
      </c>
      <c r="H29" s="171">
        <f t="shared" si="20"/>
        <v>0</v>
      </c>
      <c r="K29" s="171" t="s">
        <v>424</v>
      </c>
      <c r="L29" s="518">
        <f>7894736.84210526-AE29</f>
        <v>5263157.8947368385</v>
      </c>
      <c r="M29" s="518">
        <v>-1578947.368421053</v>
      </c>
      <c r="N29" s="171">
        <f>-1052631.57894737/2</f>
        <v>-526315.78947368497</v>
      </c>
      <c r="O29" s="171">
        <v>-526315.78947368497</v>
      </c>
      <c r="P29" s="171">
        <v>0</v>
      </c>
      <c r="R29" s="171" t="s">
        <v>486</v>
      </c>
      <c r="S29" s="518">
        <v>4600000</v>
      </c>
      <c r="T29" s="518">
        <v>17800000</v>
      </c>
      <c r="U29" s="171">
        <v>3800000</v>
      </c>
      <c r="V29" s="171">
        <v>2700000</v>
      </c>
      <c r="W29" s="171">
        <v>1300000</v>
      </c>
      <c r="Y29">
        <v>7894736.8421052629</v>
      </c>
      <c r="AA29">
        <f>Y29/$Y$34</f>
        <v>0.52631578947368429</v>
      </c>
      <c r="AC29">
        <f>AA29*$AC$34</f>
        <v>2631578.9473684216</v>
      </c>
      <c r="AE29">
        <v>2631578.9473684216</v>
      </c>
    </row>
    <row r="30" spans="3:31">
      <c r="C30" s="177" t="str">
        <f>IF([2]MasterSheet!$A$1=1,[2]MasterSheet!C88,[2]MasterSheet!B88)</f>
        <v>Sudske takse</v>
      </c>
      <c r="D30" s="171"/>
      <c r="E30" s="174"/>
      <c r="F30" s="171"/>
      <c r="G30" s="174"/>
      <c r="H30" s="171"/>
      <c r="K30" s="171" t="s">
        <v>425</v>
      </c>
      <c r="L30" s="518">
        <f>3884210.52631579-AE30</f>
        <v>2589473.6842105268</v>
      </c>
      <c r="M30" s="518">
        <v>-776842.1052631581</v>
      </c>
      <c r="N30" s="171">
        <f>-517894.736842105/2</f>
        <v>-258947.3684210525</v>
      </c>
      <c r="O30" s="171">
        <v>-258947.3684210525</v>
      </c>
      <c r="P30" s="171">
        <v>0</v>
      </c>
      <c r="R30" s="171" t="s">
        <v>491</v>
      </c>
      <c r="S30" s="518">
        <v>700000</v>
      </c>
      <c r="T30" s="518">
        <v>2800000</v>
      </c>
      <c r="U30" s="171">
        <v>2200000</v>
      </c>
      <c r="V30" s="171">
        <v>1000000</v>
      </c>
      <c r="W30" s="171">
        <v>300000</v>
      </c>
      <c r="Y30">
        <v>3884210.5263157897</v>
      </c>
      <c r="AA30">
        <f t="shared" ref="AA30:AA33" si="21">Y30/$Y$34</f>
        <v>0.2589473684210527</v>
      </c>
      <c r="AC30">
        <f t="shared" ref="AC30:AC33" si="22">AA30*$AC$34</f>
        <v>1294736.8421052636</v>
      </c>
      <c r="AE30">
        <v>1294736.8421052636</v>
      </c>
    </row>
    <row r="31" spans="3:31">
      <c r="C31" s="178" t="str">
        <f>IF([2]MasterSheet!$A$1=1,[2]MasterSheet!C89,[2]MasterSheet!B89)</f>
        <v>Boravišne takse</v>
      </c>
      <c r="D31" s="171"/>
      <c r="E31" s="173"/>
      <c r="F31" s="171"/>
      <c r="G31" s="173"/>
      <c r="H31" s="171"/>
      <c r="K31" s="171" t="s">
        <v>426</v>
      </c>
      <c r="L31" s="518">
        <f>315789.473684211-AE31</f>
        <v>210526.31578947417</v>
      </c>
      <c r="M31" s="518">
        <v>-63157.894736842107</v>
      </c>
      <c r="N31" s="171">
        <f>-42105.2631578947/2</f>
        <v>-21052.631578947348</v>
      </c>
      <c r="O31" s="171">
        <v>-21052.631578947348</v>
      </c>
      <c r="P31" s="171">
        <v>0</v>
      </c>
      <c r="R31" s="171" t="s">
        <v>487</v>
      </c>
      <c r="S31" s="518">
        <v>0</v>
      </c>
      <c r="T31" s="518">
        <v>7700000</v>
      </c>
      <c r="U31" s="171">
        <v>1200000</v>
      </c>
      <c r="V31" s="171">
        <v>1000000</v>
      </c>
      <c r="W31" s="171">
        <v>0</v>
      </c>
      <c r="Y31">
        <v>315789.4736842105</v>
      </c>
      <c r="AA31">
        <f t="shared" si="21"/>
        <v>2.1052631578947368E-2</v>
      </c>
      <c r="AC31">
        <f t="shared" si="22"/>
        <v>105263.15789473684</v>
      </c>
      <c r="AE31">
        <v>105263.15789473684</v>
      </c>
    </row>
    <row r="32" spans="3:31">
      <c r="C32" s="177" t="str">
        <f>IF([2]MasterSheet!$A$1=1,[2]MasterSheet!C90,[2]MasterSheet!B90)</f>
        <v>Ostale takse</v>
      </c>
      <c r="D32" s="171"/>
      <c r="E32" s="172"/>
      <c r="F32" s="171"/>
      <c r="G32" s="172"/>
      <c r="H32" s="171"/>
      <c r="K32" s="171" t="s">
        <v>26</v>
      </c>
      <c r="L32" s="518">
        <f>63157.8947368421-AE32</f>
        <v>42105.263157894726</v>
      </c>
      <c r="M32" s="518">
        <v>-12631.578947368422</v>
      </c>
      <c r="N32" s="171">
        <f>-8421.05263157895/2</f>
        <v>-4210.5263157894751</v>
      </c>
      <c r="O32" s="171">
        <v>-4210.5263157894751</v>
      </c>
      <c r="P32" s="171">
        <v>0</v>
      </c>
      <c r="R32" s="171" t="s">
        <v>491</v>
      </c>
      <c r="S32" s="518">
        <v>0</v>
      </c>
      <c r="T32" s="518">
        <v>700000</v>
      </c>
      <c r="U32" s="171">
        <v>900000</v>
      </c>
      <c r="V32" s="171">
        <v>100000</v>
      </c>
      <c r="W32" s="171">
        <v>0</v>
      </c>
      <c r="Y32">
        <v>63157.894736842107</v>
      </c>
      <c r="AA32">
        <f t="shared" si="21"/>
        <v>4.2105263157894745E-3</v>
      </c>
      <c r="AC32">
        <f t="shared" si="22"/>
        <v>21052.631578947374</v>
      </c>
      <c r="AE32">
        <v>21052.631578947374</v>
      </c>
    </row>
    <row r="33" spans="3:31">
      <c r="C33" s="176" t="str">
        <f>IF([2]MasterSheet!$A$1=1,[2]MasterSheet!C91,[2]MasterSheet!B91)</f>
        <v>Naknade</v>
      </c>
      <c r="D33" s="171">
        <f>SUM(D34:D39)</f>
        <v>-49856257.253200866</v>
      </c>
      <c r="E33" s="171">
        <f>SUM(E34:E39)</f>
        <v>0</v>
      </c>
      <c r="F33" s="171">
        <f>SUM(F34:F39)</f>
        <v>9000000</v>
      </c>
      <c r="G33" s="171">
        <f>SUM(G34:G39)</f>
        <v>0</v>
      </c>
      <c r="H33" s="171">
        <f>SUM(H34:H39)</f>
        <v>-189827.37339956799</v>
      </c>
      <c r="K33" s="171" t="s">
        <v>427</v>
      </c>
      <c r="L33" s="518">
        <f>2842105.26315789-AE33</f>
        <v>1894736.8421052587</v>
      </c>
      <c r="M33" s="518">
        <v>-568421.05263157899</v>
      </c>
      <c r="N33" s="171">
        <f>-378947.368421053/2</f>
        <v>-189473.6842105265</v>
      </c>
      <c r="O33" s="171">
        <v>-189473.6842105265</v>
      </c>
      <c r="P33" s="171">
        <v>0</v>
      </c>
      <c r="R33" s="171" t="s">
        <v>489</v>
      </c>
      <c r="S33" s="518">
        <v>600000</v>
      </c>
      <c r="T33" s="518">
        <v>1100000</v>
      </c>
      <c r="U33" s="171">
        <v>1100000</v>
      </c>
      <c r="V33" s="171">
        <v>1400000</v>
      </c>
      <c r="W33" s="171">
        <v>0</v>
      </c>
      <c r="Y33">
        <v>2842105.2631578944</v>
      </c>
      <c r="AA33">
        <f t="shared" si="21"/>
        <v>0.18947368421052632</v>
      </c>
      <c r="AC33">
        <f t="shared" si="22"/>
        <v>947368.42105263157</v>
      </c>
      <c r="AE33">
        <v>947368.42105263157</v>
      </c>
    </row>
    <row r="34" spans="3:31">
      <c r="C34" s="177" t="str">
        <f>IF([2]MasterSheet!$A$1=1,[2]MasterSheet!C92,[2]MasterSheet!B92)</f>
        <v>Naknade za korišćenje dobara od opšteg interesa</v>
      </c>
      <c r="D34" s="171"/>
      <c r="E34" s="172"/>
      <c r="F34" s="171"/>
      <c r="G34" s="172"/>
      <c r="H34" s="171"/>
      <c r="K34" s="171" t="s">
        <v>432</v>
      </c>
      <c r="L34" s="518">
        <f>SUM(L29:L33)</f>
        <v>9999999.9999999925</v>
      </c>
      <c r="M34" s="518">
        <f>SUM(M29:M33)</f>
        <v>-3000000.0000000009</v>
      </c>
      <c r="N34" s="171">
        <f>SUM(N29:N33)</f>
        <v>-1000000.0000000007</v>
      </c>
      <c r="O34" s="171">
        <f>SUM(O29:O33)</f>
        <v>-1000000.0000000007</v>
      </c>
      <c r="P34" s="171">
        <v>0</v>
      </c>
      <c r="R34" s="171" t="s">
        <v>491</v>
      </c>
      <c r="S34" s="518">
        <v>300000</v>
      </c>
      <c r="T34" s="518">
        <v>600000</v>
      </c>
      <c r="U34" s="171">
        <v>700000</v>
      </c>
      <c r="V34" s="171">
        <v>800000</v>
      </c>
      <c r="W34" s="171">
        <v>0</v>
      </c>
      <c r="Y34">
        <v>14999999.999999998</v>
      </c>
      <c r="AC34">
        <v>5000000</v>
      </c>
    </row>
    <row r="35" spans="3:31">
      <c r="C35" s="177" t="str">
        <f>IF([2]MasterSheet!$A$1=1,[2]MasterSheet!C93,[2]MasterSheet!B93)</f>
        <v>Naknade za korišćenje prirodnih dobara</v>
      </c>
      <c r="D35" s="171">
        <f>L23+S23</f>
        <v>793742.74679913581</v>
      </c>
      <c r="E35" s="171">
        <f t="shared" ref="E35:G35" si="23">M23+T23</f>
        <v>0</v>
      </c>
      <c r="F35" s="171">
        <f t="shared" si="23"/>
        <v>0</v>
      </c>
      <c r="G35" s="171">
        <f t="shared" si="23"/>
        <v>0</v>
      </c>
      <c r="H35" s="171">
        <f>P23+X23</f>
        <v>-189827.37339956799</v>
      </c>
      <c r="R35" s="171" t="s">
        <v>488</v>
      </c>
      <c r="S35" s="518">
        <v>0</v>
      </c>
      <c r="T35" s="518">
        <v>0</v>
      </c>
      <c r="U35" s="171">
        <v>2300000</v>
      </c>
      <c r="V35" s="171">
        <v>2300000</v>
      </c>
      <c r="W35" s="171">
        <v>0</v>
      </c>
    </row>
    <row r="36" spans="3:31">
      <c r="C36" s="177" t="str">
        <f>IF([2]MasterSheet!$A$1=1,[2]MasterSheet!C94,[2]MasterSheet!B94)</f>
        <v>Ekološke naknade</v>
      </c>
      <c r="D36" s="171"/>
      <c r="E36" s="172"/>
      <c r="F36" s="171"/>
      <c r="G36" s="172"/>
      <c r="H36" s="171"/>
      <c r="R36" s="171" t="s">
        <v>491</v>
      </c>
      <c r="S36" s="518">
        <v>0</v>
      </c>
      <c r="T36" s="518">
        <v>0</v>
      </c>
      <c r="U36" s="171">
        <v>400000</v>
      </c>
      <c r="V36" s="171">
        <v>400000</v>
      </c>
      <c r="W36" s="171">
        <v>0</v>
      </c>
    </row>
    <row r="37" spans="3:31">
      <c r="C37" s="177" t="str">
        <f>IF([2]MasterSheet!$A$1=1,[2]MasterSheet!C95,[2]MasterSheet!B95)</f>
        <v>Naknade za priređivanje igara na sreću</v>
      </c>
      <c r="D37" s="171"/>
      <c r="E37" s="172"/>
      <c r="F37" s="171">
        <v>9000000</v>
      </c>
      <c r="G37" s="171">
        <v>0</v>
      </c>
      <c r="H37" s="171">
        <v>0</v>
      </c>
      <c r="K37" s="421" t="s">
        <v>480</v>
      </c>
      <c r="L37" s="520">
        <v>2017</v>
      </c>
      <c r="M37" s="520">
        <v>2018</v>
      </c>
      <c r="N37" s="420">
        <v>2019</v>
      </c>
      <c r="O37" s="420">
        <v>2020</v>
      </c>
      <c r="P37" s="420">
        <v>2021</v>
      </c>
      <c r="R37" s="171" t="s">
        <v>483</v>
      </c>
      <c r="S37" s="518">
        <f>SUM(S29:S36)</f>
        <v>6200000</v>
      </c>
      <c r="T37" s="518">
        <f t="shared" ref="T37:W37" si="24">SUM(T29:T36)</f>
        <v>30700000</v>
      </c>
      <c r="U37" s="171">
        <f t="shared" si="24"/>
        <v>12600000</v>
      </c>
      <c r="V37" s="171">
        <f t="shared" si="24"/>
        <v>9700000</v>
      </c>
      <c r="W37" s="171">
        <f t="shared" si="24"/>
        <v>1600000</v>
      </c>
    </row>
    <row r="38" spans="3:31">
      <c r="C38" s="178" t="str">
        <f>IF([2]MasterSheet!$A$1=1,[2]MasterSheet!C96,[2]MasterSheet!B96)</f>
        <v>Naknada za puteve</v>
      </c>
      <c r="D38" s="171"/>
      <c r="E38" s="173"/>
      <c r="F38" s="171"/>
      <c r="G38" s="173"/>
      <c r="H38" s="171"/>
      <c r="K38" s="171" t="s">
        <v>427</v>
      </c>
      <c r="L38" s="518">
        <v>251518.29935655324</v>
      </c>
      <c r="M38" s="518">
        <v>0</v>
      </c>
      <c r="N38" s="171">
        <v>0</v>
      </c>
      <c r="O38" s="171">
        <v>0</v>
      </c>
      <c r="P38" s="171">
        <v>0</v>
      </c>
    </row>
    <row r="39" spans="3:31">
      <c r="C39" s="177" t="str">
        <f>IF([2]MasterSheet!$A$1=1,[2]MasterSheet!C97,[2]MasterSheet!B97)</f>
        <v>Ostale naknade</v>
      </c>
      <c r="D39" s="171">
        <v>-50650000</v>
      </c>
      <c r="E39" s="171"/>
      <c r="F39" s="171"/>
      <c r="G39" s="171"/>
      <c r="H39" s="171"/>
      <c r="K39" s="171" t="s">
        <v>424</v>
      </c>
      <c r="L39" s="518">
        <v>604229.6072507553</v>
      </c>
      <c r="M39" s="518">
        <v>0</v>
      </c>
      <c r="N39" s="171">
        <v>0</v>
      </c>
      <c r="O39" s="171">
        <v>0</v>
      </c>
      <c r="P39" s="171">
        <v>0</v>
      </c>
      <c r="R39" s="421" t="s">
        <v>493</v>
      </c>
      <c r="S39" s="520">
        <v>2017</v>
      </c>
      <c r="T39" s="520">
        <v>2018</v>
      </c>
      <c r="U39" s="420">
        <v>2019</v>
      </c>
      <c r="V39" s="420">
        <v>2020</v>
      </c>
      <c r="W39" s="444"/>
    </row>
    <row r="40" spans="3:31">
      <c r="C40" s="176" t="str">
        <f>IF([2]MasterSheet!$A$1=1,[2]MasterSheet!C98,[2]MasterSheet!B98)</f>
        <v>Ostali prihodi</v>
      </c>
      <c r="D40" s="171">
        <f>SUM(D41:D44)</f>
        <v>-2241800</v>
      </c>
      <c r="E40" s="171">
        <f>SUM(E41:E44)</f>
        <v>0</v>
      </c>
      <c r="F40" s="171">
        <f>SUM(F41:F44)</f>
        <v>-1000000</v>
      </c>
      <c r="G40" s="171">
        <f>SUM(G41:G44)</f>
        <v>0</v>
      </c>
      <c r="H40" s="171">
        <f>SUM(H41:H44)</f>
        <v>-15000000</v>
      </c>
      <c r="K40" s="171" t="s">
        <v>425</v>
      </c>
      <c r="L40" s="518">
        <v>297280.96676737157</v>
      </c>
      <c r="M40" s="518">
        <v>0</v>
      </c>
      <c r="N40" s="171">
        <v>0</v>
      </c>
      <c r="O40" s="171">
        <v>0</v>
      </c>
      <c r="P40" s="171">
        <v>0</v>
      </c>
      <c r="R40" s="171" t="s">
        <v>494</v>
      </c>
      <c r="S40" s="518">
        <v>0</v>
      </c>
      <c r="T40" s="518">
        <v>42800000</v>
      </c>
      <c r="U40" s="171">
        <v>0</v>
      </c>
      <c r="V40" s="171">
        <v>0</v>
      </c>
      <c r="W40" s="422"/>
    </row>
    <row r="41" spans="3:31">
      <c r="C41" s="177" t="str">
        <f>IF([2]MasterSheet!$A$1=1,[2]MasterSheet!C99,[2]MasterSheet!B99)</f>
        <v>Prihodi od kapitala</v>
      </c>
      <c r="D41" s="171"/>
      <c r="E41" s="172"/>
      <c r="F41" s="171">
        <v>-2000000</v>
      </c>
      <c r="G41" s="171">
        <v>0</v>
      </c>
      <c r="H41" s="171">
        <v>-15000000</v>
      </c>
      <c r="K41" s="171" t="s">
        <v>426</v>
      </c>
      <c r="L41" s="518">
        <v>24169.184290030211</v>
      </c>
      <c r="M41" s="518">
        <v>0</v>
      </c>
      <c r="N41" s="171">
        <v>0</v>
      </c>
      <c r="O41" s="171">
        <v>0</v>
      </c>
      <c r="P41" s="171">
        <v>0</v>
      </c>
      <c r="Y41">
        <v>196906.06132668781</v>
      </c>
      <c r="Z41">
        <f>+Y41/$Y$45</f>
        <v>0.64935064935064946</v>
      </c>
    </row>
    <row r="42" spans="3:31">
      <c r="C42" s="177" t="str">
        <f>IF([2]MasterSheet!$A$1=1,[2]MasterSheet!C100,[2]MasterSheet!B100)</f>
        <v>Novčane kazne i oduzete imovinske koristi</v>
      </c>
      <c r="D42" s="171"/>
      <c r="E42" s="172"/>
      <c r="F42" s="171"/>
      <c r="G42" s="172"/>
      <c r="H42" s="171"/>
      <c r="K42" s="171" t="s">
        <v>26</v>
      </c>
      <c r="L42" s="518">
        <v>4833.8368580060423</v>
      </c>
      <c r="M42" s="518">
        <v>0</v>
      </c>
      <c r="N42" s="171">
        <v>0</v>
      </c>
      <c r="O42" s="171">
        <v>0</v>
      </c>
      <c r="P42" s="171">
        <v>0</v>
      </c>
      <c r="R42" s="421" t="s">
        <v>480</v>
      </c>
      <c r="S42" s="520">
        <v>2017</v>
      </c>
      <c r="T42" s="520">
        <v>2018</v>
      </c>
      <c r="U42" s="420">
        <v>2019</v>
      </c>
      <c r="V42" s="420">
        <v>2020</v>
      </c>
      <c r="W42" s="444"/>
      <c r="Y42">
        <v>96877.782172730382</v>
      </c>
      <c r="Z42">
        <f t="shared" ref="Z42:Z44" si="25">+Y42/$Y$45</f>
        <v>0.31948051948051948</v>
      </c>
    </row>
    <row r="43" spans="3:31">
      <c r="C43" s="177" t="s">
        <v>416</v>
      </c>
      <c r="D43" s="171"/>
      <c r="E43" s="172"/>
      <c r="F43" s="171"/>
      <c r="G43" s="172"/>
      <c r="H43" s="171"/>
      <c r="K43" s="171" t="s">
        <v>483</v>
      </c>
      <c r="L43" s="518">
        <f>SUM(L38:L42)</f>
        <v>1182031.8945227163</v>
      </c>
      <c r="M43" s="518">
        <f t="shared" ref="M43:P43" si="26">SUM(M38:M42)</f>
        <v>0</v>
      </c>
      <c r="N43" s="171">
        <f t="shared" si="26"/>
        <v>0</v>
      </c>
      <c r="O43" s="171">
        <f t="shared" si="26"/>
        <v>0</v>
      </c>
      <c r="P43" s="171">
        <f t="shared" si="26"/>
        <v>0</v>
      </c>
      <c r="R43" s="171" t="s">
        <v>427</v>
      </c>
      <c r="S43" s="518">
        <v>81964.665556900814</v>
      </c>
      <c r="T43" s="518">
        <v>81964.665556900814</v>
      </c>
      <c r="U43" s="171">
        <v>0</v>
      </c>
      <c r="V43" s="171">
        <v>0</v>
      </c>
      <c r="W43" s="422"/>
      <c r="Y43">
        <v>7876.2424530675125</v>
      </c>
      <c r="Z43">
        <f t="shared" si="25"/>
        <v>2.5974025974025979E-2</v>
      </c>
    </row>
    <row r="44" spans="3:31">
      <c r="C44" s="177" t="s">
        <v>52</v>
      </c>
      <c r="D44" s="171">
        <v>-2241800</v>
      </c>
      <c r="E44" s="172"/>
      <c r="F44" s="171">
        <v>1000000</v>
      </c>
      <c r="G44" s="172"/>
      <c r="H44" s="171"/>
      <c r="R44" s="171" t="s">
        <v>424</v>
      </c>
      <c r="S44" s="518">
        <v>196906.06132668781</v>
      </c>
      <c r="T44" s="518">
        <v>196906.06132668781</v>
      </c>
      <c r="U44" s="171">
        <v>0</v>
      </c>
      <c r="V44" s="171">
        <v>0</v>
      </c>
      <c r="W44" s="422"/>
      <c r="Y44">
        <v>1575.2484906135023</v>
      </c>
      <c r="Z44">
        <f t="shared" si="25"/>
        <v>5.1948051948051957E-3</v>
      </c>
    </row>
    <row r="45" spans="3:31" ht="20.25" customHeight="1">
      <c r="C45" s="179" t="s">
        <v>400</v>
      </c>
      <c r="D45" s="174"/>
      <c r="E45" s="173"/>
      <c r="F45" s="174"/>
      <c r="G45" s="173"/>
      <c r="H45" s="174"/>
      <c r="K45" s="421" t="s">
        <v>435</v>
      </c>
      <c r="L45" s="520">
        <v>2017</v>
      </c>
      <c r="M45" s="520">
        <v>2018</v>
      </c>
      <c r="N45" s="420">
        <v>2019</v>
      </c>
      <c r="O45" s="420">
        <v>2020</v>
      </c>
      <c r="P45" s="420">
        <v>2021</v>
      </c>
      <c r="R45" s="171" t="s">
        <v>425</v>
      </c>
      <c r="S45" s="518">
        <v>96877.782172730382</v>
      </c>
      <c r="T45" s="518">
        <v>96877.782172730382</v>
      </c>
      <c r="U45" s="171">
        <v>0</v>
      </c>
      <c r="V45" s="171">
        <v>0</v>
      </c>
      <c r="W45" s="422"/>
      <c r="Y45">
        <f>+SUM(Y41:Y44)</f>
        <v>303235.33444309916</v>
      </c>
    </row>
    <row r="46" spans="3:31" ht="12.75" customHeight="1">
      <c r="C46" s="180" t="s">
        <v>122</v>
      </c>
      <c r="D46" s="171">
        <v>35200000</v>
      </c>
      <c r="E46" s="171">
        <f>8000000+6900000+4610000+10000000-5000000</f>
        <v>24510000</v>
      </c>
      <c r="F46" s="171">
        <f>4000000+3800000+4000000+10000000+4000000+3800000</f>
        <v>29600000</v>
      </c>
      <c r="G46" s="171">
        <v>25000000</v>
      </c>
      <c r="H46" s="171">
        <v>25000000</v>
      </c>
      <c r="K46" s="171" t="s">
        <v>430</v>
      </c>
      <c r="L46" s="518">
        <v>0</v>
      </c>
      <c r="M46" s="518">
        <v>10000000</v>
      </c>
      <c r="N46" s="171">
        <v>0</v>
      </c>
      <c r="O46" s="171">
        <v>5000000</v>
      </c>
      <c r="P46" s="171">
        <v>5000000</v>
      </c>
      <c r="R46" s="171" t="s">
        <v>426</v>
      </c>
      <c r="S46" s="518">
        <v>7876.2424530675125</v>
      </c>
      <c r="T46" s="518">
        <v>7876.2424530675125</v>
      </c>
      <c r="U46" s="171">
        <v>0</v>
      </c>
      <c r="V46" s="171">
        <v>0</v>
      </c>
      <c r="W46" s="422"/>
    </row>
    <row r="47" spans="3:31">
      <c r="R47" s="171" t="s">
        <v>26</v>
      </c>
      <c r="S47" s="518">
        <v>1575.2484906135023</v>
      </c>
      <c r="T47" s="518">
        <v>1575.2484906135023</v>
      </c>
      <c r="U47" s="171">
        <v>0</v>
      </c>
      <c r="V47" s="171">
        <v>0</v>
      </c>
      <c r="W47" s="422"/>
    </row>
    <row r="48" spans="3:31">
      <c r="R48" s="171" t="s">
        <v>483</v>
      </c>
      <c r="S48" s="518">
        <f>SUM(S43:S47)</f>
        <v>385199.99999999994</v>
      </c>
      <c r="T48" s="518">
        <f t="shared" ref="T48:V48" si="27">SUM(T43:T47)</f>
        <v>385199.99999999994</v>
      </c>
      <c r="U48" s="171">
        <f t="shared" si="27"/>
        <v>0</v>
      </c>
      <c r="V48" s="171">
        <f t="shared" si="27"/>
        <v>0</v>
      </c>
      <c r="W48" s="422"/>
    </row>
    <row r="49" spans="3:26">
      <c r="C49" s="447" t="s">
        <v>503</v>
      </c>
      <c r="K49" s="421" t="s">
        <v>481</v>
      </c>
      <c r="L49" s="520">
        <v>2017</v>
      </c>
      <c r="M49" s="520">
        <v>2018</v>
      </c>
      <c r="N49" s="420">
        <v>2019</v>
      </c>
      <c r="O49" s="420">
        <v>2020</v>
      </c>
      <c r="P49" s="420">
        <v>2021</v>
      </c>
    </row>
    <row r="50" spans="3:26">
      <c r="K50" s="171" t="s">
        <v>430</v>
      </c>
      <c r="L50" s="518">
        <v>1500000</v>
      </c>
      <c r="M50" s="518">
        <v>0</v>
      </c>
      <c r="N50" s="171">
        <v>0</v>
      </c>
      <c r="O50" s="171">
        <v>0</v>
      </c>
      <c r="P50" s="171">
        <v>0</v>
      </c>
      <c r="Y50" s="445">
        <v>-2080000</v>
      </c>
      <c r="Z50">
        <f>+$Y$50*Z41</f>
        <v>-1350649.3506493508</v>
      </c>
    </row>
    <row r="51" spans="3:26">
      <c r="C51" s="421" t="s">
        <v>504</v>
      </c>
      <c r="D51" s="520">
        <v>2017</v>
      </c>
      <c r="E51" s="520">
        <v>2018</v>
      </c>
      <c r="F51" s="420">
        <v>2019</v>
      </c>
      <c r="G51" s="420">
        <v>2020</v>
      </c>
      <c r="H51" s="420">
        <v>2021</v>
      </c>
      <c r="R51" s="421" t="s">
        <v>499</v>
      </c>
      <c r="S51" s="520">
        <v>2017</v>
      </c>
      <c r="T51" s="520">
        <v>2018</v>
      </c>
      <c r="U51" s="420">
        <v>2019</v>
      </c>
      <c r="V51" s="420">
        <v>2020</v>
      </c>
      <c r="W51" s="444"/>
      <c r="Z51">
        <f t="shared" ref="Z51:Z54" si="28">+$Y$50*Z42</f>
        <v>-664519.48051948054</v>
      </c>
    </row>
    <row r="52" spans="3:26">
      <c r="C52" s="171" t="s">
        <v>30</v>
      </c>
      <c r="D52" s="518">
        <v>0</v>
      </c>
      <c r="E52" s="518">
        <v>5000000</v>
      </c>
      <c r="F52" s="171">
        <v>-3000000</v>
      </c>
      <c r="G52" s="171">
        <v>-3000000</v>
      </c>
      <c r="H52" s="171">
        <v>0</v>
      </c>
      <c r="K52" s="421" t="s">
        <v>482</v>
      </c>
      <c r="L52" s="520">
        <v>2017</v>
      </c>
      <c r="M52" s="520">
        <v>2018</v>
      </c>
      <c r="N52" s="420">
        <v>2019</v>
      </c>
      <c r="O52" s="420">
        <v>2020</v>
      </c>
      <c r="P52" s="420">
        <v>2021</v>
      </c>
      <c r="R52" s="171" t="s">
        <v>424</v>
      </c>
      <c r="S52" s="518">
        <v>675324.67532467539</v>
      </c>
      <c r="T52" s="518">
        <v>2727272.7272727275</v>
      </c>
      <c r="U52" s="171">
        <v>-1350649.3506493508</v>
      </c>
      <c r="V52" s="171">
        <v>0</v>
      </c>
      <c r="W52" s="422"/>
      <c r="Z52">
        <f t="shared" si="28"/>
        <v>-54025.974025974036</v>
      </c>
    </row>
    <row r="53" spans="3:26">
      <c r="K53" s="171" t="s">
        <v>303</v>
      </c>
      <c r="L53" s="518">
        <v>25000000</v>
      </c>
      <c r="M53" s="518">
        <v>0</v>
      </c>
      <c r="N53" s="171">
        <v>0</v>
      </c>
      <c r="O53" s="171">
        <v>0</v>
      </c>
      <c r="P53" s="171">
        <v>0</v>
      </c>
      <c r="R53" s="171" t="s">
        <v>425</v>
      </c>
      <c r="S53" s="518">
        <v>332259.74025974027</v>
      </c>
      <c r="T53" s="518">
        <v>1341818.1818181819</v>
      </c>
      <c r="U53" s="171">
        <v>-664519.48051948054</v>
      </c>
      <c r="V53" s="171">
        <v>0</v>
      </c>
      <c r="W53" s="422"/>
      <c r="Z53">
        <f t="shared" si="28"/>
        <v>-10805.194805194807</v>
      </c>
    </row>
    <row r="54" spans="3:26">
      <c r="C54" s="421" t="s">
        <v>505</v>
      </c>
      <c r="D54" s="520">
        <v>2017</v>
      </c>
      <c r="E54" s="520">
        <v>2018</v>
      </c>
      <c r="F54" s="420">
        <v>2019</v>
      </c>
      <c r="G54" s="420">
        <v>2020</v>
      </c>
      <c r="H54" s="420">
        <v>2021</v>
      </c>
      <c r="K54" s="171" t="s">
        <v>430</v>
      </c>
      <c r="L54" s="518">
        <v>7000000</v>
      </c>
      <c r="M54" s="518">
        <v>0</v>
      </c>
      <c r="N54" s="171">
        <v>0</v>
      </c>
      <c r="O54" s="171">
        <v>0</v>
      </c>
      <c r="P54" s="171">
        <v>0</v>
      </c>
      <c r="R54" s="171" t="s">
        <v>426</v>
      </c>
      <c r="S54" s="518">
        <v>27012.987012987018</v>
      </c>
      <c r="T54" s="518">
        <v>109090.90909090912</v>
      </c>
      <c r="U54" s="171">
        <v>-54025.974025974036</v>
      </c>
      <c r="V54" s="171">
        <v>0</v>
      </c>
      <c r="W54" s="422"/>
      <c r="Z54">
        <f t="shared" si="28"/>
        <v>0</v>
      </c>
    </row>
    <row r="55" spans="3:26">
      <c r="C55" s="171" t="s">
        <v>506</v>
      </c>
      <c r="D55" s="518">
        <v>0</v>
      </c>
      <c r="E55" s="518">
        <v>0</v>
      </c>
      <c r="F55" s="171">
        <v>-10000000</v>
      </c>
      <c r="G55" s="171">
        <v>0</v>
      </c>
      <c r="H55" s="171">
        <v>0</v>
      </c>
      <c r="K55" s="171" t="s">
        <v>432</v>
      </c>
      <c r="L55" s="518">
        <f>L53+L54</f>
        <v>32000000</v>
      </c>
      <c r="M55" s="518">
        <v>0</v>
      </c>
      <c r="N55" s="171">
        <v>0</v>
      </c>
      <c r="O55" s="171">
        <v>0</v>
      </c>
      <c r="P55" s="171">
        <v>0</v>
      </c>
      <c r="R55" s="171" t="s">
        <v>26</v>
      </c>
      <c r="S55" s="518">
        <v>5402.5974025974037</v>
      </c>
      <c r="T55" s="518">
        <v>21818.181818181823</v>
      </c>
      <c r="U55" s="171">
        <v>-10805.194805194807</v>
      </c>
      <c r="V55" s="171">
        <v>0</v>
      </c>
      <c r="W55" s="422"/>
    </row>
    <row r="56" spans="3:26">
      <c r="R56" s="171" t="s">
        <v>483</v>
      </c>
      <c r="S56" s="518">
        <f>+SUM(S52:S55)</f>
        <v>1040000.0000000001</v>
      </c>
      <c r="T56" s="518">
        <f>+SUM(T52:T55)</f>
        <v>4200000</v>
      </c>
      <c r="U56" s="171">
        <f t="shared" ref="U56:V56" si="29">+SUM(U52:U55)</f>
        <v>-2080000.0000000002</v>
      </c>
      <c r="V56" s="171">
        <f t="shared" si="29"/>
        <v>0</v>
      </c>
      <c r="W56" s="422"/>
    </row>
    <row r="57" spans="3:26">
      <c r="K57" s="422"/>
      <c r="L57" s="171"/>
      <c r="M57" s="171"/>
      <c r="N57" s="171"/>
      <c r="O57" s="171"/>
      <c r="P57" s="171"/>
    </row>
    <row r="58" spans="3:26">
      <c r="C58" s="421" t="s">
        <v>507</v>
      </c>
      <c r="D58" s="520">
        <v>2017</v>
      </c>
      <c r="E58" s="520">
        <v>2018</v>
      </c>
      <c r="F58" s="420">
        <v>2019</v>
      </c>
      <c r="G58" s="420">
        <v>2020</v>
      </c>
      <c r="H58" s="420">
        <v>2021</v>
      </c>
      <c r="K58" s="422"/>
      <c r="L58" s="171"/>
      <c r="M58" s="171"/>
      <c r="N58" s="171"/>
      <c r="O58" s="171"/>
      <c r="P58" s="171"/>
    </row>
    <row r="59" spans="3:26">
      <c r="C59" s="171" t="s">
        <v>508</v>
      </c>
      <c r="D59" s="518">
        <v>0</v>
      </c>
      <c r="E59" s="518">
        <v>3000000</v>
      </c>
      <c r="F59" s="171">
        <v>0</v>
      </c>
      <c r="G59" s="171">
        <v>0</v>
      </c>
      <c r="H59" s="171">
        <v>0</v>
      </c>
      <c r="K59" s="422"/>
    </row>
  </sheetData>
  <pageMargins left="0.70866141732283472" right="0.70866141732283472" top="0.74803149606299213" bottom="0.74803149606299213" header="0.31496062992125984" footer="0.31496062992125984"/>
  <pageSetup paperSize="9" scale="3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4:F20"/>
  <sheetViews>
    <sheetView workbookViewId="0">
      <selection activeCell="D25" sqref="D25"/>
    </sheetView>
  </sheetViews>
  <sheetFormatPr defaultRowHeight="12.75"/>
  <cols>
    <col min="2" max="2" width="38.85546875" customWidth="1"/>
    <col min="6" max="6" width="12" bestFit="1" customWidth="1"/>
  </cols>
  <sheetData>
    <row r="4" spans="2:6">
      <c r="B4" s="421" t="s">
        <v>433</v>
      </c>
      <c r="C4" s="420">
        <v>2017</v>
      </c>
      <c r="F4">
        <v>2017</v>
      </c>
    </row>
    <row r="5" spans="2:6">
      <c r="B5" s="171" t="s">
        <v>424</v>
      </c>
      <c r="C5" s="171">
        <v>3544736.8421052629</v>
      </c>
      <c r="D5">
        <f>C5/$C$16*100</f>
        <v>29.545238698911646</v>
      </c>
      <c r="F5" s="171">
        <f>$C$20*D5/100</f>
        <v>5022690.5788149796</v>
      </c>
    </row>
    <row r="6" spans="2:6">
      <c r="B6" s="171" t="s">
        <v>425</v>
      </c>
      <c r="C6" s="171">
        <v>1744010.5263157897</v>
      </c>
      <c r="D6">
        <f t="shared" ref="D6:D15" si="0">C6/$C$16*100</f>
        <v>14.536257439864533</v>
      </c>
      <c r="F6" s="171">
        <f t="shared" ref="F6:F15" si="1">$C$20*D6/100</f>
        <v>2471163.7647769707</v>
      </c>
    </row>
    <row r="7" spans="2:6">
      <c r="B7" s="171" t="s">
        <v>426</v>
      </c>
      <c r="C7" s="171">
        <v>141789.47368421053</v>
      </c>
      <c r="D7">
        <f t="shared" si="0"/>
        <v>1.1818095479564661</v>
      </c>
      <c r="F7" s="171">
        <f t="shared" si="1"/>
        <v>200907.62315259923</v>
      </c>
    </row>
    <row r="8" spans="2:6">
      <c r="B8" s="171" t="s">
        <v>26</v>
      </c>
      <c r="C8" s="171">
        <v>28357.894736842103</v>
      </c>
      <c r="D8">
        <f t="shared" si="0"/>
        <v>0.23636190959129322</v>
      </c>
      <c r="F8" s="171">
        <f t="shared" si="1"/>
        <v>40181.524630519845</v>
      </c>
    </row>
    <row r="9" spans="2:6">
      <c r="B9" s="171" t="s">
        <v>427</v>
      </c>
      <c r="C9" s="171">
        <v>1276105.2631578946</v>
      </c>
      <c r="D9">
        <f t="shared" si="0"/>
        <v>10.636285931608192</v>
      </c>
      <c r="F9" s="171">
        <f t="shared" si="1"/>
        <v>1808168.6083733928</v>
      </c>
    </row>
    <row r="10" spans="2:6">
      <c r="B10" s="171" t="s">
        <v>428</v>
      </c>
      <c r="C10" s="171">
        <f>SUM(C5:C9)</f>
        <v>6735000</v>
      </c>
      <c r="F10" s="171">
        <f t="shared" si="1"/>
        <v>0</v>
      </c>
    </row>
    <row r="11" spans="2:6">
      <c r="B11" s="171" t="s">
        <v>5</v>
      </c>
      <c r="C11" s="171">
        <v>603504</v>
      </c>
      <c r="D11">
        <f t="shared" si="0"/>
        <v>5.0301815141679525</v>
      </c>
      <c r="F11" s="171">
        <f t="shared" si="1"/>
        <v>855130.85740855185</v>
      </c>
    </row>
    <row r="12" spans="2:6">
      <c r="B12" s="171" t="s">
        <v>429</v>
      </c>
      <c r="C12" s="171">
        <v>1020318</v>
      </c>
      <c r="D12">
        <f t="shared" si="0"/>
        <v>8.5043094033723321</v>
      </c>
      <c r="F12" s="171">
        <f t="shared" si="1"/>
        <v>1445732.5985732963</v>
      </c>
    </row>
    <row r="13" spans="2:6">
      <c r="B13" s="171" t="s">
        <v>430</v>
      </c>
      <c r="C13" s="171">
        <v>3083644.5</v>
      </c>
      <c r="D13">
        <f t="shared" si="0"/>
        <v>25.702052613016114</v>
      </c>
      <c r="F13" s="171">
        <f t="shared" si="1"/>
        <v>4369348.9442127394</v>
      </c>
    </row>
    <row r="14" spans="2:6">
      <c r="B14" s="171" t="s">
        <v>431</v>
      </c>
      <c r="C14" s="171">
        <v>414088</v>
      </c>
      <c r="D14">
        <f t="shared" si="0"/>
        <v>3.4514067890830531</v>
      </c>
      <c r="F14" s="171">
        <f t="shared" si="1"/>
        <v>586739.15414411901</v>
      </c>
    </row>
    <row r="15" spans="2:6">
      <c r="B15" s="171" t="s">
        <v>227</v>
      </c>
      <c r="C15" s="171">
        <v>141104</v>
      </c>
      <c r="D15">
        <f t="shared" si="0"/>
        <v>1.1760961524284093</v>
      </c>
      <c r="F15" s="171">
        <f t="shared" si="1"/>
        <v>199936.34591282957</v>
      </c>
    </row>
    <row r="16" spans="2:6">
      <c r="B16" s="171" t="s">
        <v>432</v>
      </c>
      <c r="C16" s="171">
        <f>SUM(C10:C15)</f>
        <v>11997658.5</v>
      </c>
      <c r="D16">
        <f>SUM(D5:D15)</f>
        <v>100</v>
      </c>
      <c r="F16" s="442">
        <f>SUM(F5:F15)</f>
        <v>16999999.999999996</v>
      </c>
    </row>
    <row r="20" spans="3:3">
      <c r="C20" s="171">
        <v>17000000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CJ203"/>
  <sheetViews>
    <sheetView tabSelected="1" zoomScaleNormal="100" workbookViewId="0">
      <selection activeCell="C103" sqref="C103"/>
    </sheetView>
  </sheetViews>
  <sheetFormatPr defaultColWidth="9.140625" defaultRowHeight="12.75"/>
  <cols>
    <col min="1" max="2" width="9.140625" style="10" customWidth="1"/>
    <col min="3" max="3" width="53.7109375" style="10" customWidth="1"/>
    <col min="4" max="14" width="7.85546875" style="10" customWidth="1"/>
    <col min="15" max="15" width="7.85546875" style="16" customWidth="1"/>
    <col min="16" max="17" width="7.85546875" style="10" customWidth="1"/>
    <col min="18" max="19" width="7.7109375" style="10" customWidth="1"/>
    <col min="20" max="33" width="7.7109375" style="23" customWidth="1"/>
    <col min="34" max="34" width="9.140625" style="23" customWidth="1"/>
    <col min="35" max="67" width="9.140625" style="10" customWidth="1"/>
    <col min="68" max="68" width="41.85546875" style="10" customWidth="1"/>
    <col min="69" max="80" width="9.140625" style="10" customWidth="1"/>
    <col min="81" max="81" width="9.140625" style="10"/>
    <col min="82" max="82" width="15.42578125" style="10" customWidth="1"/>
    <col min="83" max="83" width="12.7109375" style="10" customWidth="1"/>
    <col min="84" max="84" width="11.85546875" style="10" customWidth="1"/>
    <col min="85" max="16384" width="9.140625" style="10"/>
  </cols>
  <sheetData>
    <row r="1" spans="1:80" ht="12.75" customHeight="1">
      <c r="A1" s="23"/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5"/>
      <c r="P1" s="23"/>
      <c r="Q1" s="23"/>
      <c r="R1" s="23"/>
      <c r="S1" s="23"/>
      <c r="AB1" s="24"/>
    </row>
    <row r="2" spans="1:80" ht="12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5"/>
      <c r="P2" s="23"/>
      <c r="Q2" s="23"/>
      <c r="R2" s="23"/>
      <c r="S2" s="23"/>
      <c r="AB2" s="24"/>
    </row>
    <row r="3" spans="1:80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5"/>
      <c r="P3" s="23"/>
      <c r="Q3" s="23"/>
      <c r="R3" s="23"/>
      <c r="S3" s="23"/>
      <c r="AB3" s="24"/>
    </row>
    <row r="4" spans="1:80" ht="15" customHeight="1" thickBot="1">
      <c r="A4" s="23"/>
      <c r="B4" s="23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</row>
    <row r="5" spans="1:80" ht="15" customHeight="1" thickTop="1" thickBot="1">
      <c r="A5" s="23"/>
      <c r="B5" s="23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449" t="s">
        <v>368</v>
      </c>
      <c r="BQ5" s="542" t="s">
        <v>502</v>
      </c>
      <c r="BR5" s="542"/>
      <c r="BS5" s="542"/>
      <c r="BT5" s="542"/>
      <c r="BU5" s="542"/>
      <c r="BV5" s="542"/>
      <c r="BW5" s="542"/>
      <c r="BX5" s="542"/>
      <c r="BY5" s="14"/>
      <c r="BZ5" s="14"/>
      <c r="CA5" s="14"/>
      <c r="CB5" s="14"/>
    </row>
    <row r="6" spans="1:80" ht="15" customHeight="1" thickTop="1" thickBot="1">
      <c r="A6" s="23"/>
      <c r="B6" s="23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450"/>
      <c r="BQ6" s="543"/>
      <c r="BR6" s="543"/>
      <c r="BS6" s="543"/>
      <c r="BT6" s="543"/>
      <c r="BU6" s="543"/>
      <c r="BV6" s="543"/>
      <c r="BW6" s="543"/>
      <c r="BX6" s="543"/>
      <c r="BY6" s="14"/>
      <c r="BZ6" s="14"/>
      <c r="CA6" s="14"/>
      <c r="CB6" s="14"/>
    </row>
    <row r="7" spans="1:80" ht="15" customHeight="1" thickTop="1">
      <c r="A7" s="23"/>
      <c r="B7" s="23"/>
      <c r="C7" s="26">
        <v>3.5</v>
      </c>
      <c r="D7" s="27"/>
      <c r="E7" s="27"/>
      <c r="F7" s="27"/>
      <c r="G7" s="27"/>
      <c r="H7" s="27"/>
      <c r="I7" s="561" t="str">
        <f>IF(MasterSheet!$A$1 = 1, MasterSheet!C5,MasterSheet!B5)</f>
        <v>CRNA GORA</v>
      </c>
      <c r="J7" s="561"/>
      <c r="K7" s="561"/>
      <c r="L7" s="34"/>
      <c r="M7" s="27"/>
      <c r="N7" s="27"/>
      <c r="O7" s="27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544" t="s">
        <v>126</v>
      </c>
      <c r="BQ7" s="546">
        <v>2017</v>
      </c>
      <c r="BR7" s="547"/>
      <c r="BS7" s="546">
        <v>2018</v>
      </c>
      <c r="BT7" s="547"/>
      <c r="BU7" s="546">
        <v>2019</v>
      </c>
      <c r="BV7" s="547"/>
      <c r="BW7" s="546" t="s">
        <v>423</v>
      </c>
      <c r="BX7" s="547"/>
      <c r="BY7" s="14"/>
      <c r="BZ7" s="14"/>
      <c r="CA7" s="14"/>
      <c r="CB7" s="14"/>
    </row>
    <row r="8" spans="1:80" ht="15" customHeight="1" thickBot="1">
      <c r="A8" s="23"/>
      <c r="B8" s="23"/>
      <c r="C8" s="26"/>
      <c r="D8" s="27"/>
      <c r="E8" s="27"/>
      <c r="F8" s="27"/>
      <c r="G8" s="27"/>
      <c r="H8" s="561" t="str">
        <f>IF(MasterSheet!$A$1 = 1, MasterSheet!C6,MasterSheet!B6)</f>
        <v>MINISTARSTVO FINANSIJA</v>
      </c>
      <c r="I8" s="561"/>
      <c r="J8" s="561"/>
      <c r="K8" s="561"/>
      <c r="L8" s="561"/>
      <c r="M8" s="34"/>
      <c r="N8" s="27"/>
      <c r="O8" s="27"/>
      <c r="P8" s="117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545" t="s">
        <v>126</v>
      </c>
      <c r="BQ8" s="452" t="s">
        <v>261</v>
      </c>
      <c r="BR8" s="455" t="s">
        <v>501</v>
      </c>
      <c r="BS8" s="452" t="s">
        <v>261</v>
      </c>
      <c r="BT8" s="455" t="s">
        <v>501</v>
      </c>
      <c r="BU8" s="452" t="s">
        <v>261</v>
      </c>
      <c r="BV8" s="455" t="s">
        <v>501</v>
      </c>
      <c r="BW8" s="452" t="s">
        <v>261</v>
      </c>
      <c r="BX8" s="455" t="s">
        <v>501</v>
      </c>
      <c r="BY8" s="14"/>
      <c r="BZ8" s="14"/>
      <c r="CA8" s="14"/>
      <c r="CB8" s="14"/>
    </row>
    <row r="9" spans="1:80" ht="15" customHeight="1" thickTop="1" thickBot="1">
      <c r="A9" s="23"/>
      <c r="B9" s="23"/>
      <c r="C9" s="26"/>
      <c r="D9" s="27"/>
      <c r="E9" s="27"/>
      <c r="F9" s="27"/>
      <c r="G9" s="27"/>
      <c r="H9" s="72"/>
      <c r="I9" s="72"/>
      <c r="J9" s="72"/>
      <c r="K9" s="72"/>
      <c r="L9" s="72"/>
      <c r="M9" s="34"/>
      <c r="N9" s="27"/>
      <c r="O9" s="27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458" t="s">
        <v>127</v>
      </c>
      <c r="BQ9" s="473">
        <v>18258430.853873014</v>
      </c>
      <c r="BR9" s="510">
        <v>1.1568635296421235</v>
      </c>
      <c r="BS9" s="473">
        <v>17893273.018456936</v>
      </c>
      <c r="BT9" s="510">
        <v>1.0527259822582096</v>
      </c>
      <c r="BU9" s="473">
        <v>19253460.149532795</v>
      </c>
      <c r="BV9" s="510">
        <v>1.0990375968583379</v>
      </c>
      <c r="BW9" s="473">
        <v>18234081.848795176</v>
      </c>
      <c r="BX9" s="510">
        <v>1.0100962538486726</v>
      </c>
      <c r="BY9" s="14"/>
      <c r="BZ9" s="14"/>
      <c r="CA9" s="14"/>
      <c r="CB9" s="14"/>
    </row>
    <row r="10" spans="1:80" ht="15" customHeight="1" thickTop="1" thickBot="1">
      <c r="A10" s="23"/>
      <c r="B10" s="23"/>
      <c r="C10" s="26"/>
      <c r="D10" s="27"/>
      <c r="E10" s="27"/>
      <c r="F10" s="27"/>
      <c r="G10" s="27"/>
      <c r="H10" s="72"/>
      <c r="I10" s="72"/>
      <c r="J10" s="72"/>
      <c r="K10" s="72"/>
      <c r="L10" s="72"/>
      <c r="M10" s="34"/>
      <c r="N10" s="27"/>
      <c r="O10" s="27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464" t="s">
        <v>2</v>
      </c>
      <c r="BQ10" s="473">
        <v>11491347.43147552</v>
      </c>
      <c r="BR10" s="510">
        <v>1.1870769999351154</v>
      </c>
      <c r="BS10" s="473">
        <v>9092308.7831020355</v>
      </c>
      <c r="BT10" s="510">
        <v>0.84008201657503889</v>
      </c>
      <c r="BU10" s="473">
        <v>9663481.671456337</v>
      </c>
      <c r="BV10" s="510">
        <v>0.85170007458259533</v>
      </c>
      <c r="BW10" s="473">
        <v>10408388.709007502</v>
      </c>
      <c r="BX10" s="510">
        <v>0.88683721810569693</v>
      </c>
      <c r="BY10" s="14"/>
      <c r="BZ10" s="14"/>
      <c r="CA10" s="14"/>
      <c r="CB10" s="14"/>
    </row>
    <row r="11" spans="1:80" ht="18.75" customHeight="1" thickTop="1" thickBot="1">
      <c r="A11" s="23"/>
      <c r="B11" s="23"/>
      <c r="C11" s="38" t="str">
        <f>IF(MasterSheet!$A$1=1,MasterSheet!B67,MasterSheet!B66)</f>
        <v>BDP (u mil. €)</v>
      </c>
      <c r="D11" s="552">
        <v>2148900000</v>
      </c>
      <c r="E11" s="553"/>
      <c r="F11" s="559">
        <v>2680500000</v>
      </c>
      <c r="G11" s="560"/>
      <c r="H11" s="559">
        <v>3085600000</v>
      </c>
      <c r="I11" s="560"/>
      <c r="J11" s="559">
        <v>2981000000</v>
      </c>
      <c r="K11" s="560"/>
      <c r="L11" s="559">
        <v>3125000000</v>
      </c>
      <c r="M11" s="560"/>
      <c r="N11" s="559">
        <v>3265000000</v>
      </c>
      <c r="O11" s="560"/>
      <c r="P11" s="557">
        <v>3181000000</v>
      </c>
      <c r="Q11" s="558"/>
      <c r="R11" s="555">
        <v>3362000000</v>
      </c>
      <c r="S11" s="556"/>
      <c r="T11" s="552">
        <v>3457900000</v>
      </c>
      <c r="U11" s="553"/>
      <c r="V11" s="555">
        <v>3655000000</v>
      </c>
      <c r="W11" s="556"/>
      <c r="X11" s="555">
        <v>3954200000</v>
      </c>
      <c r="Y11" s="556"/>
      <c r="Z11" s="555">
        <v>4236500000</v>
      </c>
      <c r="AA11" s="556"/>
      <c r="AB11" s="24"/>
      <c r="AC11" s="24"/>
      <c r="AD11" s="24"/>
      <c r="AE11" s="24"/>
      <c r="AF11" s="24"/>
      <c r="AG11" s="24"/>
      <c r="AH11" s="2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471" t="s">
        <v>3</v>
      </c>
      <c r="BQ11" s="473">
        <v>1380920.9217010438</v>
      </c>
      <c r="BR11" s="510">
        <v>1.0476196598088876</v>
      </c>
      <c r="BS11" s="473">
        <v>1947287.6253405362</v>
      </c>
      <c r="BT11" s="510">
        <v>1.4552533183535701</v>
      </c>
      <c r="BU11" s="473">
        <v>2121187.3090144694</v>
      </c>
      <c r="BV11" s="510">
        <v>1.5583420438617992</v>
      </c>
      <c r="BW11" s="473">
        <v>1615112.505522877</v>
      </c>
      <c r="BX11" s="510">
        <v>1.1574981731082659</v>
      </c>
      <c r="BY11" s="14"/>
      <c r="BZ11" s="14"/>
      <c r="CA11" s="14"/>
      <c r="CB11" s="14"/>
    </row>
    <row r="12" spans="1:80" ht="17.25" customHeight="1" thickTop="1" thickBot="1">
      <c r="A12" s="23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554"/>
      <c r="O12" s="55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471" t="s">
        <v>5</v>
      </c>
      <c r="BQ12" s="473">
        <v>0</v>
      </c>
      <c r="BR12" s="510">
        <v>0</v>
      </c>
      <c r="BS12" s="473">
        <v>808834.69070770591</v>
      </c>
      <c r="BT12" s="510">
        <v>1.6280217069560621</v>
      </c>
      <c r="BU12" s="473">
        <v>484620.31483817101</v>
      </c>
      <c r="BV12" s="510">
        <v>0.93484128840613323</v>
      </c>
      <c r="BW12" s="473">
        <v>500082.69314498454</v>
      </c>
      <c r="BX12" s="510">
        <v>0.93591848189220173</v>
      </c>
      <c r="BY12" s="14"/>
      <c r="BZ12" s="14"/>
      <c r="CA12" s="14"/>
      <c r="CB12" s="14"/>
    </row>
    <row r="13" spans="1:80" ht="15.75" customHeight="1" thickTop="1">
      <c r="A13" s="23"/>
      <c r="B13" s="30"/>
      <c r="C13" s="548" t="str">
        <f>IF(MasterSheet!$A$1=1,MasterSheet!B71,MasterSheet!B70)</f>
        <v>Budžet Crne Gore</v>
      </c>
      <c r="D13" s="550">
        <v>2006</v>
      </c>
      <c r="E13" s="551"/>
      <c r="F13" s="550">
        <v>2007</v>
      </c>
      <c r="G13" s="551"/>
      <c r="H13" s="550">
        <v>2008</v>
      </c>
      <c r="I13" s="551"/>
      <c r="J13" s="550">
        <v>2009</v>
      </c>
      <c r="K13" s="551"/>
      <c r="L13" s="550">
        <v>2010</v>
      </c>
      <c r="M13" s="551"/>
      <c r="N13" s="550">
        <v>2011</v>
      </c>
      <c r="O13" s="551"/>
      <c r="P13" s="550">
        <v>2012</v>
      </c>
      <c r="Q13" s="551"/>
      <c r="R13" s="550">
        <v>2013</v>
      </c>
      <c r="S13" s="551"/>
      <c r="T13" s="550">
        <v>2014</v>
      </c>
      <c r="U13" s="551"/>
      <c r="V13" s="550">
        <v>2015</v>
      </c>
      <c r="W13" s="551"/>
      <c r="X13" s="550">
        <v>2016</v>
      </c>
      <c r="Y13" s="551"/>
      <c r="Z13" s="550" t="s">
        <v>514</v>
      </c>
      <c r="AA13" s="551"/>
      <c r="AB13" s="24"/>
      <c r="AC13" s="24"/>
      <c r="AD13" s="24"/>
      <c r="AE13" s="24"/>
      <c r="AF13" s="24"/>
      <c r="AG13" s="24"/>
      <c r="AH13" s="2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471" t="s">
        <v>7</v>
      </c>
      <c r="BQ13" s="473">
        <v>11970.449909999967</v>
      </c>
      <c r="BR13" s="510">
        <v>0.31303218806849031</v>
      </c>
      <c r="BS13" s="473">
        <v>-10722.360472070053</v>
      </c>
      <c r="BT13" s="510">
        <v>-0.27302252773327496</v>
      </c>
      <c r="BU13" s="473">
        <v>-18759.201585293747</v>
      </c>
      <c r="BV13" s="510">
        <v>-0.46875751786531339</v>
      </c>
      <c r="BW13" s="473">
        <v>-27025.628051404841</v>
      </c>
      <c r="BX13" s="510">
        <v>-0.66468516054666793</v>
      </c>
      <c r="BY13" s="14"/>
      <c r="BZ13" s="14"/>
      <c r="CA13" s="14"/>
      <c r="CB13" s="14"/>
    </row>
    <row r="14" spans="1:80" ht="15" customHeight="1" thickBot="1">
      <c r="A14" s="23"/>
      <c r="B14" s="23"/>
      <c r="C14" s="549" t="str">
        <f>IF(MasterSheet!$A$1=1,MasterSheet!B71,MasterSheet!B70)</f>
        <v>Budžet Crne Gore</v>
      </c>
      <c r="D14" s="73" t="str">
        <f>IF(MasterSheet!$A$1=1,MasterSheet!C71,MasterSheet!C70)</f>
        <v>mil. €</v>
      </c>
      <c r="E14" s="74" t="str">
        <f>IF(MasterSheet!$A$1=1,MasterSheet!D71,MasterSheet!D70)</f>
        <v>% BDP</v>
      </c>
      <c r="F14" s="75" t="str">
        <f>IF(MasterSheet!$A$1=1,MasterSheet!E71,MasterSheet!E70)</f>
        <v>mil. €</v>
      </c>
      <c r="G14" s="76" t="str">
        <f>IF(MasterSheet!$A$1=1,MasterSheet!F71,MasterSheet!F70)</f>
        <v>% BDP</v>
      </c>
      <c r="H14" s="77" t="str">
        <f>IF(MasterSheet!$A$1=1,MasterSheet!G71,MasterSheet!G70)</f>
        <v>mil. €</v>
      </c>
      <c r="I14" s="76" t="str">
        <f>IF(MasterSheet!$A$1=1,MasterSheet!H71,MasterSheet!H70)</f>
        <v>% BDP</v>
      </c>
      <c r="J14" s="73" t="str">
        <f>IF(MasterSheet!$A$1=1,MasterSheet!I71,MasterSheet!I70)</f>
        <v>mil. €</v>
      </c>
      <c r="K14" s="75" t="str">
        <f>IF(MasterSheet!$A$1=1,MasterSheet!J71,MasterSheet!J70)</f>
        <v>% BDP</v>
      </c>
      <c r="L14" s="73" t="str">
        <f>IF(MasterSheet!$A$1=1,MasterSheet!K71,MasterSheet!K70)</f>
        <v>mil. €</v>
      </c>
      <c r="M14" s="74" t="str">
        <f>IF(MasterSheet!$A$1=1,MasterSheet!L71,MasterSheet!L70)</f>
        <v>% BDP</v>
      </c>
      <c r="N14" s="73" t="str">
        <f>IF(MasterSheet!$A$1=1,MasterSheet!M71,MasterSheet!M70)</f>
        <v>mil. €</v>
      </c>
      <c r="O14" s="78" t="str">
        <f>IF(MasterSheet!$A$1=1,MasterSheet!N71,MasterSheet!N70)</f>
        <v>% BDP</v>
      </c>
      <c r="P14" s="73" t="str">
        <f>IF(MasterSheet!$A$1=1,MasterSheet!O71,MasterSheet!O70)</f>
        <v>mil. €</v>
      </c>
      <c r="Q14" s="78" t="str">
        <f>IF(MasterSheet!$A$1=1,MasterSheet!P71,MasterSheet!P70)</f>
        <v>% BDP</v>
      </c>
      <c r="R14" s="73" t="str">
        <f>IF(MasterSheet!$A$1=1,MasterSheet!Q71,MasterSheet!Q70)</f>
        <v>mil. €</v>
      </c>
      <c r="S14" s="78" t="str">
        <f>IF(MasterSheet!$A$1=1,MasterSheet!R71,MasterSheet!R70)</f>
        <v>% BDP</v>
      </c>
      <c r="T14" s="73" t="str">
        <f>IF(MasterSheet!$A$1=1,MasterSheet!S71,MasterSheet!S70)</f>
        <v>mil. €</v>
      </c>
      <c r="U14" s="78" t="str">
        <f>IF(MasterSheet!$A$1=1,MasterSheet!T71,MasterSheet!T70)</f>
        <v>% BDP</v>
      </c>
      <c r="V14" s="73" t="str">
        <f>IF(MasterSheet!$A$1=1,MasterSheet!U71,MasterSheet!U70)</f>
        <v>mil. €</v>
      </c>
      <c r="W14" s="76" t="str">
        <f>IF(MasterSheet!$A$1=1,MasterSheet!V71,MasterSheet!V70)</f>
        <v>% BDP</v>
      </c>
      <c r="X14" s="73" t="s">
        <v>261</v>
      </c>
      <c r="Y14" s="76" t="s">
        <v>149</v>
      </c>
      <c r="Z14" s="73" t="s">
        <v>261</v>
      </c>
      <c r="AA14" s="76" t="s">
        <v>149</v>
      </c>
      <c r="AB14" s="24"/>
      <c r="AC14" s="24"/>
      <c r="AD14" s="24"/>
      <c r="AE14" s="24"/>
      <c r="AF14" s="24"/>
      <c r="AG14" s="24"/>
      <c r="AH14" s="2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471" t="s">
        <v>9</v>
      </c>
      <c r="BQ14" s="473">
        <v>8434310.288743794</v>
      </c>
      <c r="BR14" s="510">
        <v>1.577467291432356</v>
      </c>
      <c r="BS14" s="473">
        <v>4936169.5662882328</v>
      </c>
      <c r="BT14" s="510">
        <v>0.80334814169826529</v>
      </c>
      <c r="BU14" s="473">
        <v>5095108.1517007351</v>
      </c>
      <c r="BV14" s="510">
        <v>0.79799837522791961</v>
      </c>
      <c r="BW14" s="473">
        <v>5562294.7121174335</v>
      </c>
      <c r="BX14" s="510">
        <v>0.84063591498306778</v>
      </c>
      <c r="BY14" s="14"/>
      <c r="BZ14" s="14"/>
      <c r="CA14" s="14"/>
      <c r="CB14" s="14"/>
    </row>
    <row r="15" spans="1:80" ht="15" customHeight="1" thickTop="1" thickBot="1">
      <c r="A15" s="23"/>
      <c r="B15" s="23"/>
      <c r="C15" s="79" t="str">
        <f>IF(MasterSheet!$A$1=1,MasterSheet!C72,MasterSheet!B72)</f>
        <v>Izvorni prihodi</v>
      </c>
      <c r="D15" s="94">
        <f>D16+D24+D29+D34+D41+D46</f>
        <v>861248548.4399997</v>
      </c>
      <c r="E15" s="95">
        <f>D15/$D$11*100</f>
        <v>40.078577339103717</v>
      </c>
      <c r="F15" s="94">
        <f>F16+F24+F29+F34+F41+F46</f>
        <v>1128300449.6399999</v>
      </c>
      <c r="G15" s="96">
        <f>F15/$F$11*100</f>
        <v>42.092909891438154</v>
      </c>
      <c r="H15" s="94">
        <f>H16+H24+H29+H34+H41+H46</f>
        <v>1287200216.2899997</v>
      </c>
      <c r="I15" s="95">
        <f>H15/$H$11*100</f>
        <v>41.716366874837945</v>
      </c>
      <c r="J15" s="94">
        <f>J16+J24+J29+J34+J41+J46</f>
        <v>1169267417.1700001</v>
      </c>
      <c r="K15" s="96">
        <f>J15/$J$11*100</f>
        <v>39.223999234149616</v>
      </c>
      <c r="L15" s="94">
        <f>L16+L24+L29+L34+L41+L46</f>
        <v>1140357804.0200005</v>
      </c>
      <c r="M15" s="95">
        <f>L15/$L$11*100</f>
        <v>36.491449728640013</v>
      </c>
      <c r="N15" s="94">
        <f>N16+N24+N29+N34+N41+N46</f>
        <v>1129142807.0900002</v>
      </c>
      <c r="O15" s="95">
        <f>N15/$N$11*100</f>
        <v>34.583240645941807</v>
      </c>
      <c r="P15" s="94">
        <f>P16+P24+P29+P34+P41+P46</f>
        <v>1121018319.5799999</v>
      </c>
      <c r="Q15" s="95">
        <f>P15/P$11*100</f>
        <v>35.241066318138948</v>
      </c>
      <c r="R15" s="94">
        <f>R16+R24+R29+R34+R41+R46+R47</f>
        <v>1243527724.4700003</v>
      </c>
      <c r="S15" s="136">
        <f>R15/R$11*100</f>
        <v>36.987737194229631</v>
      </c>
      <c r="T15" s="94">
        <f>T16+T24+T29+T34+T41+T46+T47</f>
        <v>1353669813.1500003</v>
      </c>
      <c r="U15" s="95">
        <f>T15/T$11*100</f>
        <v>39.147164844269653</v>
      </c>
      <c r="V15" s="94">
        <f>V16+V24+V29+V34+V41+V46+V47</f>
        <v>1326705635</v>
      </c>
      <c r="W15" s="128">
        <f>V15/V$11*100</f>
        <v>36.298375786593709</v>
      </c>
      <c r="X15" s="94">
        <f>X16+X24+X29+X34+X41+X46+X47</f>
        <v>1487051231.24</v>
      </c>
      <c r="Y15" s="128">
        <f>X15/X$11*100</f>
        <v>37.6068795518689</v>
      </c>
      <c r="Z15" s="94">
        <f>Z16+Z24+Z29+Z34+Z41+Z46+Z47</f>
        <v>1566269986.4200003</v>
      </c>
      <c r="AA15" s="128">
        <f t="shared" ref="AA15:AA46" si="0">Z15/Z$11*100</f>
        <v>36.970848257287862</v>
      </c>
      <c r="AB15" s="24"/>
      <c r="AC15" s="24"/>
      <c r="AD15" s="24"/>
      <c r="AE15" s="24"/>
      <c r="AF15" s="24"/>
      <c r="AG15" s="24"/>
      <c r="AH15" s="2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471" t="s">
        <v>12</v>
      </c>
      <c r="BQ15" s="473">
        <v>1370031.9178499579</v>
      </c>
      <c r="BR15" s="510">
        <v>0.63622695874994406</v>
      </c>
      <c r="BS15" s="473">
        <v>1175245.416785568</v>
      </c>
      <c r="BT15" s="510">
        <v>0.47894451812335603</v>
      </c>
      <c r="BU15" s="473">
        <v>1681875.972931087</v>
      </c>
      <c r="BV15" s="510">
        <v>0.62615385100129117</v>
      </c>
      <c r="BW15" s="473">
        <v>2375251.0325336456</v>
      </c>
      <c r="BX15" s="510">
        <v>0.85157455336866406</v>
      </c>
      <c r="BY15" s="14"/>
      <c r="BZ15" s="14"/>
      <c r="CA15" s="14"/>
      <c r="CB15" s="14"/>
    </row>
    <row r="16" spans="1:80" ht="15" customHeight="1" thickTop="1">
      <c r="A16" s="23"/>
      <c r="B16" s="23"/>
      <c r="C16" s="80" t="str">
        <f>IF(MasterSheet!$A$1=1,MasterSheet!C73,MasterSheet!B73)</f>
        <v>Porezi</v>
      </c>
      <c r="D16" s="97">
        <f>SUM(D17:D23)</f>
        <v>499381748.50999975</v>
      </c>
      <c r="E16" s="130">
        <f t="shared" ref="E16:E79" si="1">D16/$D$11*100</f>
        <v>23.238947764437608</v>
      </c>
      <c r="F16" s="98">
        <f>SUM(F17:F23)</f>
        <v>708017212.35000002</v>
      </c>
      <c r="G16" s="130">
        <f t="shared" ref="G16:G79" si="2">F16/$F$11*100</f>
        <v>26.413624784555122</v>
      </c>
      <c r="H16" s="97">
        <f>SUM(H17:H23)</f>
        <v>827975111.18999994</v>
      </c>
      <c r="I16" s="130">
        <f t="shared" ref="I16:I79" si="3">H16/$H$11*100</f>
        <v>26.833520585623539</v>
      </c>
      <c r="J16" s="97">
        <f>SUM(J17:J23)</f>
        <v>712439343</v>
      </c>
      <c r="K16" s="130">
        <f t="shared" ref="K16:K79" si="4">J16/$J$11*100</f>
        <v>23.899340590405906</v>
      </c>
      <c r="L16" s="97">
        <f>SUM(L17:L23)</f>
        <v>675800345.0200001</v>
      </c>
      <c r="M16" s="130">
        <f t="shared" ref="M16:M79" si="5">L16/$L$11*100</f>
        <v>21.625611040640003</v>
      </c>
      <c r="N16" s="97">
        <f>SUM(N17:N23)</f>
        <v>704070354.97000003</v>
      </c>
      <c r="O16" s="130">
        <f t="shared" ref="O16:O79" si="6">N16/$N$11*100</f>
        <v>21.564176262480856</v>
      </c>
      <c r="P16" s="97">
        <f>SUM(P17:P23)</f>
        <v>687444134.69000006</v>
      </c>
      <c r="Q16" s="130">
        <f t="shared" ref="Q16:Q79" si="7">P16/P$11*100</f>
        <v>21.610944190191766</v>
      </c>
      <c r="R16" s="97">
        <f>SUM(R17:R23)</f>
        <v>755696459.51000011</v>
      </c>
      <c r="S16" s="131">
        <f t="shared" ref="S16:S79" si="8">R16/R$11*100</f>
        <v>22.477586541047</v>
      </c>
      <c r="T16" s="97">
        <f>SUM(T17:T23)</f>
        <v>833203582.5200001</v>
      </c>
      <c r="U16" s="130">
        <f t="shared" ref="U16:U79" si="9">T16/T$11*100</f>
        <v>24.095652925764195</v>
      </c>
      <c r="V16" s="120">
        <f>SUM(V17:V23)</f>
        <v>805537586.3599999</v>
      </c>
      <c r="W16" s="133">
        <f t="shared" ref="W16:W79" si="10">V16/V$11*100</f>
        <v>22.039332048153213</v>
      </c>
      <c r="X16" s="120">
        <f>SUM(X17:X23)</f>
        <v>886526735.73000002</v>
      </c>
      <c r="Y16" s="133">
        <f t="shared" ref="Y16:Y47" si="11">X16/X$11*100</f>
        <v>22.419875973142481</v>
      </c>
      <c r="Z16" s="120">
        <f>SUM(Z17:Z23)</f>
        <v>971155574.28000009</v>
      </c>
      <c r="AA16" s="133">
        <f t="shared" si="0"/>
        <v>22.92353533057949</v>
      </c>
      <c r="AB16" s="24"/>
      <c r="AC16" s="24"/>
      <c r="AD16" s="24"/>
      <c r="AE16" s="24"/>
      <c r="AF16" s="24"/>
      <c r="AG16" s="24"/>
      <c r="AH16" s="2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471" t="s">
        <v>14</v>
      </c>
      <c r="BQ16" s="473">
        <v>182127.32039999589</v>
      </c>
      <c r="BR16" s="510">
        <v>0.74000986679820357</v>
      </c>
      <c r="BS16" s="473">
        <v>160247.75830927119</v>
      </c>
      <c r="BT16" s="510">
        <v>0.640856313779679</v>
      </c>
      <c r="BU16" s="473">
        <v>212421.61394058168</v>
      </c>
      <c r="BV16" s="510">
        <v>0.83984960357462057</v>
      </c>
      <c r="BW16" s="473">
        <v>278415.13463358209</v>
      </c>
      <c r="BX16" s="510">
        <v>1.0893296867106272</v>
      </c>
      <c r="BY16" s="14"/>
      <c r="BZ16" s="14"/>
      <c r="CA16" s="14"/>
      <c r="CB16" s="14"/>
    </row>
    <row r="17" spans="1:85" ht="15" customHeight="1">
      <c r="A17" s="23"/>
      <c r="B17" s="23"/>
      <c r="C17" s="81" t="str">
        <f>IF(MasterSheet!$A$1=1,MasterSheet!C74,MasterSheet!B74)</f>
        <v>Porez na dohodak fizičkih lica</v>
      </c>
      <c r="D17" s="99">
        <v>72493703.819999963</v>
      </c>
      <c r="E17" s="131">
        <f t="shared" si="1"/>
        <v>3.3735261678067832</v>
      </c>
      <c r="F17" s="99">
        <v>85402227.900000006</v>
      </c>
      <c r="G17" s="131">
        <f t="shared" si="2"/>
        <v>3.1860558813654167</v>
      </c>
      <c r="H17" s="99">
        <v>111918603.98999999</v>
      </c>
      <c r="I17" s="131">
        <f t="shared" si="3"/>
        <v>3.6271261339771841</v>
      </c>
      <c r="J17" s="99">
        <v>94990514</v>
      </c>
      <c r="K17" s="131">
        <f t="shared" si="4"/>
        <v>3.1865318349547129</v>
      </c>
      <c r="L17" s="99">
        <v>89753928.969999999</v>
      </c>
      <c r="M17" s="131">
        <f t="shared" si="5"/>
        <v>2.8721257270400002</v>
      </c>
      <c r="N17" s="99">
        <v>81640031.710000008</v>
      </c>
      <c r="O17" s="131">
        <f t="shared" si="6"/>
        <v>2.5004603892802453</v>
      </c>
      <c r="P17" s="99">
        <v>82261833.280000001</v>
      </c>
      <c r="Q17" s="131">
        <f t="shared" si="7"/>
        <v>2.5860368839987427</v>
      </c>
      <c r="R17" s="99">
        <v>95618433.910000011</v>
      </c>
      <c r="S17" s="131">
        <f t="shared" si="8"/>
        <v>2.8440938105294471</v>
      </c>
      <c r="T17" s="99">
        <v>104405821.67</v>
      </c>
      <c r="U17" s="131">
        <f t="shared" si="9"/>
        <v>3.0193418453396568</v>
      </c>
      <c r="V17" s="121">
        <v>104766319.15999998</v>
      </c>
      <c r="W17" s="134">
        <f t="shared" si="10"/>
        <v>2.8663835611491102</v>
      </c>
      <c r="X17" s="121">
        <v>123131602.47000001</v>
      </c>
      <c r="Y17" s="134">
        <f t="shared" si="11"/>
        <v>3.1139447288958579</v>
      </c>
      <c r="Z17" s="121">
        <v>111982440.54000001</v>
      </c>
      <c r="AA17" s="134">
        <f t="shared" si="0"/>
        <v>2.6432772463118139</v>
      </c>
      <c r="AB17" s="24"/>
      <c r="AC17" s="24"/>
      <c r="AD17" s="24"/>
      <c r="AE17" s="24"/>
      <c r="AF17" s="24"/>
      <c r="AG17" s="24"/>
      <c r="AH17" s="2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471" t="s">
        <v>404</v>
      </c>
      <c r="BQ17" s="473">
        <v>111986.53287082911</v>
      </c>
      <c r="BR17" s="510">
        <v>1.1469981920348715</v>
      </c>
      <c r="BS17" s="473">
        <v>75246.086142830551</v>
      </c>
      <c r="BT17" s="510">
        <v>0.74837834910917422</v>
      </c>
      <c r="BU17" s="473">
        <v>87027.510616736487</v>
      </c>
      <c r="BV17" s="510">
        <v>0.84757691632742649</v>
      </c>
      <c r="BW17" s="473">
        <v>104258.25910637341</v>
      </c>
      <c r="BX17" s="510">
        <v>0.99676675185334318</v>
      </c>
      <c r="BY17" s="14"/>
      <c r="BZ17" s="14"/>
      <c r="CA17" s="14"/>
      <c r="CB17" s="14"/>
    </row>
    <row r="18" spans="1:85" ht="15" customHeight="1">
      <c r="A18" s="23"/>
      <c r="B18" s="23"/>
      <c r="C18" s="81" t="str">
        <f>IF(MasterSheet!$A$1=1,MasterSheet!C75,MasterSheet!B75)</f>
        <v>Porez na dobit pravnih lica</v>
      </c>
      <c r="D18" s="99">
        <v>12681282.079999981</v>
      </c>
      <c r="E18" s="131">
        <f t="shared" si="1"/>
        <v>0.59012899995346368</v>
      </c>
      <c r="F18" s="99">
        <v>39076661.670000002</v>
      </c>
      <c r="G18" s="131">
        <f t="shared" si="2"/>
        <v>1.457812410744264</v>
      </c>
      <c r="H18" s="99">
        <v>62803344.119999997</v>
      </c>
      <c r="I18" s="131">
        <f t="shared" si="3"/>
        <v>2.035368943479388</v>
      </c>
      <c r="J18" s="99">
        <v>54738223</v>
      </c>
      <c r="K18" s="131">
        <f t="shared" si="4"/>
        <v>1.8362369339147935</v>
      </c>
      <c r="L18" s="99">
        <v>20270971.710000001</v>
      </c>
      <c r="M18" s="131">
        <f t="shared" si="5"/>
        <v>0.64867109472000006</v>
      </c>
      <c r="N18" s="99">
        <v>36101185.260000005</v>
      </c>
      <c r="O18" s="131">
        <f t="shared" si="6"/>
        <v>1.1057024581929558</v>
      </c>
      <c r="P18" s="99">
        <v>64016557.520000003</v>
      </c>
      <c r="Q18" s="131">
        <f t="shared" si="7"/>
        <v>2.0124664419993712</v>
      </c>
      <c r="R18" s="99">
        <v>40638726.390000008</v>
      </c>
      <c r="S18" s="131">
        <f t="shared" si="8"/>
        <v>1.2087664006543728</v>
      </c>
      <c r="T18" s="99">
        <v>45020371.5</v>
      </c>
      <c r="U18" s="131">
        <f t="shared" si="9"/>
        <v>1.3019570114809567</v>
      </c>
      <c r="V18" s="121">
        <v>42151728.179999992</v>
      </c>
      <c r="W18" s="134">
        <f t="shared" si="10"/>
        <v>1.1532620569083445</v>
      </c>
      <c r="X18" s="121">
        <v>45254590.029999994</v>
      </c>
      <c r="Y18" s="134">
        <f t="shared" si="11"/>
        <v>1.1444689198826563</v>
      </c>
      <c r="Z18" s="121">
        <v>49228502.210000001</v>
      </c>
      <c r="AA18" s="134">
        <f t="shared" si="0"/>
        <v>1.1620087857901571</v>
      </c>
      <c r="AB18" s="91"/>
      <c r="AC18" s="24"/>
      <c r="AD18" s="24"/>
      <c r="AE18" s="92"/>
      <c r="AF18" s="93"/>
      <c r="AG18" s="92"/>
      <c r="AH18" s="92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464" t="s">
        <v>18</v>
      </c>
      <c r="BQ18" s="473">
        <v>5191257.5661122799</v>
      </c>
      <c r="BR18" s="510">
        <v>1.0389546632906104</v>
      </c>
      <c r="BS18" s="473">
        <v>7337097.0458678007</v>
      </c>
      <c r="BT18" s="510">
        <v>1.4353887117056132</v>
      </c>
      <c r="BU18" s="473">
        <v>7999254.4033650756</v>
      </c>
      <c r="BV18" s="510">
        <v>1.5450989591446813</v>
      </c>
      <c r="BW18" s="473">
        <v>6072983.9462262988</v>
      </c>
      <c r="BX18" s="510">
        <v>1.1443073579460616</v>
      </c>
      <c r="BY18" s="14"/>
      <c r="BZ18" s="14"/>
      <c r="CA18" s="14"/>
      <c r="CB18" s="14"/>
      <c r="CD18" s="16"/>
    </row>
    <row r="19" spans="1:85" ht="15" customHeight="1">
      <c r="A19" s="23"/>
      <c r="B19" s="23"/>
      <c r="C19" s="81" t="str">
        <f>IF(MasterSheet!$A$1=1,MasterSheet!C76,MasterSheet!B76)</f>
        <v>Porez na promet nepokretnosti</v>
      </c>
      <c r="D19" s="99">
        <v>7371892.8599999985</v>
      </c>
      <c r="E19" s="131">
        <f t="shared" si="1"/>
        <v>0.3430542538042719</v>
      </c>
      <c r="F19" s="99">
        <v>20590669.43</v>
      </c>
      <c r="G19" s="131">
        <f t="shared" si="2"/>
        <v>0.76816524640925199</v>
      </c>
      <c r="H19" s="99">
        <v>11428331.24</v>
      </c>
      <c r="I19" s="131">
        <f t="shared" si="3"/>
        <v>0.37037630412237488</v>
      </c>
      <c r="J19" s="99">
        <v>5206820</v>
      </c>
      <c r="K19" s="131">
        <f t="shared" si="4"/>
        <v>0.17466689030526669</v>
      </c>
      <c r="L19" s="99">
        <v>4938431.08</v>
      </c>
      <c r="M19" s="131">
        <f t="shared" si="5"/>
        <v>0.15802979455999999</v>
      </c>
      <c r="N19" s="99">
        <v>1237096.94</v>
      </c>
      <c r="O19" s="131">
        <f t="shared" si="6"/>
        <v>3.7889645941807042E-2</v>
      </c>
      <c r="P19" s="99">
        <v>1441449.4</v>
      </c>
      <c r="Q19" s="131">
        <f t="shared" si="7"/>
        <v>4.5314347689405843E-2</v>
      </c>
      <c r="R19" s="99">
        <v>1440565.3199999998</v>
      </c>
      <c r="S19" s="131">
        <f t="shared" si="8"/>
        <v>4.284846281975014E-2</v>
      </c>
      <c r="T19" s="99">
        <v>1479399.88</v>
      </c>
      <c r="U19" s="131">
        <f t="shared" si="9"/>
        <v>4.2783188640504351E-2</v>
      </c>
      <c r="V19" s="121">
        <v>1486795.3800000001</v>
      </c>
      <c r="W19" s="134">
        <f t="shared" si="10"/>
        <v>4.0678396169630641E-2</v>
      </c>
      <c r="X19" s="121">
        <v>1330049.99</v>
      </c>
      <c r="Y19" s="134">
        <f t="shared" si="11"/>
        <v>3.3636386373982093E-2</v>
      </c>
      <c r="Z19" s="121">
        <v>1524664.7</v>
      </c>
      <c r="AA19" s="134">
        <f t="shared" si="0"/>
        <v>3.5988780833234979E-2</v>
      </c>
      <c r="AB19" s="91"/>
      <c r="AC19" s="24"/>
      <c r="AD19" s="24"/>
      <c r="AE19" s="92"/>
      <c r="AF19" s="93"/>
      <c r="AG19" s="92"/>
      <c r="AH19" s="92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471" t="s">
        <v>20</v>
      </c>
      <c r="BQ19" s="473">
        <v>3067900.5332581401</v>
      </c>
      <c r="BR19" s="510">
        <v>1.033812936318526</v>
      </c>
      <c r="BS19" s="473">
        <v>4341975.9488189816</v>
      </c>
      <c r="BT19" s="510">
        <v>1.4298588307690636</v>
      </c>
      <c r="BU19" s="473">
        <v>4734991.7049251199</v>
      </c>
      <c r="BV19" s="510">
        <v>1.5405488815104889</v>
      </c>
      <c r="BW19" s="473">
        <v>3591113.9915760756</v>
      </c>
      <c r="BX19" s="510">
        <v>1.139775239158908</v>
      </c>
      <c r="BY19" s="17"/>
      <c r="BZ19" s="17"/>
      <c r="CA19" s="17"/>
      <c r="CB19" s="17"/>
    </row>
    <row r="20" spans="1:85" ht="15" customHeight="1">
      <c r="A20" s="23"/>
      <c r="B20" s="23"/>
      <c r="C20" s="81" t="str">
        <f>IF(MasterSheet!$A$1=1,MasterSheet!C77,MasterSheet!B77)</f>
        <v>Porez na dodatu vrijednost</v>
      </c>
      <c r="D20" s="99">
        <v>273156637.07999986</v>
      </c>
      <c r="E20" s="131">
        <f t="shared" si="1"/>
        <v>12.711463403601837</v>
      </c>
      <c r="F20" s="99">
        <v>393174255.16000003</v>
      </c>
      <c r="G20" s="131">
        <f t="shared" si="2"/>
        <v>14.667944605857116</v>
      </c>
      <c r="H20" s="99">
        <v>440064484.29000002</v>
      </c>
      <c r="I20" s="131">
        <f t="shared" si="3"/>
        <v>14.26187724559243</v>
      </c>
      <c r="J20" s="99">
        <v>370776942</v>
      </c>
      <c r="K20" s="131">
        <f t="shared" si="4"/>
        <v>12.438005434417979</v>
      </c>
      <c r="L20" s="99">
        <v>364177041.45999998</v>
      </c>
      <c r="M20" s="131">
        <f t="shared" si="5"/>
        <v>11.653665326719999</v>
      </c>
      <c r="N20" s="99">
        <v>392235880.90999997</v>
      </c>
      <c r="O20" s="131">
        <f t="shared" si="6"/>
        <v>12.013350104441042</v>
      </c>
      <c r="P20" s="99">
        <v>354714031.35000002</v>
      </c>
      <c r="Q20" s="131">
        <f t="shared" si="7"/>
        <v>11.151022676831186</v>
      </c>
      <c r="R20" s="99">
        <v>429195069.32999998</v>
      </c>
      <c r="S20" s="131">
        <f t="shared" si="8"/>
        <v>12.766063930101129</v>
      </c>
      <c r="T20" s="99">
        <v>497589192.80000001</v>
      </c>
      <c r="U20" s="131">
        <f t="shared" si="9"/>
        <v>14.38992431244397</v>
      </c>
      <c r="V20" s="121">
        <v>457115481.22000003</v>
      </c>
      <c r="W20" s="134">
        <f t="shared" si="10"/>
        <v>12.506579513543093</v>
      </c>
      <c r="X20" s="121">
        <v>500656533.33000004</v>
      </c>
      <c r="Y20" s="134">
        <f t="shared" si="11"/>
        <v>12.661386205300696</v>
      </c>
      <c r="Z20" s="121">
        <v>548710516.46000004</v>
      </c>
      <c r="AA20" s="134">
        <f t="shared" si="0"/>
        <v>12.951977256225659</v>
      </c>
      <c r="AB20" s="515"/>
      <c r="BP20" s="471" t="s">
        <v>22</v>
      </c>
      <c r="BQ20" s="473">
        <v>1843514.5997834802</v>
      </c>
      <c r="BR20" s="510">
        <v>1.0442311228453462</v>
      </c>
      <c r="BS20" s="473">
        <v>2601917.3097793162</v>
      </c>
      <c r="BT20" s="510">
        <v>1.441066573589822</v>
      </c>
      <c r="BU20" s="473">
        <v>2836025.5881932974</v>
      </c>
      <c r="BV20" s="510">
        <v>1.54976450377562</v>
      </c>
      <c r="BW20" s="473">
        <v>2155328.6154723465</v>
      </c>
      <c r="BX20" s="510">
        <v>1.1489544879895703</v>
      </c>
    </row>
    <row r="21" spans="1:85" ht="15" customHeight="1">
      <c r="A21" s="23"/>
      <c r="B21" s="23"/>
      <c r="C21" s="81" t="str">
        <f>IF(MasterSheet!$A$1=1,MasterSheet!C78,MasterSheet!B78)</f>
        <v>Akcize</v>
      </c>
      <c r="D21" s="99">
        <v>72376242.180000007</v>
      </c>
      <c r="E21" s="131">
        <f t="shared" si="1"/>
        <v>3.3680600390897673</v>
      </c>
      <c r="F21" s="99">
        <v>94538367.25</v>
      </c>
      <c r="G21" s="131">
        <f t="shared" si="2"/>
        <v>3.526893014362992</v>
      </c>
      <c r="H21" s="99">
        <v>120303864.65000001</v>
      </c>
      <c r="I21" s="131">
        <f t="shared" si="3"/>
        <v>3.8988807573891631</v>
      </c>
      <c r="J21" s="99">
        <v>128684864</v>
      </c>
      <c r="K21" s="131">
        <f t="shared" si="4"/>
        <v>4.3168354243542435</v>
      </c>
      <c r="L21" s="99">
        <v>134261371.03</v>
      </c>
      <c r="M21" s="131">
        <f t="shared" si="5"/>
        <v>4.2963638729600007</v>
      </c>
      <c r="N21" s="99">
        <v>143379590.77000001</v>
      </c>
      <c r="O21" s="131">
        <f t="shared" si="6"/>
        <v>4.3914116621745789</v>
      </c>
      <c r="P21" s="99">
        <v>151766097.75999999</v>
      </c>
      <c r="Q21" s="131">
        <f t="shared" si="7"/>
        <v>4.7710184772084245</v>
      </c>
      <c r="R21" s="99">
        <v>161445470.17000002</v>
      </c>
      <c r="S21" s="131">
        <f t="shared" si="8"/>
        <v>4.802066334622249</v>
      </c>
      <c r="T21" s="99">
        <v>156466946.75</v>
      </c>
      <c r="U21" s="131">
        <f t="shared" si="9"/>
        <v>4.5249124251713466</v>
      </c>
      <c r="V21" s="121">
        <v>170010238.31999999</v>
      </c>
      <c r="W21" s="134">
        <f t="shared" si="10"/>
        <v>4.6514429088919282</v>
      </c>
      <c r="X21" s="121">
        <v>182670922.38</v>
      </c>
      <c r="Y21" s="134">
        <f t="shared" si="11"/>
        <v>4.6196682610894744</v>
      </c>
      <c r="Z21" s="121">
        <v>225084910.21999997</v>
      </c>
      <c r="AA21" s="134">
        <f t="shared" si="0"/>
        <v>5.3129920977221756</v>
      </c>
      <c r="AB21" s="24"/>
      <c r="BP21" s="471" t="s">
        <v>24</v>
      </c>
      <c r="BQ21" s="473">
        <v>145681.84872479923</v>
      </c>
      <c r="BR21" s="510">
        <v>1.0428631698556501</v>
      </c>
      <c r="BS21" s="473">
        <v>205687.84978447855</v>
      </c>
      <c r="BT21" s="510">
        <v>1.4395942552539225</v>
      </c>
      <c r="BU21" s="473">
        <v>224209.17039333284</v>
      </c>
      <c r="BV21" s="510">
        <v>1.5485552997131578</v>
      </c>
      <c r="BW21" s="473">
        <v>170349.24349227361</v>
      </c>
      <c r="BX21" s="510">
        <v>1.1477500565733294</v>
      </c>
    </row>
    <row r="22" spans="1:85" ht="15" customHeight="1">
      <c r="A22" s="23"/>
      <c r="B22" s="23"/>
      <c r="C22" s="81" t="str">
        <f>IF(MasterSheet!$A$1=1,MasterSheet!C79,MasterSheet!B79)</f>
        <v>Porez na međunarodnu trgovinu i transakcije</v>
      </c>
      <c r="D22" s="99">
        <v>56766223.619999953</v>
      </c>
      <c r="E22" s="131">
        <f t="shared" si="1"/>
        <v>2.6416410079575572</v>
      </c>
      <c r="F22" s="99">
        <v>68495722.040000007</v>
      </c>
      <c r="G22" s="131">
        <f t="shared" si="2"/>
        <v>2.5553337825032645</v>
      </c>
      <c r="H22" s="99">
        <v>72926890</v>
      </c>
      <c r="I22" s="131">
        <f t="shared" si="3"/>
        <v>2.3634589707026183</v>
      </c>
      <c r="J22" s="99">
        <v>49121124</v>
      </c>
      <c r="K22" s="131">
        <f t="shared" si="4"/>
        <v>1.6478069104327406</v>
      </c>
      <c r="L22" s="99">
        <v>50811537.57</v>
      </c>
      <c r="M22" s="131">
        <f t="shared" si="5"/>
        <v>1.6259692022400001</v>
      </c>
      <c r="N22" s="99">
        <v>45327985.280000009</v>
      </c>
      <c r="O22" s="131">
        <f t="shared" si="6"/>
        <v>1.3882997022970907</v>
      </c>
      <c r="P22" s="99">
        <v>28965025.329999998</v>
      </c>
      <c r="Q22" s="131">
        <f t="shared" si="7"/>
        <v>0.91056351241747879</v>
      </c>
      <c r="R22" s="99">
        <v>22269382.640000001</v>
      </c>
      <c r="S22" s="131">
        <f t="shared" si="8"/>
        <v>0.66238496847114814</v>
      </c>
      <c r="T22" s="99">
        <v>22270229.460000001</v>
      </c>
      <c r="U22" s="131">
        <f t="shared" si="9"/>
        <v>0.64403914109719773</v>
      </c>
      <c r="V22" s="121">
        <v>22887481.920000002</v>
      </c>
      <c r="W22" s="134">
        <f t="shared" si="10"/>
        <v>0.62619649575923397</v>
      </c>
      <c r="X22" s="121">
        <v>24283642.720000003</v>
      </c>
      <c r="Y22" s="134">
        <f t="shared" si="11"/>
        <v>0.61412277375954694</v>
      </c>
      <c r="Z22" s="121">
        <v>25424800.799999997</v>
      </c>
      <c r="AA22" s="134">
        <f t="shared" si="0"/>
        <v>0.60013692434792865</v>
      </c>
      <c r="AB22" s="24"/>
      <c r="BP22" s="471" t="s">
        <v>26</v>
      </c>
      <c r="BQ22" s="473">
        <v>134160.58434589952</v>
      </c>
      <c r="BR22" s="510">
        <v>1.0825028880712182</v>
      </c>
      <c r="BS22" s="473">
        <v>187515.93748500012</v>
      </c>
      <c r="BT22" s="510">
        <v>1.4823433685147194</v>
      </c>
      <c r="BU22" s="473">
        <v>204027.93985330313</v>
      </c>
      <c r="BV22" s="510">
        <v>1.5834914811879202</v>
      </c>
      <c r="BW22" s="473">
        <v>156192.09568554908</v>
      </c>
      <c r="BX22" s="510">
        <v>1.1825483473152332</v>
      </c>
      <c r="CE22" s="1"/>
      <c r="CF22" s="1"/>
      <c r="CG22" s="16"/>
    </row>
    <row r="23" spans="1:85" ht="15" customHeight="1">
      <c r="A23" s="23"/>
      <c r="B23" s="23"/>
      <c r="C23" s="81" t="str">
        <f>IF(MasterSheet!$A$1=1,MasterSheet!C80,MasterSheet!B80)</f>
        <v>Ostali državni prihodi</v>
      </c>
      <c r="D23" s="99">
        <v>4535766.87</v>
      </c>
      <c r="E23" s="131">
        <f t="shared" si="1"/>
        <v>0.21107389222392853</v>
      </c>
      <c r="F23" s="99">
        <v>6739308.9000000004</v>
      </c>
      <c r="G23" s="131">
        <f t="shared" si="2"/>
        <v>0.25141984331281481</v>
      </c>
      <c r="H23" s="99">
        <v>8529592.9000000004</v>
      </c>
      <c r="I23" s="131">
        <f t="shared" si="3"/>
        <v>0.27643223036038372</v>
      </c>
      <c r="J23" s="99">
        <v>8920856</v>
      </c>
      <c r="K23" s="131">
        <f t="shared" si="4"/>
        <v>0.2992571620261657</v>
      </c>
      <c r="L23" s="99">
        <v>11587063.199999999</v>
      </c>
      <c r="M23" s="131">
        <f t="shared" si="5"/>
        <v>0.37078602239999997</v>
      </c>
      <c r="N23" s="99">
        <v>4148584.0999999996</v>
      </c>
      <c r="O23" s="131">
        <f t="shared" si="6"/>
        <v>0.12706230015313935</v>
      </c>
      <c r="P23" s="99">
        <v>4279140.05</v>
      </c>
      <c r="Q23" s="131">
        <f t="shared" si="7"/>
        <v>0.13452185004715497</v>
      </c>
      <c r="R23" s="99">
        <v>5088811.75</v>
      </c>
      <c r="S23" s="131">
        <f t="shared" si="8"/>
        <v>0.15136263384889945</v>
      </c>
      <c r="T23" s="99">
        <v>5971620.4600000009</v>
      </c>
      <c r="U23" s="131">
        <f t="shared" si="9"/>
        <v>0.17269500159056075</v>
      </c>
      <c r="V23" s="121">
        <v>7119542.1799999997</v>
      </c>
      <c r="W23" s="134">
        <f t="shared" si="10"/>
        <v>0.19478911573187413</v>
      </c>
      <c r="X23" s="121">
        <v>9199394.8100000005</v>
      </c>
      <c r="Y23" s="134">
        <f t="shared" si="11"/>
        <v>0.23264869784027112</v>
      </c>
      <c r="Z23" s="121">
        <v>9199739.3499999996</v>
      </c>
      <c r="AA23" s="134">
        <f t="shared" si="0"/>
        <v>0.21715423934851882</v>
      </c>
      <c r="AB23" s="24"/>
      <c r="BP23" s="464" t="s">
        <v>28</v>
      </c>
      <c r="BQ23" s="473">
        <v>148837.80818000063</v>
      </c>
      <c r="BR23" s="510">
        <v>1.124095874509095</v>
      </c>
      <c r="BS23" s="473">
        <v>77604.876112129539</v>
      </c>
      <c r="BT23" s="510">
        <v>0.57044284209628415</v>
      </c>
      <c r="BU23" s="473">
        <v>59497.931428514421</v>
      </c>
      <c r="BV23" s="510">
        <v>0.42903394209265855</v>
      </c>
      <c r="BW23" s="473">
        <v>41950.666043914855</v>
      </c>
      <c r="BX23" s="510">
        <v>0.29760121819424512</v>
      </c>
      <c r="CE23" s="1"/>
      <c r="CF23" s="1"/>
      <c r="CG23" s="16"/>
    </row>
    <row r="24" spans="1:85" ht="15" customHeight="1">
      <c r="A24" s="23"/>
      <c r="B24" s="23"/>
      <c r="C24" s="80" t="str">
        <f>IF(MasterSheet!$A$1=1,MasterSheet!C81,MasterSheet!B81)</f>
        <v>Doprinosi</v>
      </c>
      <c r="D24" s="97">
        <f>SUM(D25:D28)</f>
        <v>255157132.13</v>
      </c>
      <c r="E24" s="131">
        <f t="shared" si="1"/>
        <v>11.873848579738471</v>
      </c>
      <c r="F24" s="97">
        <f>SUM(F25:F28)</f>
        <v>306787808.32999998</v>
      </c>
      <c r="G24" s="131">
        <f t="shared" si="2"/>
        <v>11.445170987875395</v>
      </c>
      <c r="H24" s="97">
        <f>SUM(H25:H28)</f>
        <v>339912631.83999997</v>
      </c>
      <c r="I24" s="131">
        <f t="shared" si="3"/>
        <v>11.016095146486906</v>
      </c>
      <c r="J24" s="97">
        <f>SUM(J25:J28)</f>
        <v>307544353.24000001</v>
      </c>
      <c r="K24" s="131">
        <f t="shared" si="4"/>
        <v>10.316818290506543</v>
      </c>
      <c r="L24" s="97">
        <f>SUM(L25:L28)</f>
        <v>379756996.48000008</v>
      </c>
      <c r="M24" s="131">
        <f t="shared" si="5"/>
        <v>12.152223887360003</v>
      </c>
      <c r="N24" s="97">
        <f>SUM(N25:N28)</f>
        <v>353577453.33000004</v>
      </c>
      <c r="O24" s="131">
        <f t="shared" si="6"/>
        <v>10.82932475742726</v>
      </c>
      <c r="P24" s="97">
        <f>SUM(P25:P28)</f>
        <v>362250409.59999996</v>
      </c>
      <c r="Q24" s="131">
        <f t="shared" si="7"/>
        <v>11.387941200880224</v>
      </c>
      <c r="R24" s="97">
        <f>SUM(R25:R28)</f>
        <v>398494284.19</v>
      </c>
      <c r="S24" s="131">
        <f t="shared" si="8"/>
        <v>11.852893640392622</v>
      </c>
      <c r="T24" s="97">
        <f>SUM(T25:T28)</f>
        <v>444303244.55000001</v>
      </c>
      <c r="U24" s="131">
        <f t="shared" si="9"/>
        <v>12.848932720726452</v>
      </c>
      <c r="V24" s="120">
        <f>SUM(V25:V28)</f>
        <v>437288820.67000002</v>
      </c>
      <c r="W24" s="134">
        <f t="shared" si="10"/>
        <v>11.964126420519836</v>
      </c>
      <c r="X24" s="120">
        <f>SUM(X25:X28)</f>
        <v>462885204.29000008</v>
      </c>
      <c r="Y24" s="134">
        <f t="shared" si="11"/>
        <v>11.706165704567297</v>
      </c>
      <c r="Z24" s="120">
        <f>SUM(Z25:Z28)</f>
        <v>494952632.42000002</v>
      </c>
      <c r="AA24" s="134">
        <f t="shared" si="0"/>
        <v>11.683055173374248</v>
      </c>
      <c r="AB24" s="24"/>
      <c r="BP24" s="471" t="s">
        <v>30</v>
      </c>
      <c r="BQ24" s="473">
        <v>98078.430710000917</v>
      </c>
      <c r="BR24" s="510">
        <v>1.1829610077881227</v>
      </c>
      <c r="BS24" s="473">
        <v>50392.517217770219</v>
      </c>
      <c r="BT24" s="510">
        <v>0.59182394250404968</v>
      </c>
      <c r="BU24" s="473">
        <v>34219.626453258097</v>
      </c>
      <c r="BV24" s="510">
        <v>0.39439151082103763</v>
      </c>
      <c r="BW24" s="473">
        <v>17345.575958803296</v>
      </c>
      <c r="BX24" s="510">
        <v>0.1967647558784904</v>
      </c>
      <c r="CE24" s="1"/>
      <c r="CF24" s="1"/>
      <c r="CG24" s="16"/>
    </row>
    <row r="25" spans="1:85" ht="15" customHeight="1">
      <c r="A25" s="23"/>
      <c r="B25" s="23"/>
      <c r="C25" s="81" t="str">
        <f>IF(MasterSheet!$A$1=1,MasterSheet!C82,MasterSheet!B82)</f>
        <v>Doprinosi za penzijsko i invalidsko osiguranje</v>
      </c>
      <c r="D25" s="99">
        <v>138179769.16</v>
      </c>
      <c r="E25" s="131">
        <f t="shared" si="1"/>
        <v>6.4302559058122766</v>
      </c>
      <c r="F25" s="99">
        <v>173517241.65000001</v>
      </c>
      <c r="G25" s="131">
        <f t="shared" si="2"/>
        <v>6.473316233911584</v>
      </c>
      <c r="H25" s="99">
        <v>213850904.31999999</v>
      </c>
      <c r="I25" s="131">
        <f t="shared" si="3"/>
        <v>6.9306100700025919</v>
      </c>
      <c r="J25" s="99">
        <v>199510659.24000001</v>
      </c>
      <c r="K25" s="131">
        <f t="shared" si="4"/>
        <v>6.6927426782958737</v>
      </c>
      <c r="L25" s="99">
        <v>233496116.37</v>
      </c>
      <c r="M25" s="131">
        <f t="shared" si="5"/>
        <v>7.4718757238400002</v>
      </c>
      <c r="N25" s="99">
        <v>213452220.68000001</v>
      </c>
      <c r="O25" s="131">
        <f t="shared" si="6"/>
        <v>6.5375871571209805</v>
      </c>
      <c r="P25" s="99">
        <v>216501675.27000001</v>
      </c>
      <c r="Q25" s="131">
        <f t="shared" si="7"/>
        <v>6.8060885026721154</v>
      </c>
      <c r="R25" s="99">
        <v>241949355.72999999</v>
      </c>
      <c r="S25" s="131">
        <f t="shared" si="8"/>
        <v>7.196589997917906</v>
      </c>
      <c r="T25" s="99">
        <v>270120228.04000002</v>
      </c>
      <c r="U25" s="131">
        <f t="shared" si="9"/>
        <v>7.8116842025506807</v>
      </c>
      <c r="V25" s="121">
        <v>264099239.14000005</v>
      </c>
      <c r="W25" s="134">
        <f t="shared" si="10"/>
        <v>7.2256973772913833</v>
      </c>
      <c r="X25" s="121">
        <v>273553324.41000003</v>
      </c>
      <c r="Y25" s="134">
        <f t="shared" si="11"/>
        <v>6.9180447223205714</v>
      </c>
      <c r="Z25" s="121">
        <v>303042063.35000002</v>
      </c>
      <c r="AA25" s="134">
        <f t="shared" si="0"/>
        <v>7.1531231759707312</v>
      </c>
      <c r="AB25" s="24"/>
      <c r="BP25" s="471" t="s">
        <v>31</v>
      </c>
      <c r="BQ25" s="473">
        <v>12942.032490000129</v>
      </c>
      <c r="BR25" s="510">
        <v>0.88148873653281612</v>
      </c>
      <c r="BS25" s="473">
        <v>4404.6050574299879</v>
      </c>
      <c r="BT25" s="510">
        <v>0.29211295034079399</v>
      </c>
      <c r="BU25" s="473">
        <v>1463.7970807526726</v>
      </c>
      <c r="BV25" s="510">
        <v>9.5268763980953963E-2</v>
      </c>
      <c r="BW25" s="473">
        <v>-1588.6940617610235</v>
      </c>
      <c r="BX25" s="510">
        <v>-0.10176916665680835</v>
      </c>
      <c r="CE25" s="1"/>
      <c r="CF25" s="1"/>
      <c r="CG25" s="16"/>
    </row>
    <row r="26" spans="1:85" ht="15" customHeight="1">
      <c r="A26" s="23"/>
      <c r="B26" s="23"/>
      <c r="C26" s="81" t="str">
        <f>IF(MasterSheet!$A$1=1,MasterSheet!C83,MasterSheet!B83)</f>
        <v>Doprinosi za zdravstveno osiguranje</v>
      </c>
      <c r="D26" s="99">
        <v>110592983</v>
      </c>
      <c r="E26" s="131">
        <f t="shared" si="1"/>
        <v>5.1464927637395883</v>
      </c>
      <c r="F26" s="99">
        <v>125446267</v>
      </c>
      <c r="G26" s="131">
        <f t="shared" si="2"/>
        <v>4.6799577317664616</v>
      </c>
      <c r="H26" s="99">
        <v>115860488.59999999</v>
      </c>
      <c r="I26" s="131">
        <f t="shared" si="3"/>
        <v>3.7548771260046667</v>
      </c>
      <c r="J26" s="99">
        <v>97587763</v>
      </c>
      <c r="K26" s="131">
        <f t="shared" si="4"/>
        <v>3.2736586044951359</v>
      </c>
      <c r="L26" s="99">
        <v>129895634.22</v>
      </c>
      <c r="M26" s="131">
        <f t="shared" si="5"/>
        <v>4.15666029504</v>
      </c>
      <c r="N26" s="99">
        <v>120890439.24000001</v>
      </c>
      <c r="O26" s="131">
        <f t="shared" si="6"/>
        <v>3.7026168220520677</v>
      </c>
      <c r="P26" s="99">
        <v>125738855</v>
      </c>
      <c r="Q26" s="131">
        <f t="shared" si="7"/>
        <v>3.9528090223200252</v>
      </c>
      <c r="R26" s="99">
        <v>134703897.09</v>
      </c>
      <c r="S26" s="131">
        <f t="shared" si="8"/>
        <v>4.0066596397977401</v>
      </c>
      <c r="T26" s="99">
        <v>151034703.57999998</v>
      </c>
      <c r="U26" s="131">
        <f t="shared" si="9"/>
        <v>4.3678158298389187</v>
      </c>
      <c r="V26" s="121">
        <v>150309788.34999993</v>
      </c>
      <c r="W26" s="134">
        <f t="shared" si="10"/>
        <v>4.1124429097127209</v>
      </c>
      <c r="X26" s="121">
        <v>164379366.90000004</v>
      </c>
      <c r="Y26" s="134">
        <f t="shared" si="11"/>
        <v>4.1570827702190085</v>
      </c>
      <c r="Z26" s="121">
        <v>167400672.64999998</v>
      </c>
      <c r="AA26" s="134">
        <f t="shared" si="0"/>
        <v>3.9513908332349814</v>
      </c>
      <c r="AB26" s="24"/>
      <c r="BP26" s="471" t="s">
        <v>33</v>
      </c>
      <c r="BQ26" s="473">
        <v>17978.381550000282</v>
      </c>
      <c r="BR26" s="510">
        <v>1.4605647517040126</v>
      </c>
      <c r="BS26" s="473">
        <v>16055.893282920355</v>
      </c>
      <c r="BT26" s="510">
        <v>1.2639357502472421</v>
      </c>
      <c r="BU26" s="473">
        <v>21570.639570388244</v>
      </c>
      <c r="BV26" s="510">
        <v>1.6598846681367547</v>
      </c>
      <c r="BW26" s="473">
        <v>28629.10822885856</v>
      </c>
      <c r="BX26" s="510">
        <v>2.1577293530933446</v>
      </c>
      <c r="CE26" s="1"/>
      <c r="CF26" s="1"/>
      <c r="CG26" s="16"/>
    </row>
    <row r="27" spans="1:85" ht="15" customHeight="1">
      <c r="A27" s="23"/>
      <c r="B27" s="23"/>
      <c r="C27" s="81" t="str">
        <f>IF(MasterSheet!$A$1=1,MasterSheet!C84,MasterSheet!B84)</f>
        <v>Doprinosi za osiguranje od nezaposlenosti</v>
      </c>
      <c r="D27" s="99">
        <v>6384379.9699999997</v>
      </c>
      <c r="E27" s="131">
        <f t="shared" si="1"/>
        <v>0.29709991018660709</v>
      </c>
      <c r="F27" s="99">
        <v>7824299.6800000006</v>
      </c>
      <c r="G27" s="131">
        <f t="shared" si="2"/>
        <v>0.29189702219735131</v>
      </c>
      <c r="H27" s="99">
        <v>10201238.92</v>
      </c>
      <c r="I27" s="131">
        <f t="shared" si="3"/>
        <v>0.33060795047964742</v>
      </c>
      <c r="J27" s="99">
        <v>10445931</v>
      </c>
      <c r="K27" s="131">
        <f t="shared" si="4"/>
        <v>0.35041700771553169</v>
      </c>
      <c r="L27" s="99">
        <v>10149691.789999999</v>
      </c>
      <c r="M27" s="131">
        <f t="shared" si="5"/>
        <v>0.32479013727999995</v>
      </c>
      <c r="N27" s="99">
        <v>10764704.380000001</v>
      </c>
      <c r="O27" s="131">
        <f t="shared" si="6"/>
        <v>0.32969998101071979</v>
      </c>
      <c r="P27" s="99">
        <v>9987592.2599999998</v>
      </c>
      <c r="Q27" s="131">
        <f t="shared" si="7"/>
        <v>0.31397649355548568</v>
      </c>
      <c r="R27" s="99">
        <v>10770190.189999999</v>
      </c>
      <c r="S27" s="131">
        <f t="shared" si="8"/>
        <v>0.32035068976799519</v>
      </c>
      <c r="T27" s="99">
        <v>12160117.389999999</v>
      </c>
      <c r="U27" s="131">
        <f t="shared" si="9"/>
        <v>0.35166191590271545</v>
      </c>
      <c r="V27" s="121">
        <v>12114496.520000001</v>
      </c>
      <c r="W27" s="134">
        <f t="shared" si="10"/>
        <v>0.33144997318741454</v>
      </c>
      <c r="X27" s="121">
        <v>12989910.719999999</v>
      </c>
      <c r="Y27" s="134">
        <f t="shared" si="11"/>
        <v>0.32850919832077285</v>
      </c>
      <c r="Z27" s="121">
        <v>12595344.189999998</v>
      </c>
      <c r="AA27" s="134">
        <f t="shared" si="0"/>
        <v>0.29730542169243473</v>
      </c>
      <c r="AB27" s="24"/>
      <c r="BP27" s="471" t="s">
        <v>36</v>
      </c>
      <c r="BQ27" s="473">
        <v>19838.963430000003</v>
      </c>
      <c r="BR27" s="510">
        <v>0.88148873653281612</v>
      </c>
      <c r="BS27" s="473">
        <v>6751.8605540101416</v>
      </c>
      <c r="BT27" s="510">
        <v>0.29211295034079399</v>
      </c>
      <c r="BU27" s="473">
        <v>2243.8683241158724</v>
      </c>
      <c r="BV27" s="510">
        <v>9.5268763980939752E-2</v>
      </c>
      <c r="BW27" s="473">
        <v>-2435.3240819857456</v>
      </c>
      <c r="BX27" s="510">
        <v>-0.10176916665682256</v>
      </c>
      <c r="CE27" s="1"/>
      <c r="CF27" s="1"/>
      <c r="CG27" s="16"/>
    </row>
    <row r="28" spans="1:85" ht="15" customHeight="1">
      <c r="A28" s="23"/>
      <c r="B28" s="23"/>
      <c r="C28" s="81" t="str">
        <f>IF(MasterSheet!$A$1=1,MasterSheet!C85,MasterSheet!B85)</f>
        <v>Ostali doprinosi</v>
      </c>
      <c r="D28" s="99">
        <v>0</v>
      </c>
      <c r="E28" s="131">
        <f t="shared" si="1"/>
        <v>0</v>
      </c>
      <c r="F28" s="99">
        <v>0</v>
      </c>
      <c r="G28" s="131">
        <f t="shared" si="2"/>
        <v>0</v>
      </c>
      <c r="H28" s="99">
        <v>0</v>
      </c>
      <c r="I28" s="131">
        <f t="shared" si="3"/>
        <v>0</v>
      </c>
      <c r="J28" s="99">
        <v>0</v>
      </c>
      <c r="K28" s="131">
        <f t="shared" si="4"/>
        <v>0</v>
      </c>
      <c r="L28" s="99">
        <v>6215554.0999999996</v>
      </c>
      <c r="M28" s="131">
        <f t="shared" si="5"/>
        <v>0.19889773119999998</v>
      </c>
      <c r="N28" s="99">
        <v>8470089.0300000012</v>
      </c>
      <c r="O28" s="131">
        <f t="shared" si="6"/>
        <v>0.25942079724349165</v>
      </c>
      <c r="P28" s="99">
        <v>10022287.07</v>
      </c>
      <c r="Q28" s="131">
        <f t="shared" si="7"/>
        <v>0.31506718233259984</v>
      </c>
      <c r="R28" s="99">
        <v>11070841.180000002</v>
      </c>
      <c r="S28" s="131">
        <f t="shared" si="8"/>
        <v>0.32929331290898278</v>
      </c>
      <c r="T28" s="99">
        <v>10988195.539999999</v>
      </c>
      <c r="U28" s="131">
        <f t="shared" si="9"/>
        <v>0.31777077243413632</v>
      </c>
      <c r="V28" s="121">
        <v>10765296.66</v>
      </c>
      <c r="W28" s="134">
        <f t="shared" si="10"/>
        <v>0.29453616032831742</v>
      </c>
      <c r="X28" s="121">
        <v>11962602.260000002</v>
      </c>
      <c r="Y28" s="134">
        <f t="shared" si="11"/>
        <v>0.30252901370694457</v>
      </c>
      <c r="Z28" s="121">
        <v>11914552.229999999</v>
      </c>
      <c r="AA28" s="134">
        <f t="shared" si="0"/>
        <v>0.2812357424761005</v>
      </c>
      <c r="AB28" s="24"/>
      <c r="BP28" s="464" t="s">
        <v>38</v>
      </c>
      <c r="BQ28" s="473">
        <v>575980.96754999086</v>
      </c>
      <c r="BR28" s="510">
        <v>2.2772718640118086</v>
      </c>
      <c r="BS28" s="473">
        <v>559328.09505803883</v>
      </c>
      <c r="BT28" s="510">
        <v>2.1766052578464041</v>
      </c>
      <c r="BU28" s="473">
        <v>618273.56113588437</v>
      </c>
      <c r="BV28" s="510">
        <v>2.3786351248911188</v>
      </c>
      <c r="BW28" s="473">
        <v>691293.08489026129</v>
      </c>
      <c r="BX28" s="510">
        <v>2.6319221984311554</v>
      </c>
      <c r="CE28" s="16"/>
      <c r="CF28" s="16"/>
      <c r="CG28" s="16"/>
    </row>
    <row r="29" spans="1:85" ht="15" customHeight="1">
      <c r="A29" s="23"/>
      <c r="B29" s="23"/>
      <c r="C29" s="80" t="str">
        <f>IF(MasterSheet!$A$1=1,MasterSheet!C86,MasterSheet!B86)</f>
        <v>Takse</v>
      </c>
      <c r="D29" s="97">
        <f>SUM(D30:D33)</f>
        <v>15777845.709999993</v>
      </c>
      <c r="E29" s="131">
        <f t="shared" si="1"/>
        <v>0.73422894085345958</v>
      </c>
      <c r="F29" s="97">
        <f>SUM(F30:F33)</f>
        <v>21847073.970000003</v>
      </c>
      <c r="G29" s="131">
        <f t="shared" si="2"/>
        <v>0.81503726804700616</v>
      </c>
      <c r="H29" s="97">
        <f>SUM(H30:H33)</f>
        <v>26594093.5</v>
      </c>
      <c r="I29" s="131">
        <f t="shared" si="3"/>
        <v>0.86187754407570649</v>
      </c>
      <c r="J29" s="97">
        <f>SUM(J30:J33)</f>
        <v>22516562.169999998</v>
      </c>
      <c r="K29" s="131">
        <f t="shared" si="4"/>
        <v>0.75533586615229786</v>
      </c>
      <c r="L29" s="97">
        <f>SUM(L30:L33)</f>
        <v>20544226.239999998</v>
      </c>
      <c r="M29" s="131">
        <f t="shared" si="5"/>
        <v>0.65741523967999993</v>
      </c>
      <c r="N29" s="97">
        <f>SUM(N30:N33)</f>
        <v>16011669.92</v>
      </c>
      <c r="O29" s="131">
        <f t="shared" si="6"/>
        <v>0.49040336661562017</v>
      </c>
      <c r="P29" s="97">
        <f>SUM(P30:P33)</f>
        <v>17998206.289999999</v>
      </c>
      <c r="Q29" s="131">
        <f t="shared" si="7"/>
        <v>0.56580340427538511</v>
      </c>
      <c r="R29" s="97">
        <f>SUM(R30:R33)</f>
        <v>27179432.649999999</v>
      </c>
      <c r="S29" s="131">
        <f t="shared" si="8"/>
        <v>0.8084304773944081</v>
      </c>
      <c r="T29" s="97">
        <f>SUM(T30:T33)</f>
        <v>15038439.810000001</v>
      </c>
      <c r="U29" s="131">
        <f t="shared" si="9"/>
        <v>0.43490094594985401</v>
      </c>
      <c r="V29" s="120">
        <f>SUM(V30:V33)</f>
        <v>13154413.690000001</v>
      </c>
      <c r="W29" s="134">
        <f t="shared" si="10"/>
        <v>0.35990187934336526</v>
      </c>
      <c r="X29" s="120">
        <f>SUM(X30:X33)</f>
        <v>12985556.879999999</v>
      </c>
      <c r="Y29" s="134">
        <f t="shared" si="11"/>
        <v>0.32839909159880631</v>
      </c>
      <c r="Z29" s="120">
        <f>SUM(Z30:Z33)</f>
        <v>13613004.68</v>
      </c>
      <c r="AA29" s="134">
        <f t="shared" si="0"/>
        <v>0.32132667720996105</v>
      </c>
      <c r="AB29" s="24"/>
      <c r="BP29" s="471" t="s">
        <v>39</v>
      </c>
      <c r="BQ29" s="473">
        <v>5716.8209999998799</v>
      </c>
      <c r="BR29" s="510">
        <v>0.74000986679820357</v>
      </c>
      <c r="BS29" s="473">
        <v>5030.0402371998644</v>
      </c>
      <c r="BT29" s="510">
        <v>0.64085631377970742</v>
      </c>
      <c r="BU29" s="473">
        <v>6667.7329944917001</v>
      </c>
      <c r="BV29" s="510">
        <v>0.83984960357462057</v>
      </c>
      <c r="BW29" s="473">
        <v>8739.213232234586</v>
      </c>
      <c r="BX29" s="510">
        <v>1.0893296867106272</v>
      </c>
      <c r="CE29" s="16"/>
      <c r="CF29" s="16"/>
      <c r="CG29" s="16"/>
    </row>
    <row r="30" spans="1:85" ht="15" customHeight="1">
      <c r="A30" s="23"/>
      <c r="B30" s="23"/>
      <c r="C30" s="81" t="str">
        <f>IF(MasterSheet!$A$1=1,MasterSheet!C87,MasterSheet!B87)</f>
        <v>Administrativne takse</v>
      </c>
      <c r="D30" s="99">
        <v>7506509.4799999958</v>
      </c>
      <c r="E30" s="131">
        <f t="shared" si="1"/>
        <v>0.34931869700777124</v>
      </c>
      <c r="F30" s="99">
        <v>9153048.3600000013</v>
      </c>
      <c r="G30" s="131">
        <f t="shared" si="2"/>
        <v>0.34146794851706774</v>
      </c>
      <c r="H30" s="99">
        <v>18319319.420000002</v>
      </c>
      <c r="I30" s="131">
        <f t="shared" si="3"/>
        <v>0.59370363689395911</v>
      </c>
      <c r="J30" s="99">
        <v>14744246.369999999</v>
      </c>
      <c r="K30" s="131">
        <f t="shared" si="4"/>
        <v>0.49460739248574298</v>
      </c>
      <c r="L30" s="99">
        <v>13257206.299999997</v>
      </c>
      <c r="M30" s="131">
        <f t="shared" si="5"/>
        <v>0.42423060159999992</v>
      </c>
      <c r="N30" s="99">
        <v>10724280.77</v>
      </c>
      <c r="O30" s="131">
        <f t="shared" si="6"/>
        <v>0.32846189188361408</v>
      </c>
      <c r="P30" s="99">
        <v>8544481.8000000007</v>
      </c>
      <c r="Q30" s="131">
        <f t="shared" si="7"/>
        <v>0.2686099276956932</v>
      </c>
      <c r="R30" s="99">
        <v>7991437.5899999999</v>
      </c>
      <c r="S30" s="131">
        <f t="shared" si="8"/>
        <v>0.23769891701368234</v>
      </c>
      <c r="T30" s="99">
        <v>7905297.4699999997</v>
      </c>
      <c r="U30" s="131">
        <f t="shared" si="9"/>
        <v>0.22861556060036436</v>
      </c>
      <c r="V30" s="121">
        <v>8333209.8900000015</v>
      </c>
      <c r="W30" s="134">
        <f t="shared" si="10"/>
        <v>0.227994798632011</v>
      </c>
      <c r="X30" s="121">
        <v>8144665.2300000004</v>
      </c>
      <c r="Y30" s="134">
        <f t="shared" si="11"/>
        <v>0.20597504501542666</v>
      </c>
      <c r="Z30" s="121">
        <v>8684400.129999999</v>
      </c>
      <c r="AA30" s="134">
        <f t="shared" si="0"/>
        <v>0.20498997120264364</v>
      </c>
      <c r="AB30" s="24"/>
      <c r="BP30" s="471" t="s">
        <v>41</v>
      </c>
      <c r="BQ30" s="473">
        <v>22089.581174999941</v>
      </c>
      <c r="BR30" s="510">
        <v>0.55419780251473583</v>
      </c>
      <c r="BS30" s="473">
        <v>18435.059002365451</v>
      </c>
      <c r="BT30" s="510">
        <v>0.45522713538626647</v>
      </c>
      <c r="BU30" s="473">
        <v>26783.211787903681</v>
      </c>
      <c r="BV30" s="510">
        <v>0.6538533877547934</v>
      </c>
      <c r="BW30" s="473">
        <v>37371.920045058709</v>
      </c>
      <c r="BX30" s="510">
        <v>0.9028733120193948</v>
      </c>
      <c r="CE30" s="16"/>
      <c r="CF30" s="16"/>
      <c r="CG30" s="16"/>
    </row>
    <row r="31" spans="1:85" ht="15" customHeight="1">
      <c r="A31" s="23"/>
      <c r="B31" s="23"/>
      <c r="C31" s="81" t="str">
        <f>IF(MasterSheet!$A$1=1,MasterSheet!C88,MasterSheet!B88)</f>
        <v>Sudske takse</v>
      </c>
      <c r="D31" s="99">
        <v>6027790.6899999976</v>
      </c>
      <c r="E31" s="131">
        <f t="shared" si="1"/>
        <v>0.28050587230676149</v>
      </c>
      <c r="F31" s="99">
        <v>8663338.5800000001</v>
      </c>
      <c r="G31" s="131">
        <f t="shared" si="2"/>
        <v>0.32319860399179257</v>
      </c>
      <c r="H31" s="99">
        <v>7688705.0099999998</v>
      </c>
      <c r="I31" s="131">
        <f t="shared" si="3"/>
        <v>0.24918022459165154</v>
      </c>
      <c r="J31" s="99">
        <v>6834686.9299999997</v>
      </c>
      <c r="K31" s="131">
        <f t="shared" si="4"/>
        <v>0.22927497249245221</v>
      </c>
      <c r="L31" s="99">
        <v>6236916.9700000007</v>
      </c>
      <c r="M31" s="131">
        <f t="shared" si="5"/>
        <v>0.19958134304000003</v>
      </c>
      <c r="N31" s="99">
        <v>3918273.44</v>
      </c>
      <c r="O31" s="131">
        <f t="shared" si="6"/>
        <v>0.12000837488514549</v>
      </c>
      <c r="P31" s="99">
        <v>3475076.76</v>
      </c>
      <c r="Q31" s="131">
        <f t="shared" si="7"/>
        <v>0.10924478968877711</v>
      </c>
      <c r="R31" s="99">
        <v>4557791.26</v>
      </c>
      <c r="S31" s="131">
        <f t="shared" si="8"/>
        <v>0.13556785425342058</v>
      </c>
      <c r="T31" s="99">
        <v>3784205.9000000004</v>
      </c>
      <c r="U31" s="131">
        <f t="shared" si="9"/>
        <v>0.10943653373434745</v>
      </c>
      <c r="V31" s="121">
        <v>1862618.2899999998</v>
      </c>
      <c r="W31" s="134">
        <f t="shared" si="10"/>
        <v>5.096082872777017E-2</v>
      </c>
      <c r="X31" s="121">
        <v>1438003.6099999999</v>
      </c>
      <c r="Y31" s="134">
        <f t="shared" si="11"/>
        <v>3.6366486520661573E-2</v>
      </c>
      <c r="Z31" s="121">
        <v>1291141.31</v>
      </c>
      <c r="AA31" s="134">
        <f t="shared" si="0"/>
        <v>3.047660356426295E-2</v>
      </c>
      <c r="AB31" s="24"/>
      <c r="BP31" s="471" t="s">
        <v>44</v>
      </c>
      <c r="BQ31" s="473">
        <v>2087.0564249999588</v>
      </c>
      <c r="BR31" s="510">
        <v>0.74000986679820357</v>
      </c>
      <c r="BS31" s="473">
        <v>1836.3313798099407</v>
      </c>
      <c r="BT31" s="510">
        <v>0.64085631377970742</v>
      </c>
      <c r="BU31" s="473">
        <v>2434.208625097468</v>
      </c>
      <c r="BV31" s="510">
        <v>0.83984960357462057</v>
      </c>
      <c r="BW31" s="473">
        <v>3190.4499241414596</v>
      </c>
      <c r="BX31" s="510">
        <v>1.0893296867106272</v>
      </c>
      <c r="CE31" s="1"/>
      <c r="CF31" s="1"/>
      <c r="CG31" s="1"/>
    </row>
    <row r="32" spans="1:85" ht="15" customHeight="1">
      <c r="A32" s="23"/>
      <c r="B32" s="23"/>
      <c r="C32" s="81" t="str">
        <f>IF(MasterSheet!$A$1=1,MasterSheet!C89,MasterSheet!B89)</f>
        <v>Boravišne takse</v>
      </c>
      <c r="D32" s="99">
        <v>365979.02</v>
      </c>
      <c r="E32" s="131">
        <f t="shared" si="1"/>
        <v>1.7030993531574296E-2</v>
      </c>
      <c r="F32" s="99">
        <v>564651.91</v>
      </c>
      <c r="G32" s="131">
        <f t="shared" si="2"/>
        <v>2.1065171050177207E-2</v>
      </c>
      <c r="H32" s="99">
        <v>544318.97</v>
      </c>
      <c r="I32" s="131">
        <f t="shared" si="3"/>
        <v>1.76406199766658E-2</v>
      </c>
      <c r="J32" s="99">
        <v>409061.18</v>
      </c>
      <c r="K32" s="131">
        <f t="shared" si="4"/>
        <v>1.3722280442804427E-2</v>
      </c>
      <c r="L32" s="99">
        <v>449587.51</v>
      </c>
      <c r="M32" s="131">
        <f t="shared" si="5"/>
        <v>1.438680032E-2</v>
      </c>
      <c r="N32" s="99">
        <v>553959.80999999994</v>
      </c>
      <c r="O32" s="131">
        <f t="shared" si="6"/>
        <v>1.6966609800918835E-2</v>
      </c>
      <c r="P32" s="99">
        <v>491975.95</v>
      </c>
      <c r="Q32" s="131">
        <f t="shared" si="7"/>
        <v>1.5466078277271297E-2</v>
      </c>
      <c r="R32" s="99">
        <v>767936.98999999987</v>
      </c>
      <c r="S32" s="131">
        <f t="shared" si="8"/>
        <v>2.284167132659131E-2</v>
      </c>
      <c r="T32" s="99">
        <v>644189.07999999984</v>
      </c>
      <c r="U32" s="131">
        <f t="shared" si="9"/>
        <v>1.8629488417825843E-2</v>
      </c>
      <c r="V32" s="121">
        <v>874440.19000000006</v>
      </c>
      <c r="W32" s="134">
        <f t="shared" si="10"/>
        <v>2.3924492202462382E-2</v>
      </c>
      <c r="X32" s="121">
        <v>1198558.77</v>
      </c>
      <c r="Y32" s="134">
        <f t="shared" si="11"/>
        <v>3.0311030549795153E-2</v>
      </c>
      <c r="Z32" s="121">
        <v>1364747.4000000001</v>
      </c>
      <c r="AA32" s="134">
        <f t="shared" si="0"/>
        <v>3.2214030449663637E-2</v>
      </c>
      <c r="AB32" s="24"/>
      <c r="BP32" s="471" t="s">
        <v>46</v>
      </c>
      <c r="BQ32" s="473">
        <v>69106.394324999303</v>
      </c>
      <c r="BR32" s="510">
        <v>0.74000986679820357</v>
      </c>
      <c r="BS32" s="473">
        <v>60804.412820089608</v>
      </c>
      <c r="BT32" s="510">
        <v>0.64085631377972163</v>
      </c>
      <c r="BU32" s="473">
        <v>80601.261710165069</v>
      </c>
      <c r="BV32" s="510">
        <v>0.83984960357463478</v>
      </c>
      <c r="BW32" s="473">
        <v>105641.84460508265</v>
      </c>
      <c r="BX32" s="510">
        <v>1.0893296867106557</v>
      </c>
      <c r="CE32" s="1"/>
      <c r="CF32" s="1"/>
      <c r="CG32" s="1"/>
    </row>
    <row r="33" spans="1:88" ht="15" customHeight="1">
      <c r="A33" s="23"/>
      <c r="B33" s="23"/>
      <c r="C33" s="81" t="str">
        <f>IF(MasterSheet!$A$1=1,MasterSheet!C90,MasterSheet!B90)</f>
        <v>Ostale takse</v>
      </c>
      <c r="D33" s="99">
        <v>1877566.52</v>
      </c>
      <c r="E33" s="131">
        <f t="shared" si="1"/>
        <v>8.7373378007352592E-2</v>
      </c>
      <c r="F33" s="99">
        <v>3466035.12</v>
      </c>
      <c r="G33" s="131">
        <f t="shared" si="2"/>
        <v>0.12930554448796866</v>
      </c>
      <c r="H33" s="99">
        <v>41750.1</v>
      </c>
      <c r="I33" s="131">
        <f t="shared" si="3"/>
        <v>1.3530626134301269E-3</v>
      </c>
      <c r="J33" s="99">
        <v>528567.68999999994</v>
      </c>
      <c r="K33" s="131">
        <f t="shared" si="4"/>
        <v>1.7731220731298222E-2</v>
      </c>
      <c r="L33" s="99">
        <v>600515.46</v>
      </c>
      <c r="M33" s="131">
        <f t="shared" si="5"/>
        <v>1.9216494719999998E-2</v>
      </c>
      <c r="N33" s="99">
        <v>815155.9</v>
      </c>
      <c r="O33" s="131">
        <f t="shared" si="6"/>
        <v>2.496649004594181E-2</v>
      </c>
      <c r="P33" s="99">
        <v>5486671.7800000003</v>
      </c>
      <c r="Q33" s="131">
        <f t="shared" si="7"/>
        <v>0.17248260861364351</v>
      </c>
      <c r="R33" s="99">
        <v>13862266.809999999</v>
      </c>
      <c r="S33" s="131">
        <f t="shared" si="8"/>
        <v>0.41232203480071383</v>
      </c>
      <c r="T33" s="99">
        <v>2704747.36</v>
      </c>
      <c r="U33" s="131">
        <f t="shared" si="9"/>
        <v>7.8219363197316288E-2</v>
      </c>
      <c r="V33" s="121">
        <v>2084145.32</v>
      </c>
      <c r="W33" s="134">
        <f t="shared" si="10"/>
        <v>5.7021759781121756E-2</v>
      </c>
      <c r="X33" s="121">
        <v>2204329.27</v>
      </c>
      <c r="Y33" s="134">
        <f t="shared" si="11"/>
        <v>5.5746529512922971E-2</v>
      </c>
      <c r="Z33" s="121">
        <v>2272715.84</v>
      </c>
      <c r="AA33" s="134">
        <f t="shared" si="0"/>
        <v>5.3646071993390762E-2</v>
      </c>
      <c r="AB33" s="24"/>
      <c r="BP33" s="471" t="s">
        <v>49</v>
      </c>
      <c r="BQ33" s="473">
        <v>29959.941824999638</v>
      </c>
      <c r="BR33" s="510">
        <v>0.74000986679820357</v>
      </c>
      <c r="BS33" s="473">
        <v>26360.754147089086</v>
      </c>
      <c r="BT33" s="510">
        <v>0.64085631377970742</v>
      </c>
      <c r="BU33" s="473">
        <v>34943.352716413792</v>
      </c>
      <c r="BV33" s="510">
        <v>0.83984960357462057</v>
      </c>
      <c r="BW33" s="473">
        <v>45799.286007733084</v>
      </c>
      <c r="BX33" s="510">
        <v>1.0893296867105988</v>
      </c>
      <c r="CE33" s="1"/>
      <c r="CF33" s="1"/>
      <c r="CG33" s="1"/>
    </row>
    <row r="34" spans="1:88" ht="15" customHeight="1">
      <c r="A34" s="23"/>
      <c r="B34" s="23"/>
      <c r="C34" s="80" t="str">
        <f>IF(MasterSheet!$A$1=1,MasterSheet!C91,MasterSheet!B91)</f>
        <v>Naknade</v>
      </c>
      <c r="D34" s="97">
        <f>SUM(D35:D40)</f>
        <v>17868340.149999995</v>
      </c>
      <c r="E34" s="131">
        <f t="shared" si="1"/>
        <v>0.83151101261110316</v>
      </c>
      <c r="F34" s="97">
        <f>SUM(F35:F40)</f>
        <v>22895117.909999996</v>
      </c>
      <c r="G34" s="131">
        <f t="shared" si="2"/>
        <v>0.85413609065472851</v>
      </c>
      <c r="H34" s="97">
        <f>SUM(H35:H40)</f>
        <v>38239154.099999994</v>
      </c>
      <c r="I34" s="131">
        <f t="shared" si="3"/>
        <v>1.2392777450090742</v>
      </c>
      <c r="J34" s="97">
        <f>SUM(J35:J40)</f>
        <v>28332415.080000002</v>
      </c>
      <c r="K34" s="131">
        <f t="shared" si="4"/>
        <v>0.95043324656155659</v>
      </c>
      <c r="L34" s="97">
        <f>SUM(L35:L40)</f>
        <v>27428633.469999999</v>
      </c>
      <c r="M34" s="131">
        <f t="shared" si="5"/>
        <v>0.87771627103999994</v>
      </c>
      <c r="N34" s="97">
        <f>SUM(N35:N40)</f>
        <v>25699255.23</v>
      </c>
      <c r="O34" s="131">
        <f t="shared" si="6"/>
        <v>0.78711348330781017</v>
      </c>
      <c r="P34" s="97">
        <f>SUM(P35:P40)</f>
        <v>12706115.310000001</v>
      </c>
      <c r="Q34" s="131">
        <f t="shared" si="7"/>
        <v>0.39943776516818619</v>
      </c>
      <c r="R34" s="97">
        <f>SUM(R35:R40)</f>
        <v>13233490.18</v>
      </c>
      <c r="S34" s="131">
        <f t="shared" si="8"/>
        <v>0.39361957703747769</v>
      </c>
      <c r="T34" s="97">
        <f>SUM(T35:T40)</f>
        <v>17342019.190000001</v>
      </c>
      <c r="U34" s="131">
        <f t="shared" si="9"/>
        <v>0.50151881749038429</v>
      </c>
      <c r="V34" s="120">
        <f>SUM(V35:V40)</f>
        <v>29630001.300000001</v>
      </c>
      <c r="W34" s="134">
        <f t="shared" si="10"/>
        <v>0.81067035020519829</v>
      </c>
      <c r="X34" s="120">
        <f>SUM(X35:X40)</f>
        <v>73964486.599999994</v>
      </c>
      <c r="Y34" s="134">
        <f t="shared" si="11"/>
        <v>1.8705297304132311</v>
      </c>
      <c r="Z34" s="120">
        <f>SUM(Z35:Z40)</f>
        <v>18967775.129999999</v>
      </c>
      <c r="AA34" s="134">
        <f t="shared" si="0"/>
        <v>0.44772276950312762</v>
      </c>
      <c r="AB34" s="24"/>
      <c r="BP34" s="471" t="s">
        <v>50</v>
      </c>
      <c r="BQ34" s="473">
        <v>447021.17279998958</v>
      </c>
      <c r="BR34" s="510">
        <v>6.511604279519517</v>
      </c>
      <c r="BS34" s="473">
        <v>446861.49747148901</v>
      </c>
      <c r="BT34" s="510">
        <v>6.4067700233388649</v>
      </c>
      <c r="BU34" s="473">
        <v>466843.79330181051</v>
      </c>
      <c r="BV34" s="510">
        <v>6.6171640322827017</v>
      </c>
      <c r="BW34" s="473">
        <v>490550.3710760111</v>
      </c>
      <c r="BX34" s="510">
        <v>6.8809373228128266</v>
      </c>
      <c r="CE34" s="1"/>
      <c r="CF34" s="1"/>
      <c r="CG34" s="1"/>
    </row>
    <row r="35" spans="1:88" ht="15" customHeight="1">
      <c r="A35" s="23"/>
      <c r="B35" s="23"/>
      <c r="C35" s="81" t="str">
        <f>IF(MasterSheet!$A$1=1,MasterSheet!C92,MasterSheet!B92)</f>
        <v>Naknade za korišćenje dobara od opšteg interesa</v>
      </c>
      <c r="D35" s="99">
        <v>1274186.23</v>
      </c>
      <c r="E35" s="131">
        <f t="shared" si="1"/>
        <v>5.9294812694867145E-2</v>
      </c>
      <c r="F35" s="99">
        <v>2986015.41</v>
      </c>
      <c r="G35" s="131">
        <f t="shared" si="2"/>
        <v>0.11139770229434809</v>
      </c>
      <c r="H35" s="99">
        <v>2856435.93</v>
      </c>
      <c r="I35" s="131">
        <f t="shared" si="3"/>
        <v>9.25731115504278E-2</v>
      </c>
      <c r="J35" s="99">
        <v>2890522.73</v>
      </c>
      <c r="K35" s="131">
        <f t="shared" si="4"/>
        <v>9.696486850050319E-2</v>
      </c>
      <c r="L35" s="99">
        <v>2020524.58</v>
      </c>
      <c r="M35" s="131">
        <f t="shared" si="5"/>
        <v>6.4656786559999999E-2</v>
      </c>
      <c r="N35" s="99">
        <v>1002041.9199999999</v>
      </c>
      <c r="O35" s="131">
        <f t="shared" si="6"/>
        <v>3.0690411026033686E-2</v>
      </c>
      <c r="P35" s="99">
        <v>563371.34</v>
      </c>
      <c r="Q35" s="131">
        <f t="shared" si="7"/>
        <v>1.7710510531279471E-2</v>
      </c>
      <c r="R35" s="99">
        <v>647266.8600000001</v>
      </c>
      <c r="S35" s="131">
        <f t="shared" si="8"/>
        <v>1.9252434860202266E-2</v>
      </c>
      <c r="T35" s="99">
        <v>691442</v>
      </c>
      <c r="U35" s="131">
        <f t="shared" si="9"/>
        <v>1.9996009138494461E-2</v>
      </c>
      <c r="V35" s="121">
        <v>589070.87</v>
      </c>
      <c r="W35" s="134">
        <f t="shared" si="10"/>
        <v>1.6116850068399455E-2</v>
      </c>
      <c r="X35" s="121">
        <v>762242.79999999993</v>
      </c>
      <c r="Y35" s="134">
        <f t="shared" si="11"/>
        <v>1.9276789236760912E-2</v>
      </c>
      <c r="Z35" s="121">
        <v>734541.27</v>
      </c>
      <c r="AA35" s="134">
        <f t="shared" si="0"/>
        <v>1.7338398914198042E-2</v>
      </c>
      <c r="AB35" s="24"/>
      <c r="BP35" s="464" t="s">
        <v>52</v>
      </c>
      <c r="BQ35" s="473">
        <v>431237.58148999512</v>
      </c>
      <c r="BR35" s="510">
        <v>1.3269991106890586</v>
      </c>
      <c r="BS35" s="473">
        <v>405208.9432160221</v>
      </c>
      <c r="BT35" s="510">
        <v>1.2272678123517551</v>
      </c>
      <c r="BU35" s="473">
        <v>476713.57840595394</v>
      </c>
      <c r="BV35" s="510">
        <v>1.4274205910217432</v>
      </c>
      <c r="BW35" s="473">
        <v>566402.99126619846</v>
      </c>
      <c r="BX35" s="510">
        <v>1.6783543381543922</v>
      </c>
      <c r="CE35" s="1"/>
      <c r="CF35" s="1"/>
      <c r="CG35" s="1"/>
    </row>
    <row r="36" spans="1:88" ht="15" customHeight="1">
      <c r="A36" s="23"/>
      <c r="B36" s="23"/>
      <c r="C36" s="81" t="str">
        <f>IF(MasterSheet!$A$1=1,MasterSheet!C93,MasterSheet!B93)</f>
        <v>Naknade za korišćenje prirodnih dobara</v>
      </c>
      <c r="D36" s="99">
        <v>3521417.44</v>
      </c>
      <c r="E36" s="131">
        <f t="shared" si="1"/>
        <v>0.16387069849690539</v>
      </c>
      <c r="F36" s="99">
        <v>3729314.35</v>
      </c>
      <c r="G36" s="131">
        <f t="shared" si="2"/>
        <v>0.13912756388733447</v>
      </c>
      <c r="H36" s="99">
        <v>3925540.16</v>
      </c>
      <c r="I36" s="131">
        <f t="shared" si="3"/>
        <v>0.12722129115893183</v>
      </c>
      <c r="J36" s="99">
        <v>3661578.93</v>
      </c>
      <c r="K36" s="131">
        <f t="shared" si="4"/>
        <v>0.12283055786648776</v>
      </c>
      <c r="L36" s="99">
        <v>3239633.87</v>
      </c>
      <c r="M36" s="131">
        <f t="shared" si="5"/>
        <v>0.10366828384</v>
      </c>
      <c r="N36" s="99">
        <v>3009556.45</v>
      </c>
      <c r="O36" s="131">
        <f t="shared" si="6"/>
        <v>9.2176307810107203E-2</v>
      </c>
      <c r="P36" s="99">
        <v>1376923.26</v>
      </c>
      <c r="Q36" s="131">
        <f t="shared" si="7"/>
        <v>4.3285861678717383E-2</v>
      </c>
      <c r="R36" s="99">
        <v>1995183.6300000001</v>
      </c>
      <c r="S36" s="131">
        <f t="shared" si="8"/>
        <v>5.934514069006544E-2</v>
      </c>
      <c r="T36" s="99">
        <v>2187369.91</v>
      </c>
      <c r="U36" s="131">
        <f t="shared" si="9"/>
        <v>6.3257176610081262E-2</v>
      </c>
      <c r="V36" s="121">
        <v>2017461.7800000003</v>
      </c>
      <c r="W36" s="134">
        <f t="shared" si="10"/>
        <v>5.5197312722298227E-2</v>
      </c>
      <c r="X36" s="121">
        <v>2945277.4899999998</v>
      </c>
      <c r="Y36" s="134">
        <f t="shared" si="11"/>
        <v>7.4484788073440888E-2</v>
      </c>
      <c r="Z36" s="121">
        <v>3441534.35</v>
      </c>
      <c r="AA36" s="134">
        <f t="shared" si="0"/>
        <v>8.1235320429599911E-2</v>
      </c>
      <c r="AB36" s="24"/>
      <c r="BP36" s="471" t="s">
        <v>54</v>
      </c>
      <c r="BQ36" s="473">
        <v>34375.308739999309</v>
      </c>
      <c r="BR36" s="510">
        <v>0.78499591114851341</v>
      </c>
      <c r="BS36" s="473">
        <v>30511.895340198651</v>
      </c>
      <c r="BT36" s="510">
        <v>0.68579808052729163</v>
      </c>
      <c r="BU36" s="473">
        <v>39822.021366080269</v>
      </c>
      <c r="BV36" s="510">
        <v>0.88488023194703658</v>
      </c>
      <c r="BW36" s="473">
        <v>51590.388789257966</v>
      </c>
      <c r="BX36" s="510">
        <v>1.1344717218825622</v>
      </c>
      <c r="CE36" s="1"/>
      <c r="CF36" s="1"/>
      <c r="CG36" s="1"/>
    </row>
    <row r="37" spans="1:88" ht="15" customHeight="1">
      <c r="A37" s="23"/>
      <c r="B37" s="23"/>
      <c r="C37" s="81" t="str">
        <f>IF(MasterSheet!$A$1=1,MasterSheet!C94,MasterSheet!B94)</f>
        <v>Ekološke naknade</v>
      </c>
      <c r="D37" s="99">
        <v>1902110.17</v>
      </c>
      <c r="E37" s="131">
        <f t="shared" si="1"/>
        <v>8.851552747917539E-2</v>
      </c>
      <c r="F37" s="99">
        <v>2195706.9700000002</v>
      </c>
      <c r="G37" s="131">
        <f t="shared" si="2"/>
        <v>8.1914082074239891E-2</v>
      </c>
      <c r="H37" s="99">
        <v>9210786.3699999992</v>
      </c>
      <c r="I37" s="131">
        <f t="shared" si="3"/>
        <v>0.2985087623152709</v>
      </c>
      <c r="J37" s="99">
        <v>9651406.9600000009</v>
      </c>
      <c r="K37" s="131">
        <f t="shared" si="4"/>
        <v>0.32376407111707484</v>
      </c>
      <c r="L37" s="99">
        <v>7609457.3499999996</v>
      </c>
      <c r="M37" s="131">
        <f t="shared" si="5"/>
        <v>0.24350263519999998</v>
      </c>
      <c r="N37" s="99">
        <v>7452842.79</v>
      </c>
      <c r="O37" s="131">
        <f t="shared" si="6"/>
        <v>0.2282647102603369</v>
      </c>
      <c r="P37" s="99">
        <v>654296.18000000005</v>
      </c>
      <c r="Q37" s="131">
        <f t="shared" si="7"/>
        <v>2.0568883370009432E-2</v>
      </c>
      <c r="R37" s="99">
        <v>309851.25</v>
      </c>
      <c r="S37" s="131">
        <f t="shared" si="8"/>
        <v>9.2162775133848903E-3</v>
      </c>
      <c r="T37" s="99">
        <v>166617.24</v>
      </c>
      <c r="U37" s="131">
        <f t="shared" si="9"/>
        <v>4.8184516614129961E-3</v>
      </c>
      <c r="V37" s="121">
        <v>99518.200000000012</v>
      </c>
      <c r="W37" s="134">
        <f t="shared" si="10"/>
        <v>2.7227961696306433E-3</v>
      </c>
      <c r="X37" s="121">
        <v>278274.19</v>
      </c>
      <c r="Y37" s="134">
        <f t="shared" si="11"/>
        <v>7.0374333619948413E-3</v>
      </c>
      <c r="Z37" s="121">
        <v>305010.14</v>
      </c>
      <c r="AA37" s="134">
        <f t="shared" si="0"/>
        <v>7.1995784255871591E-3</v>
      </c>
      <c r="AB37" s="24"/>
      <c r="BP37" s="471" t="s">
        <v>56</v>
      </c>
      <c r="BQ37" s="473">
        <v>106742.58097499795</v>
      </c>
      <c r="BR37" s="510">
        <v>0.74000986679820357</v>
      </c>
      <c r="BS37" s="473">
        <v>93919.23891386576</v>
      </c>
      <c r="BT37" s="510">
        <v>0.64085631377970742</v>
      </c>
      <c r="BU37" s="473">
        <v>124497.69357553683</v>
      </c>
      <c r="BV37" s="510">
        <v>0.83984960357462057</v>
      </c>
      <c r="BW37" s="473">
        <v>163175.68384589441</v>
      </c>
      <c r="BX37" s="510">
        <v>1.0893296867105988</v>
      </c>
      <c r="CE37" s="1"/>
      <c r="CF37" s="1"/>
      <c r="CG37" s="1"/>
      <c r="CH37" s="16"/>
      <c r="CI37" s="16"/>
    </row>
    <row r="38" spans="1:88" ht="15" customHeight="1">
      <c r="A38" s="23"/>
      <c r="B38" s="23"/>
      <c r="C38" s="81" t="str">
        <f>IF(MasterSheet!$A$1=1,MasterSheet!C95,MasterSheet!B95)</f>
        <v>Naknade za priređivanje igara na sreću</v>
      </c>
      <c r="D38" s="99">
        <v>3406245.76</v>
      </c>
      <c r="E38" s="131">
        <f t="shared" si="1"/>
        <v>0.15851113406859324</v>
      </c>
      <c r="F38" s="99">
        <v>4400291.1100000003</v>
      </c>
      <c r="G38" s="131">
        <f t="shared" si="2"/>
        <v>0.16415934004849844</v>
      </c>
      <c r="H38" s="99">
        <v>5175563.96</v>
      </c>
      <c r="I38" s="131">
        <f t="shared" si="3"/>
        <v>0.16773282214156079</v>
      </c>
      <c r="J38" s="99">
        <v>4679989.66</v>
      </c>
      <c r="K38" s="131">
        <f t="shared" si="4"/>
        <v>0.15699395035223079</v>
      </c>
      <c r="L38" s="99">
        <v>6380752.96</v>
      </c>
      <c r="M38" s="131">
        <f t="shared" si="5"/>
        <v>0.20418409471999999</v>
      </c>
      <c r="N38" s="99">
        <v>4180845.3600000003</v>
      </c>
      <c r="O38" s="131">
        <f t="shared" si="6"/>
        <v>0.12805039387442574</v>
      </c>
      <c r="P38" s="99">
        <v>3319092.83</v>
      </c>
      <c r="Q38" s="131">
        <f t="shared" si="7"/>
        <v>0.10434117667400189</v>
      </c>
      <c r="R38" s="99">
        <v>3324177.16</v>
      </c>
      <c r="S38" s="131">
        <f t="shared" si="8"/>
        <v>9.8874989886972048E-2</v>
      </c>
      <c r="T38" s="99">
        <v>4965390.66</v>
      </c>
      <c r="U38" s="131">
        <f t="shared" si="9"/>
        <v>0.14359555394892856</v>
      </c>
      <c r="V38" s="121">
        <v>6224101.3200000003</v>
      </c>
      <c r="W38" s="134">
        <f t="shared" si="10"/>
        <v>0.17029004979480164</v>
      </c>
      <c r="X38" s="121">
        <v>9214185.910000002</v>
      </c>
      <c r="Y38" s="134">
        <f t="shared" si="11"/>
        <v>0.23302275833291189</v>
      </c>
      <c r="Z38" s="121">
        <v>3660622.6700000004</v>
      </c>
      <c r="AA38" s="134">
        <f t="shared" si="0"/>
        <v>8.6406766670600738E-2</v>
      </c>
      <c r="AB38" s="24"/>
      <c r="BP38" s="471" t="s">
        <v>58</v>
      </c>
      <c r="BQ38" s="473">
        <v>35469.797099999152</v>
      </c>
      <c r="BR38" s="510">
        <v>0.74000986679820357</v>
      </c>
      <c r="BS38" s="473">
        <v>31208.692141718231</v>
      </c>
      <c r="BT38" s="510">
        <v>0.640856313779679</v>
      </c>
      <c r="BU38" s="473">
        <v>41369.694176464342</v>
      </c>
      <c r="BV38" s="510">
        <v>0.83984960357459215</v>
      </c>
      <c r="BW38" s="473">
        <v>54222.11403173022</v>
      </c>
      <c r="BX38" s="510">
        <v>1.0893296867105988</v>
      </c>
      <c r="CE38" s="1"/>
      <c r="CF38" s="1"/>
      <c r="CG38" s="1"/>
      <c r="CH38" s="16"/>
      <c r="CI38" s="16"/>
    </row>
    <row r="39" spans="1:88" ht="15" customHeight="1">
      <c r="A39" s="23"/>
      <c r="B39" s="23"/>
      <c r="C39" s="81" t="str">
        <f>IF(MasterSheet!$A$1=1,MasterSheet!C96,MasterSheet!B96)</f>
        <v>Naknada za puteve</v>
      </c>
      <c r="D39" s="99">
        <v>5372953.1699999962</v>
      </c>
      <c r="E39" s="131">
        <f t="shared" si="1"/>
        <v>0.25003272232304885</v>
      </c>
      <c r="F39" s="99">
        <v>6458859.3499999996</v>
      </c>
      <c r="G39" s="131">
        <f t="shared" si="2"/>
        <v>0.24095725983958216</v>
      </c>
      <c r="H39" s="99">
        <v>7089990.1699999999</v>
      </c>
      <c r="I39" s="131">
        <f t="shared" si="3"/>
        <v>0.2297767102022297</v>
      </c>
      <c r="J39" s="99">
        <v>4037944.42</v>
      </c>
      <c r="K39" s="131">
        <f t="shared" si="4"/>
        <v>0.13545603555853739</v>
      </c>
      <c r="L39" s="99">
        <v>3597161.86</v>
      </c>
      <c r="M39" s="131">
        <f t="shared" si="5"/>
        <v>0.11510917951999999</v>
      </c>
      <c r="N39" s="99">
        <v>4863937.55</v>
      </c>
      <c r="O39" s="131">
        <f t="shared" si="6"/>
        <v>0.14897205359877486</v>
      </c>
      <c r="P39" s="99">
        <v>3327409.68</v>
      </c>
      <c r="Q39" s="131">
        <f t="shared" si="7"/>
        <v>0.10460263061930211</v>
      </c>
      <c r="R39" s="99">
        <v>3659024.1899999995</v>
      </c>
      <c r="S39" s="131">
        <f t="shared" si="8"/>
        <v>0.10883474687685901</v>
      </c>
      <c r="T39" s="99">
        <v>3154323.14</v>
      </c>
      <c r="U39" s="131">
        <f t="shared" si="9"/>
        <v>9.1220773880100636E-2</v>
      </c>
      <c r="V39" s="121">
        <v>15360647.609999999</v>
      </c>
      <c r="W39" s="134">
        <f t="shared" si="10"/>
        <v>0.42026395649794801</v>
      </c>
      <c r="X39" s="121">
        <v>3994658.91</v>
      </c>
      <c r="Y39" s="134">
        <f t="shared" si="11"/>
        <v>0.10102318825552577</v>
      </c>
      <c r="Z39" s="121">
        <v>3775970.5800000005</v>
      </c>
      <c r="AA39" s="134">
        <f t="shared" si="0"/>
        <v>8.9129483771981599E-2</v>
      </c>
      <c r="AB39" s="24"/>
      <c r="BP39" s="471" t="s">
        <v>52</v>
      </c>
      <c r="BQ39" s="473">
        <v>254649.89467499778</v>
      </c>
      <c r="BR39" s="510">
        <v>2.8610655910713376</v>
      </c>
      <c r="BS39" s="473">
        <v>249569.11682023667</v>
      </c>
      <c r="BT39" s="510">
        <v>2.7598243847808845</v>
      </c>
      <c r="BU39" s="473">
        <v>271024.16928787716</v>
      </c>
      <c r="BV39" s="510">
        <v>2.9630074285471579</v>
      </c>
      <c r="BW39" s="473">
        <v>297414.80459931679</v>
      </c>
      <c r="BX39" s="510">
        <v>3.2177402524673653</v>
      </c>
      <c r="CE39" s="1"/>
      <c r="CF39" s="1"/>
      <c r="CG39" s="1"/>
      <c r="CH39" s="16"/>
      <c r="CI39" s="16"/>
    </row>
    <row r="40" spans="1:88" ht="15" customHeight="1">
      <c r="A40" s="23"/>
      <c r="B40" s="23"/>
      <c r="C40" s="81" t="str">
        <f>IF(MasterSheet!$A$1=1,MasterSheet!C97,MasterSheet!B97)</f>
        <v>Ostale naknade</v>
      </c>
      <c r="D40" s="99">
        <v>2391427.38</v>
      </c>
      <c r="E40" s="131">
        <f t="shared" si="1"/>
        <v>0.11128611754851318</v>
      </c>
      <c r="F40" s="99">
        <v>3124930.72</v>
      </c>
      <c r="G40" s="131">
        <f t="shared" si="2"/>
        <v>0.11658014251072563</v>
      </c>
      <c r="H40" s="99">
        <v>9980837.5099999998</v>
      </c>
      <c r="I40" s="131">
        <f t="shared" si="3"/>
        <v>0.32346504764065337</v>
      </c>
      <c r="J40" s="99">
        <v>3410972.38</v>
      </c>
      <c r="K40" s="131">
        <f t="shared" si="4"/>
        <v>0.11442376316672256</v>
      </c>
      <c r="L40" s="99">
        <v>4581102.8499999996</v>
      </c>
      <c r="M40" s="131">
        <f t="shared" si="5"/>
        <v>0.14659529119999998</v>
      </c>
      <c r="N40" s="99">
        <v>5190031.1599999992</v>
      </c>
      <c r="O40" s="131">
        <f t="shared" si="6"/>
        <v>0.1589596067381317</v>
      </c>
      <c r="P40" s="99">
        <v>3465022.02</v>
      </c>
      <c r="Q40" s="131">
        <f t="shared" si="7"/>
        <v>0.10892870229487583</v>
      </c>
      <c r="R40" s="99">
        <v>3297987.09</v>
      </c>
      <c r="S40" s="131">
        <f t="shared" si="8"/>
        <v>9.8095987209994046E-2</v>
      </c>
      <c r="T40" s="99">
        <v>6176876.2400000002</v>
      </c>
      <c r="U40" s="131">
        <f t="shared" si="9"/>
        <v>0.17863085225136643</v>
      </c>
      <c r="V40" s="121">
        <v>5339201.5199999996</v>
      </c>
      <c r="W40" s="134">
        <f t="shared" si="10"/>
        <v>0.14607938495212039</v>
      </c>
      <c r="X40" s="121">
        <v>56769847.299999997</v>
      </c>
      <c r="Y40" s="134">
        <f t="shared" si="11"/>
        <v>1.4356847731525972</v>
      </c>
      <c r="Z40" s="121">
        <v>7050096.1200000001</v>
      </c>
      <c r="AA40" s="134">
        <f t="shared" si="0"/>
        <v>0.16641322129116015</v>
      </c>
      <c r="AB40" s="24"/>
      <c r="BP40" s="475" t="s">
        <v>398</v>
      </c>
      <c r="BQ40" s="473">
        <v>419769.49906499963</v>
      </c>
      <c r="BR40" s="510">
        <v>9.6704004671950941</v>
      </c>
      <c r="BS40" s="473">
        <v>421725.27510092966</v>
      </c>
      <c r="BT40" s="510">
        <v>9.5624571596486589</v>
      </c>
      <c r="BU40" s="473">
        <v>436239.0037412839</v>
      </c>
      <c r="BV40" s="510">
        <v>9.7790907872505244</v>
      </c>
      <c r="BW40" s="473">
        <v>453062.45136104058</v>
      </c>
      <c r="BX40" s="510">
        <v>10.050686756541111</v>
      </c>
      <c r="CE40" s="16"/>
      <c r="CF40" s="16"/>
      <c r="CG40" s="16"/>
      <c r="CH40" s="16"/>
      <c r="CI40" s="16"/>
    </row>
    <row r="41" spans="1:88" ht="15" customHeight="1" thickBot="1">
      <c r="A41" s="23"/>
      <c r="B41" s="23"/>
      <c r="C41" s="80" t="str">
        <f>IF(MasterSheet!$A$1=1,MasterSheet!C98,MasterSheet!B98)</f>
        <v>Ostali prihodi</v>
      </c>
      <c r="D41" s="97">
        <f>SUM(D42:D45)</f>
        <v>60725640.779999994</v>
      </c>
      <c r="E41" s="131">
        <f t="shared" si="1"/>
        <v>2.8258942147145047</v>
      </c>
      <c r="F41" s="97">
        <f>SUM(F42:F45)</f>
        <v>58512071.479999997</v>
      </c>
      <c r="G41" s="131">
        <f t="shared" si="2"/>
        <v>2.1828789957097556</v>
      </c>
      <c r="H41" s="97">
        <f>SUM(H42:H45)</f>
        <v>45480397.879999995</v>
      </c>
      <c r="I41" s="131">
        <f t="shared" si="3"/>
        <v>1.4739563741249675</v>
      </c>
      <c r="J41" s="97">
        <f>SUM(J42:J45)</f>
        <v>43622195.68</v>
      </c>
      <c r="K41" s="131">
        <f t="shared" si="4"/>
        <v>1.4633410157665214</v>
      </c>
      <c r="L41" s="97">
        <f>SUM(L42:L45)</f>
        <v>31858288.899999999</v>
      </c>
      <c r="M41" s="131">
        <f t="shared" si="5"/>
        <v>1.0194652448000001</v>
      </c>
      <c r="N41" s="97">
        <f>SUM(N42:N45)</f>
        <v>24777629.66</v>
      </c>
      <c r="O41" s="131">
        <f t="shared" si="6"/>
        <v>0.75888605390505359</v>
      </c>
      <c r="P41" s="97">
        <f>SUM(P42:P45)</f>
        <v>35120651.189999998</v>
      </c>
      <c r="Q41" s="131">
        <f t="shared" si="7"/>
        <v>1.1040757997485067</v>
      </c>
      <c r="R41" s="97">
        <f>SUM(R42:R45)</f>
        <v>33675934.090000004</v>
      </c>
      <c r="S41" s="131">
        <f t="shared" si="8"/>
        <v>1.0016637147531231</v>
      </c>
      <c r="T41" s="97">
        <f>SUM(T42:T45)</f>
        <v>29705548.170000002</v>
      </c>
      <c r="U41" s="131">
        <f t="shared" si="9"/>
        <v>0.85906325139535555</v>
      </c>
      <c r="V41" s="120">
        <f>SUM(V42:V45)</f>
        <v>26566961.210000001</v>
      </c>
      <c r="W41" s="134">
        <f t="shared" si="10"/>
        <v>0.72686624377564979</v>
      </c>
      <c r="X41" s="120">
        <f>SUM(X42:X45)</f>
        <v>34446855.609999999</v>
      </c>
      <c r="Y41" s="134">
        <f t="shared" si="11"/>
        <v>0.87114601208841225</v>
      </c>
      <c r="Z41" s="120">
        <f>SUM(Z42:Z45)</f>
        <v>35723009.25</v>
      </c>
      <c r="AA41" s="134">
        <f t="shared" si="0"/>
        <v>0.84321985719343806</v>
      </c>
      <c r="AB41" s="24"/>
      <c r="BP41" s="464" t="s">
        <v>122</v>
      </c>
      <c r="BQ41" s="473">
        <v>0</v>
      </c>
      <c r="BR41" s="510">
        <v>0</v>
      </c>
      <c r="BS41" s="473">
        <v>0</v>
      </c>
      <c r="BT41" s="510">
        <v>0</v>
      </c>
      <c r="BU41" s="473">
        <v>0</v>
      </c>
      <c r="BV41" s="510">
        <v>0</v>
      </c>
      <c r="BW41" s="473">
        <v>0</v>
      </c>
      <c r="BX41" s="510">
        <v>0</v>
      </c>
      <c r="CE41" s="16"/>
      <c r="CF41" s="16"/>
      <c r="CG41" s="16"/>
      <c r="CH41" s="16"/>
      <c r="CI41" s="16"/>
    </row>
    <row r="42" spans="1:88" ht="15" customHeight="1" thickTop="1" thickBot="1">
      <c r="A42" s="23"/>
      <c r="B42" s="23"/>
      <c r="C42" s="81" t="str">
        <f>IF(MasterSheet!$A$1=1,MasterSheet!C99,MasterSheet!B99)</f>
        <v>Prihodi od kapitala</v>
      </c>
      <c r="D42" s="99">
        <v>8168377.7700000005</v>
      </c>
      <c r="E42" s="131">
        <f t="shared" si="1"/>
        <v>0.38011902694401789</v>
      </c>
      <c r="F42" s="99">
        <v>18699178.469999999</v>
      </c>
      <c r="G42" s="131">
        <f t="shared" si="2"/>
        <v>0.69760039059876877</v>
      </c>
      <c r="H42" s="99">
        <v>13798997.720000001</v>
      </c>
      <c r="I42" s="131">
        <f t="shared" si="3"/>
        <v>0.44720630412237494</v>
      </c>
      <c r="J42" s="99">
        <v>14050397.890000001</v>
      </c>
      <c r="K42" s="131">
        <f t="shared" si="4"/>
        <v>0.47133169708151629</v>
      </c>
      <c r="L42" s="99">
        <v>7714681.46</v>
      </c>
      <c r="M42" s="131">
        <f t="shared" si="5"/>
        <v>0.24686980672</v>
      </c>
      <c r="N42" s="99">
        <v>5467464.75</v>
      </c>
      <c r="O42" s="131">
        <f t="shared" si="6"/>
        <v>0.16745680704441041</v>
      </c>
      <c r="P42" s="99">
        <v>12780311.91</v>
      </c>
      <c r="Q42" s="131">
        <f t="shared" si="7"/>
        <v>0.40177025809493871</v>
      </c>
      <c r="R42" s="99">
        <v>6152889.7300000004</v>
      </c>
      <c r="S42" s="131">
        <f t="shared" si="8"/>
        <v>0.18301278197501489</v>
      </c>
      <c r="T42" s="99">
        <v>2751166.12</v>
      </c>
      <c r="U42" s="131">
        <f t="shared" si="9"/>
        <v>7.9561760606148252E-2</v>
      </c>
      <c r="V42" s="121">
        <v>1885665.4</v>
      </c>
      <c r="W42" s="134">
        <f t="shared" si="10"/>
        <v>5.159139261285909E-2</v>
      </c>
      <c r="X42" s="121">
        <v>4322642.84</v>
      </c>
      <c r="Y42" s="134">
        <f t="shared" si="11"/>
        <v>0.10931775934449445</v>
      </c>
      <c r="Z42" s="121">
        <v>6376910.9300000006</v>
      </c>
      <c r="AA42" s="134">
        <f t="shared" si="0"/>
        <v>0.15052309524371535</v>
      </c>
      <c r="AB42" s="24"/>
      <c r="BP42" s="458" t="s">
        <v>61</v>
      </c>
      <c r="BQ42" s="473">
        <v>0</v>
      </c>
      <c r="BR42" s="510">
        <v>0</v>
      </c>
      <c r="BS42" s="473">
        <v>0</v>
      </c>
      <c r="BT42" s="510">
        <v>0</v>
      </c>
      <c r="BU42" s="473">
        <v>0</v>
      </c>
      <c r="BV42" s="510">
        <v>0</v>
      </c>
      <c r="BW42" s="473">
        <v>0</v>
      </c>
      <c r="BX42" s="510">
        <v>0</v>
      </c>
      <c r="CE42" s="12"/>
      <c r="CF42" s="12"/>
      <c r="CG42" s="12"/>
      <c r="CH42" s="12"/>
      <c r="CI42" s="12"/>
      <c r="CJ42" s="2"/>
    </row>
    <row r="43" spans="1:88" ht="15" customHeight="1" thickTop="1" thickBot="1">
      <c r="A43" s="23"/>
      <c r="B43" s="23"/>
      <c r="C43" s="81" t="str">
        <f>IF(MasterSheet!$A$1=1,MasterSheet!C100,MasterSheet!B100)</f>
        <v>Novčane kazne i oduzete imovinske koristi</v>
      </c>
      <c r="D43" s="99">
        <v>7615600.2199999951</v>
      </c>
      <c r="E43" s="131">
        <f t="shared" si="1"/>
        <v>0.35439528223742356</v>
      </c>
      <c r="F43" s="99">
        <v>10141066.57</v>
      </c>
      <c r="G43" s="131">
        <f t="shared" si="2"/>
        <v>0.37832742286886772</v>
      </c>
      <c r="H43" s="99">
        <v>9427789.2100000009</v>
      </c>
      <c r="I43" s="131">
        <f t="shared" si="3"/>
        <v>0.30554152223230496</v>
      </c>
      <c r="J43" s="99">
        <v>8057798.4800000004</v>
      </c>
      <c r="K43" s="131">
        <f t="shared" si="4"/>
        <v>0.27030521569942972</v>
      </c>
      <c r="L43" s="99">
        <v>7698309.5599999996</v>
      </c>
      <c r="M43" s="131">
        <f t="shared" si="5"/>
        <v>0.24634590591999997</v>
      </c>
      <c r="N43" s="99">
        <v>7094815.5099999998</v>
      </c>
      <c r="O43" s="131">
        <f t="shared" si="6"/>
        <v>0.21729909678407353</v>
      </c>
      <c r="P43" s="99">
        <v>8748262.1099999994</v>
      </c>
      <c r="Q43" s="131">
        <f t="shared" si="7"/>
        <v>0.27501609902546365</v>
      </c>
      <c r="R43" s="99">
        <v>12316700.43</v>
      </c>
      <c r="S43" s="131">
        <f t="shared" si="8"/>
        <v>0.36635039946460435</v>
      </c>
      <c r="T43" s="99">
        <v>14149381.440000001</v>
      </c>
      <c r="U43" s="131">
        <f t="shared" si="9"/>
        <v>0.40919001243529313</v>
      </c>
      <c r="V43" s="121">
        <v>12627752.640000001</v>
      </c>
      <c r="W43" s="134">
        <f t="shared" si="10"/>
        <v>0.34549254829001369</v>
      </c>
      <c r="X43" s="121">
        <v>14232344.130000001</v>
      </c>
      <c r="Y43" s="134">
        <f t="shared" si="11"/>
        <v>0.35992979945374542</v>
      </c>
      <c r="Z43" s="121">
        <v>13253454.75</v>
      </c>
      <c r="AA43" s="134">
        <f t="shared" si="0"/>
        <v>0.31283972028797358</v>
      </c>
      <c r="AB43" s="24"/>
      <c r="BP43" s="458" t="s">
        <v>125</v>
      </c>
      <c r="BQ43" s="473">
        <v>0</v>
      </c>
      <c r="BR43" s="510">
        <v>0</v>
      </c>
      <c r="BS43" s="473">
        <v>0</v>
      </c>
      <c r="BT43" s="510">
        <v>0</v>
      </c>
      <c r="BU43" s="473">
        <v>0</v>
      </c>
      <c r="BV43" s="510">
        <v>0</v>
      </c>
      <c r="BW43" s="473">
        <v>0</v>
      </c>
      <c r="BX43" s="510">
        <v>0</v>
      </c>
      <c r="CE43" s="12"/>
      <c r="CF43" s="12"/>
      <c r="CG43" s="3"/>
      <c r="CH43" s="3"/>
      <c r="CI43" s="9"/>
      <c r="CJ43" s="2"/>
    </row>
    <row r="44" spans="1:88" ht="15" customHeight="1" thickTop="1">
      <c r="A44" s="23"/>
      <c r="B44" s="23"/>
      <c r="C44" s="81" t="str">
        <f>IF(MasterSheet!$A$1=1,MasterSheet!C101,MasterSheet!B101)</f>
        <v>Prihodi koje organi ostvaruju vršenjem svoje djelatnosti</v>
      </c>
      <c r="D44" s="99">
        <v>28553597.170000002</v>
      </c>
      <c r="E44" s="131">
        <f t="shared" si="1"/>
        <v>1.3287541146633162</v>
      </c>
      <c r="F44" s="99">
        <v>18195249.18</v>
      </c>
      <c r="G44" s="131">
        <f t="shared" si="2"/>
        <v>0.67880056631225516</v>
      </c>
      <c r="H44" s="99">
        <v>5377701.7699999996</v>
      </c>
      <c r="I44" s="131">
        <f t="shared" si="3"/>
        <v>0.17428382713248636</v>
      </c>
      <c r="J44" s="99">
        <v>2358239.02</v>
      </c>
      <c r="K44" s="131">
        <f t="shared" si="4"/>
        <v>7.9108990942636709E-2</v>
      </c>
      <c r="L44" s="99">
        <v>2576571.9700000002</v>
      </c>
      <c r="M44" s="131">
        <f t="shared" si="5"/>
        <v>8.2450303040000006E-2</v>
      </c>
      <c r="N44" s="99">
        <v>2308669.88</v>
      </c>
      <c r="O44" s="131">
        <f t="shared" si="6"/>
        <v>7.0709644104134758E-2</v>
      </c>
      <c r="P44" s="99">
        <v>2007154.91</v>
      </c>
      <c r="Q44" s="131">
        <f t="shared" si="7"/>
        <v>6.3098236718013193E-2</v>
      </c>
      <c r="R44" s="99">
        <v>2179410.2600000002</v>
      </c>
      <c r="S44" s="131">
        <f t="shared" si="8"/>
        <v>6.4824814396192754E-2</v>
      </c>
      <c r="T44" s="99">
        <v>2329494.69</v>
      </c>
      <c r="U44" s="131">
        <f t="shared" si="9"/>
        <v>6.7367323809248383E-2</v>
      </c>
      <c r="V44" s="121">
        <v>2068334.6199999999</v>
      </c>
      <c r="W44" s="134">
        <f t="shared" si="10"/>
        <v>5.6589182489740084E-2</v>
      </c>
      <c r="X44" s="121">
        <v>4729306.28</v>
      </c>
      <c r="Y44" s="134">
        <f t="shared" si="11"/>
        <v>0.11960210105710384</v>
      </c>
      <c r="Z44" s="121">
        <v>2193904.2799999998</v>
      </c>
      <c r="AA44" s="134">
        <f t="shared" si="0"/>
        <v>5.1785773161808095E-2</v>
      </c>
      <c r="AB44" s="24"/>
      <c r="BP44" s="464" t="s">
        <v>62</v>
      </c>
      <c r="BQ44" s="473">
        <v>0</v>
      </c>
      <c r="BR44" s="510">
        <v>0</v>
      </c>
      <c r="BS44" s="473">
        <v>0</v>
      </c>
      <c r="BT44" s="510">
        <v>0</v>
      </c>
      <c r="BU44" s="473">
        <v>0</v>
      </c>
      <c r="BV44" s="510">
        <v>0</v>
      </c>
      <c r="BW44" s="473">
        <v>0</v>
      </c>
      <c r="BX44" s="510">
        <v>0</v>
      </c>
      <c r="CE44" s="4"/>
      <c r="CF44" s="4"/>
      <c r="CG44" s="5"/>
      <c r="CH44" s="5"/>
      <c r="CI44" s="5"/>
      <c r="CJ44" s="2"/>
    </row>
    <row r="45" spans="1:88" ht="15" customHeight="1">
      <c r="A45" s="23"/>
      <c r="B45" s="23"/>
      <c r="C45" s="81" t="str">
        <f>IF(MasterSheet!$A$1=1,MasterSheet!C102,MasterSheet!B102)</f>
        <v>Ostali prihodi</v>
      </c>
      <c r="D45" s="99">
        <v>16388065.619999999</v>
      </c>
      <c r="E45" s="131">
        <f t="shared" si="1"/>
        <v>0.76262579086974736</v>
      </c>
      <c r="F45" s="99">
        <v>11476577.26</v>
      </c>
      <c r="G45" s="131">
        <f t="shared" si="2"/>
        <v>0.42815061592986386</v>
      </c>
      <c r="H45" s="99">
        <v>16875909.18</v>
      </c>
      <c r="I45" s="131">
        <f t="shared" si="3"/>
        <v>0.5469247206378014</v>
      </c>
      <c r="J45" s="99">
        <v>19155760.289999999</v>
      </c>
      <c r="K45" s="131">
        <f t="shared" si="4"/>
        <v>0.64259511204293862</v>
      </c>
      <c r="L45" s="99">
        <v>13868725.91</v>
      </c>
      <c r="M45" s="131">
        <f t="shared" si="5"/>
        <v>0.44379922911999997</v>
      </c>
      <c r="N45" s="99">
        <v>9906679.5199999996</v>
      </c>
      <c r="O45" s="131">
        <f t="shared" si="6"/>
        <v>0.30342050597243492</v>
      </c>
      <c r="P45" s="99">
        <v>11584922.26</v>
      </c>
      <c r="Q45" s="131">
        <f t="shared" si="7"/>
        <v>0.36419120591009113</v>
      </c>
      <c r="R45" s="99">
        <v>13026933.670000002</v>
      </c>
      <c r="S45" s="131">
        <f t="shared" si="8"/>
        <v>0.38747571891731114</v>
      </c>
      <c r="T45" s="99">
        <v>10475505.92</v>
      </c>
      <c r="U45" s="131">
        <f t="shared" si="9"/>
        <v>0.30294415454466583</v>
      </c>
      <c r="V45" s="121">
        <v>9985208.5499999989</v>
      </c>
      <c r="W45" s="134">
        <f t="shared" si="10"/>
        <v>0.27319312038303689</v>
      </c>
      <c r="X45" s="121">
        <v>11162562.359999999</v>
      </c>
      <c r="Y45" s="134">
        <f t="shared" si="11"/>
        <v>0.28229635223306859</v>
      </c>
      <c r="Z45" s="121">
        <v>13898739.289999999</v>
      </c>
      <c r="AA45" s="134">
        <f t="shared" si="0"/>
        <v>0.32807126849994095</v>
      </c>
      <c r="AB45" s="24"/>
      <c r="BP45" s="464" t="s">
        <v>63</v>
      </c>
      <c r="BQ45" s="473">
        <v>0</v>
      </c>
      <c r="BR45" s="510">
        <v>0</v>
      </c>
      <c r="BS45" s="473">
        <v>0</v>
      </c>
      <c r="BT45" s="510">
        <v>0</v>
      </c>
      <c r="BU45" s="473">
        <v>0</v>
      </c>
      <c r="BV45" s="510">
        <v>0</v>
      </c>
      <c r="BW45" s="473">
        <v>0</v>
      </c>
      <c r="BX45" s="510">
        <v>0</v>
      </c>
      <c r="CD45" s="19"/>
      <c r="CE45" s="19"/>
      <c r="CF45" s="6"/>
      <c r="CG45" s="5"/>
      <c r="CH45" s="5"/>
      <c r="CI45" s="5"/>
      <c r="CJ45" s="2"/>
    </row>
    <row r="46" spans="1:88">
      <c r="A46" s="23"/>
      <c r="B46" s="23"/>
      <c r="C46" s="82" t="str">
        <f>IF(MasterSheet!$A$1=1,MasterSheet!C103,MasterSheet!B103)</f>
        <v>Primici od otplate kredita</v>
      </c>
      <c r="D46" s="97">
        <v>12337841.16</v>
      </c>
      <c r="E46" s="131">
        <f t="shared" si="1"/>
        <v>0.57414682674856898</v>
      </c>
      <c r="F46" s="97">
        <v>10241165.600000001</v>
      </c>
      <c r="G46" s="131">
        <f t="shared" si="2"/>
        <v>0.38206176459615748</v>
      </c>
      <c r="H46" s="97">
        <v>8998827.7799999993</v>
      </c>
      <c r="I46" s="131">
        <f t="shared" si="3"/>
        <v>0.29163947951775987</v>
      </c>
      <c r="J46" s="97">
        <v>54812548</v>
      </c>
      <c r="K46" s="131">
        <f t="shared" si="4"/>
        <v>1.8387302247567929</v>
      </c>
      <c r="L46" s="97">
        <v>4969313.91</v>
      </c>
      <c r="M46" s="131">
        <f t="shared" si="5"/>
        <v>0.15901804512000001</v>
      </c>
      <c r="N46" s="97">
        <v>5006443.9800000004</v>
      </c>
      <c r="O46" s="131">
        <f t="shared" si="6"/>
        <v>0.15333672220520675</v>
      </c>
      <c r="P46" s="97">
        <v>5498802.5</v>
      </c>
      <c r="Q46" s="131">
        <f t="shared" si="7"/>
        <v>0.17286395787488212</v>
      </c>
      <c r="R46" s="97">
        <v>8633294.2100000009</v>
      </c>
      <c r="S46" s="131">
        <f t="shared" si="8"/>
        <v>0.25679042861392032</v>
      </c>
      <c r="T46" s="97">
        <v>8522051.1899999995</v>
      </c>
      <c r="U46" s="131">
        <f t="shared" si="9"/>
        <v>0.24645163798837441</v>
      </c>
      <c r="V46" s="120">
        <v>7929787.8700000001</v>
      </c>
      <c r="W46" s="134">
        <f t="shared" si="10"/>
        <v>0.21695726046511626</v>
      </c>
      <c r="X46" s="120">
        <v>4662620.91</v>
      </c>
      <c r="Y46" s="134">
        <f t="shared" si="11"/>
        <v>0.11791565702291235</v>
      </c>
      <c r="Z46" s="121">
        <v>6580211.8799999999</v>
      </c>
      <c r="AA46" s="134">
        <f t="shared" si="0"/>
        <v>0.15532189023958456</v>
      </c>
      <c r="AB46" s="24"/>
      <c r="BP46" s="471" t="s">
        <v>65</v>
      </c>
      <c r="BQ46" s="473">
        <v>0</v>
      </c>
      <c r="BR46" s="510" t="e">
        <v>#DIV/0!</v>
      </c>
      <c r="BS46" s="473">
        <v>0</v>
      </c>
      <c r="BT46" s="510" t="e">
        <v>#DIV/0!</v>
      </c>
      <c r="BU46" s="473">
        <v>0</v>
      </c>
      <c r="BV46" s="510" t="e">
        <v>#DIV/0!</v>
      </c>
      <c r="BW46" s="473">
        <v>0</v>
      </c>
      <c r="BX46" s="510" t="e">
        <v>#DIV/0!</v>
      </c>
      <c r="CD46" s="19"/>
      <c r="CE46" s="19"/>
      <c r="CF46" s="6"/>
      <c r="CG46" s="5"/>
      <c r="CH46" s="5"/>
      <c r="CI46" s="5"/>
      <c r="CJ46" s="2"/>
    </row>
    <row r="47" spans="1:88" s="23" customFormat="1" ht="15" customHeight="1" thickBot="1">
      <c r="C47" s="80" t="str">
        <f>IF(MasterSheet!$A$1=1,MasterSheet!C149,MasterSheet!B149)</f>
        <v>Donacije</v>
      </c>
      <c r="D47" s="97">
        <v>189875.77</v>
      </c>
      <c r="E47" s="132">
        <f t="shared" si="1"/>
        <v>8.8359518823584154E-3</v>
      </c>
      <c r="F47" s="97">
        <v>86112.85</v>
      </c>
      <c r="G47" s="132">
        <f t="shared" si="2"/>
        <v>3.2125666853199033E-3</v>
      </c>
      <c r="H47" s="97">
        <v>2235692.06</v>
      </c>
      <c r="I47" s="132">
        <f t="shared" si="3"/>
        <v>7.2455666969147001E-2</v>
      </c>
      <c r="J47" s="97">
        <v>6019555.9299999997</v>
      </c>
      <c r="K47" s="132">
        <f t="shared" si="4"/>
        <v>0.20193075914122777</v>
      </c>
      <c r="L47" s="97">
        <v>2781827</v>
      </c>
      <c r="M47" s="132">
        <f t="shared" si="5"/>
        <v>8.9018463999999992E-2</v>
      </c>
      <c r="N47" s="97">
        <v>4014349.98</v>
      </c>
      <c r="O47" s="132">
        <f t="shared" si="6"/>
        <v>0.12295099479326187</v>
      </c>
      <c r="P47" s="97">
        <v>5036438.91</v>
      </c>
      <c r="Q47" s="132">
        <f t="shared" si="7"/>
        <v>0.15832879314680917</v>
      </c>
      <c r="R47" s="97">
        <v>6614829.6400000006</v>
      </c>
      <c r="S47" s="132">
        <f t="shared" si="8"/>
        <v>0.19675281499107675</v>
      </c>
      <c r="T47" s="97">
        <v>5554927.7199999997</v>
      </c>
      <c r="U47" s="132">
        <f t="shared" si="9"/>
        <v>0.1606445449550305</v>
      </c>
      <c r="V47" s="120">
        <v>6598063.9000000004</v>
      </c>
      <c r="W47" s="135">
        <f t="shared" si="10"/>
        <v>0.18052158413132696</v>
      </c>
      <c r="X47" s="120">
        <v>11579771.220000001</v>
      </c>
      <c r="Y47" s="135">
        <f t="shared" si="11"/>
        <v>0.29284738303575947</v>
      </c>
      <c r="Z47" s="121">
        <v>25277778.780000001</v>
      </c>
      <c r="AA47" s="135">
        <f t="shared" ref="AA47:AA78" si="12">Z47/Z$11*100</f>
        <v>0.59666655918800893</v>
      </c>
      <c r="AB47" s="24"/>
      <c r="BP47" s="471" t="s">
        <v>67</v>
      </c>
      <c r="BQ47" s="473">
        <v>0</v>
      </c>
      <c r="BR47" s="510" t="e">
        <v>#DIV/0!</v>
      </c>
      <c r="BS47" s="473">
        <v>0</v>
      </c>
      <c r="BT47" s="510" t="e">
        <v>#DIV/0!</v>
      </c>
      <c r="BU47" s="473">
        <v>0</v>
      </c>
      <c r="BV47" s="510" t="e">
        <v>#DIV/0!</v>
      </c>
      <c r="BW47" s="473">
        <v>0</v>
      </c>
      <c r="BX47" s="510" t="e">
        <v>#DIV/0!</v>
      </c>
    </row>
    <row r="48" spans="1:88" ht="15" customHeight="1" thickTop="1" thickBot="1">
      <c r="A48" s="23"/>
      <c r="B48" s="23"/>
      <c r="C48" s="79" t="str">
        <f>IF(MasterSheet!$A$1=1,MasterSheet!C104,MasterSheet!B104)</f>
        <v>Izdaci</v>
      </c>
      <c r="D48" s="94">
        <f>D50+D65+D71+D78+D79+D80+D81+D82</f>
        <v>788059673.71999991</v>
      </c>
      <c r="E48" s="95">
        <f t="shared" si="1"/>
        <v>36.67270108985992</v>
      </c>
      <c r="F48" s="94">
        <f>F50+F65+F71+F78+F79+F80+F81</f>
        <v>951337553.28000009</v>
      </c>
      <c r="G48" s="96">
        <f t="shared" si="2"/>
        <v>35.491048434247347</v>
      </c>
      <c r="H48" s="94">
        <f>H50+H64+H65+H71+H78+H79+H80+H81+H82</f>
        <v>1272080504.76</v>
      </c>
      <c r="I48" s="95">
        <f t="shared" si="3"/>
        <v>41.226358074928697</v>
      </c>
      <c r="J48" s="94">
        <f>J50+J64+J65+J71+J78+J79+J80+J81+J82</f>
        <v>1301362942.0244999</v>
      </c>
      <c r="K48" s="96">
        <f t="shared" si="4"/>
        <v>43.655247971301577</v>
      </c>
      <c r="L48" s="94">
        <f>L50+L64+L65+L71+L78+L79+L80+L81+L82</f>
        <v>1252601635.5500002</v>
      </c>
      <c r="M48" s="95">
        <f t="shared" si="5"/>
        <v>40.083252337600008</v>
      </c>
      <c r="N48" s="94">
        <f>N50+N64+N65+N71+N78+N79+N80+N81+N82</f>
        <v>1318816400.96</v>
      </c>
      <c r="O48" s="95">
        <f t="shared" si="6"/>
        <v>40.392539079938743</v>
      </c>
      <c r="P48" s="94">
        <f>P50+P64+P65+P71+P78+P79+P80+P81+P82</f>
        <v>1316574561.6500001</v>
      </c>
      <c r="Q48" s="95">
        <f t="shared" si="7"/>
        <v>41.388700460547</v>
      </c>
      <c r="R48" s="94">
        <f>R50+R64+R65+R71+R78+R79+R80+R81+R82</f>
        <v>1444790063.1899998</v>
      </c>
      <c r="S48" s="95">
        <f t="shared" si="8"/>
        <v>42.974124425639495</v>
      </c>
      <c r="T48" s="94">
        <f>T50+T64+T65+T71+T78+T79+T80+T81+T82</f>
        <v>1456693340.7400002</v>
      </c>
      <c r="U48" s="95">
        <f t="shared" si="9"/>
        <v>42.126531731397677</v>
      </c>
      <c r="V48" s="94">
        <f>V50+V64+V65+V71+V78+V79+V80+V81+V82</f>
        <v>1617955701.3999999</v>
      </c>
      <c r="W48" s="128">
        <f t="shared" si="10"/>
        <v>44.266913854993156</v>
      </c>
      <c r="X48" s="94">
        <f>X50+X65+X71+SUM(X78:X82)</f>
        <v>1622008657.8199999</v>
      </c>
      <c r="Y48" s="128">
        <f>X48/X$11*100</f>
        <v>41.019894234484852</v>
      </c>
      <c r="Z48" s="94">
        <f>Z50+Z65+Z71+SUM(Z78:Z82)</f>
        <v>1803136078.8299999</v>
      </c>
      <c r="AA48" s="128">
        <f t="shared" si="12"/>
        <v>42.561927978992095</v>
      </c>
      <c r="AB48" s="24"/>
      <c r="BP48" s="471" t="s">
        <v>69</v>
      </c>
      <c r="BQ48" s="473">
        <v>0</v>
      </c>
      <c r="BR48" s="510" t="e">
        <v>#DIV/0!</v>
      </c>
      <c r="BS48" s="473">
        <v>0</v>
      </c>
      <c r="BT48" s="510" t="e">
        <v>#DIV/0!</v>
      </c>
      <c r="BU48" s="473">
        <v>0</v>
      </c>
      <c r="BV48" s="510" t="e">
        <v>#DIV/0!</v>
      </c>
      <c r="BW48" s="473">
        <v>0</v>
      </c>
      <c r="BX48" s="510" t="e">
        <v>#DIV/0!</v>
      </c>
      <c r="CE48" s="4"/>
      <c r="CF48" s="4"/>
      <c r="CG48" s="5"/>
      <c r="CH48" s="5"/>
      <c r="CI48" s="5"/>
      <c r="CJ48" s="2"/>
    </row>
    <row r="49" spans="1:88" ht="13.5" customHeight="1" thickTop="1" thickBot="1">
      <c r="A49" s="23"/>
      <c r="B49" s="23"/>
      <c r="C49" s="79" t="str">
        <f>IF(MasterSheet!$A$1=1,MasterSheet!C105,MasterSheet!B105)</f>
        <v>Tekuća budžetska potrošnja</v>
      </c>
      <c r="D49" s="94">
        <f>D48-D78</f>
        <v>788059673.71999991</v>
      </c>
      <c r="E49" s="95">
        <f t="shared" si="1"/>
        <v>36.67270108985992</v>
      </c>
      <c r="F49" s="94">
        <f>F48-F78</f>
        <v>868878314.29000008</v>
      </c>
      <c r="G49" s="96">
        <f t="shared" si="2"/>
        <v>32.414785088229806</v>
      </c>
      <c r="H49" s="94">
        <f>H48-H78</f>
        <v>1198709645.3</v>
      </c>
      <c r="I49" s="95">
        <f t="shared" si="3"/>
        <v>38.848510672154525</v>
      </c>
      <c r="J49" s="94">
        <f>J48-J78</f>
        <v>1188998245.3844998</v>
      </c>
      <c r="K49" s="96">
        <f t="shared" si="4"/>
        <v>39.885885454025491</v>
      </c>
      <c r="L49" s="94">
        <f>L48-L78</f>
        <v>1189351266.7400002</v>
      </c>
      <c r="M49" s="95">
        <f t="shared" si="5"/>
        <v>38.059240535680004</v>
      </c>
      <c r="N49" s="94">
        <f>N48-N78</f>
        <v>1251701212.99</v>
      </c>
      <c r="O49" s="95">
        <f t="shared" si="6"/>
        <v>38.336943736294025</v>
      </c>
      <c r="P49" s="126">
        <f>P48-P78</f>
        <v>1257836588.6500001</v>
      </c>
      <c r="Q49" s="95">
        <f t="shared" si="7"/>
        <v>39.542175059729644</v>
      </c>
      <c r="R49" s="94">
        <f>R48-R78</f>
        <v>1367570835.7599998</v>
      </c>
      <c r="S49" s="95">
        <f t="shared" si="8"/>
        <v>40.677300290303378</v>
      </c>
      <c r="T49" s="94">
        <f>T48-T78</f>
        <v>1388967503.7200003</v>
      </c>
      <c r="U49" s="95">
        <f t="shared" si="9"/>
        <v>40.167948862604483</v>
      </c>
      <c r="V49" s="119">
        <f>V48-V78</f>
        <v>1389952592.8299999</v>
      </c>
      <c r="W49" s="128">
        <f t="shared" si="10"/>
        <v>38.028798709439123</v>
      </c>
      <c r="X49" s="119">
        <f>X48-X78</f>
        <v>1557189212.8199999</v>
      </c>
      <c r="Y49" s="128">
        <f t="shared" ref="Y49:Y96" si="13">X49/X$11*100</f>
        <v>39.380638632846086</v>
      </c>
      <c r="Z49" s="119">
        <f>Z48-Z78</f>
        <v>1551259511.8599999</v>
      </c>
      <c r="AA49" s="128">
        <f t="shared" si="12"/>
        <v>36.61653515543491</v>
      </c>
      <c r="AB49" s="24"/>
      <c r="BP49" s="471" t="s">
        <v>71</v>
      </c>
      <c r="BQ49" s="473">
        <v>0</v>
      </c>
      <c r="BR49" s="510" t="e">
        <v>#DIV/0!</v>
      </c>
      <c r="BS49" s="473">
        <v>0</v>
      </c>
      <c r="BT49" s="510" t="e">
        <v>#DIV/0!</v>
      </c>
      <c r="BU49" s="473">
        <v>0</v>
      </c>
      <c r="BV49" s="510" t="e">
        <v>#DIV/0!</v>
      </c>
      <c r="BW49" s="473">
        <v>0</v>
      </c>
      <c r="BX49" s="510" t="e">
        <v>#DIV/0!</v>
      </c>
      <c r="CE49" s="7"/>
      <c r="CF49" s="7"/>
      <c r="CG49" s="5"/>
      <c r="CH49" s="5"/>
      <c r="CI49" s="5"/>
      <c r="CJ49" s="2"/>
    </row>
    <row r="50" spans="1:88" ht="15" customHeight="1" thickTop="1">
      <c r="A50" s="23"/>
      <c r="B50" s="23"/>
      <c r="C50" s="80" t="str">
        <f>IF(MasterSheet!$A$1=1,MasterSheet!C106,MasterSheet!B106)</f>
        <v>Tekući izdaci</v>
      </c>
      <c r="D50" s="97">
        <f>D51+SUM(D57:D64)</f>
        <v>436259421.93999994</v>
      </c>
      <c r="E50" s="130">
        <f t="shared" si="1"/>
        <v>20.301522729768717</v>
      </c>
      <c r="F50" s="97">
        <f>F51+SUM(F57:F64)</f>
        <v>494161800.55000007</v>
      </c>
      <c r="G50" s="130">
        <f t="shared" si="2"/>
        <v>18.435433708263385</v>
      </c>
      <c r="H50" s="120">
        <f>H51+H57+H58+H59+H60+H61+H62+H63</f>
        <v>495163943.19999993</v>
      </c>
      <c r="I50" s="130">
        <f t="shared" si="3"/>
        <v>16.04757399533316</v>
      </c>
      <c r="J50" s="120">
        <f>J51+J57+J58+J59+J60+J61+J62+J63</f>
        <v>485900381.46449983</v>
      </c>
      <c r="K50" s="130">
        <f t="shared" si="4"/>
        <v>16.299912159157994</v>
      </c>
      <c r="L50" s="120">
        <f>L51+L57+L58+L59+L60+L61+L62+L63</f>
        <v>525725762.2100001</v>
      </c>
      <c r="M50" s="130">
        <f t="shared" si="5"/>
        <v>16.823224390720004</v>
      </c>
      <c r="N50" s="120">
        <f>N51+N57+N58+N59+N60+N61+N62+N63</f>
        <v>621510541.74999988</v>
      </c>
      <c r="O50" s="130">
        <f t="shared" si="6"/>
        <v>19.035544923430319</v>
      </c>
      <c r="P50" s="120">
        <f>P51+P57+P58+P59+P60+P61+P62+P63</f>
        <v>658054102.25</v>
      </c>
      <c r="Q50" s="130">
        <f t="shared" si="7"/>
        <v>20.687019875825214</v>
      </c>
      <c r="R50" s="120">
        <f>R51+R57+R58+R59+R60+R61+R62+R63</f>
        <v>597567511.00999999</v>
      </c>
      <c r="S50" s="130">
        <f t="shared" si="8"/>
        <v>17.77416748988697</v>
      </c>
      <c r="T50" s="120">
        <f>T51+T57+T58+T59+T60+T61+T62+T63</f>
        <v>635026761.19000006</v>
      </c>
      <c r="U50" s="130">
        <f t="shared" si="9"/>
        <v>18.364520697243993</v>
      </c>
      <c r="V50" s="120">
        <f>V51+V57+V58+V59+V60+V61+V62+V63</f>
        <v>641171576.11000001</v>
      </c>
      <c r="W50" s="133">
        <f t="shared" si="10"/>
        <v>17.542313983857731</v>
      </c>
      <c r="X50" s="120">
        <f>X51+SUM(X57:X64)</f>
        <v>739361964.82999992</v>
      </c>
      <c r="Y50" s="134">
        <f t="shared" si="13"/>
        <v>18.698142856456425</v>
      </c>
      <c r="Z50" s="120">
        <f>Z51+SUM(Z57:Z64)</f>
        <v>781825425.58000004</v>
      </c>
      <c r="AA50" s="134">
        <f t="shared" si="12"/>
        <v>18.454512583028446</v>
      </c>
      <c r="AB50" s="24"/>
      <c r="BP50" s="471" t="s">
        <v>128</v>
      </c>
      <c r="BQ50" s="473">
        <v>0</v>
      </c>
      <c r="BR50" s="510" t="e">
        <v>#DIV/0!</v>
      </c>
      <c r="BS50" s="473">
        <v>0</v>
      </c>
      <c r="BT50" s="510" t="e">
        <v>#DIV/0!</v>
      </c>
      <c r="BU50" s="473">
        <v>0</v>
      </c>
      <c r="BV50" s="510" t="e">
        <v>#DIV/0!</v>
      </c>
      <c r="BW50" s="473">
        <v>0</v>
      </c>
      <c r="BX50" s="510" t="e">
        <v>#DIV/0!</v>
      </c>
    </row>
    <row r="51" spans="1:88" ht="15" customHeight="1">
      <c r="A51" s="23"/>
      <c r="B51" s="23"/>
      <c r="C51" s="80" t="str">
        <f>IF(MasterSheet!$A$1=1,MasterSheet!C107,MasterSheet!B107)</f>
        <v>Bruto zarade i doprinosi na teret poslodavca</v>
      </c>
      <c r="D51" s="97">
        <f>SUM(D52:D56)</f>
        <v>211619268.66999999</v>
      </c>
      <c r="E51" s="131">
        <f t="shared" si="1"/>
        <v>9.8477950891153601</v>
      </c>
      <c r="F51" s="97">
        <f>SUM(F52:F56)</f>
        <v>256098289.82000002</v>
      </c>
      <c r="G51" s="131">
        <f t="shared" si="2"/>
        <v>9.5541238507741095</v>
      </c>
      <c r="H51" s="97">
        <f>SUM(H52:H56)</f>
        <v>274699862.86000001</v>
      </c>
      <c r="I51" s="131">
        <f t="shared" si="3"/>
        <v>8.902640097873995</v>
      </c>
      <c r="J51" s="97">
        <f>SUM(J52:J56)</f>
        <v>259160937.78449979</v>
      </c>
      <c r="K51" s="131">
        <f t="shared" si="4"/>
        <v>8.6937583959912725</v>
      </c>
      <c r="L51" s="97">
        <f>SUM(L52:L56)</f>
        <v>283662646.70999998</v>
      </c>
      <c r="M51" s="131">
        <f t="shared" si="5"/>
        <v>9.0772046947199989</v>
      </c>
      <c r="N51" s="97">
        <f>SUM(N52:N56)</f>
        <v>371258246.90999997</v>
      </c>
      <c r="O51" s="131">
        <f t="shared" si="6"/>
        <v>11.370849828790199</v>
      </c>
      <c r="P51" s="97">
        <f>SUM(P52:P56)</f>
        <v>374653307.63</v>
      </c>
      <c r="Q51" s="131">
        <f t="shared" si="7"/>
        <v>11.777846828984597</v>
      </c>
      <c r="R51" s="97">
        <v>371004370.17000002</v>
      </c>
      <c r="S51" s="131">
        <f t="shared" si="8"/>
        <v>11.035228143069602</v>
      </c>
      <c r="T51" s="97">
        <v>387342557.38999999</v>
      </c>
      <c r="U51" s="131">
        <f t="shared" si="9"/>
        <v>11.201670302495733</v>
      </c>
      <c r="V51" s="129">
        <v>382177081.81999993</v>
      </c>
      <c r="W51" s="134">
        <f t="shared" si="10"/>
        <v>10.456281308344732</v>
      </c>
      <c r="X51" s="129">
        <v>422490767.01999998</v>
      </c>
      <c r="Y51" s="134">
        <f t="shared" si="13"/>
        <v>10.684607936371453</v>
      </c>
      <c r="Z51" s="129">
        <v>445363693.67000002</v>
      </c>
      <c r="AA51" s="134">
        <f t="shared" si="12"/>
        <v>10.512538502773516</v>
      </c>
      <c r="AB51" s="24"/>
      <c r="BP51" s="464" t="s">
        <v>74</v>
      </c>
      <c r="BQ51" s="473">
        <v>0</v>
      </c>
      <c r="BR51" s="510">
        <v>0</v>
      </c>
      <c r="BS51" s="473">
        <v>0</v>
      </c>
      <c r="BT51" s="510">
        <v>0</v>
      </c>
      <c r="BU51" s="473">
        <v>0</v>
      </c>
      <c r="BV51" s="510">
        <v>0</v>
      </c>
      <c r="BW51" s="473">
        <v>0</v>
      </c>
      <c r="BX51" s="510">
        <v>0</v>
      </c>
      <c r="CH51" s="8"/>
    </row>
    <row r="52" spans="1:88" ht="15" hidden="1" customHeight="1">
      <c r="A52" s="23"/>
      <c r="B52" s="23"/>
      <c r="C52" s="81" t="str">
        <f>IF(MasterSheet!$A$1=1,MasterSheet!C108,MasterSheet!B108)</f>
        <v>Neto zarade</v>
      </c>
      <c r="D52" s="99">
        <v>122073803.08999999</v>
      </c>
      <c r="E52" s="131">
        <f t="shared" si="1"/>
        <v>5.6807577407045455</v>
      </c>
      <c r="F52" s="99">
        <v>147753470.87000003</v>
      </c>
      <c r="G52" s="131">
        <f t="shared" si="2"/>
        <v>5.5121608233538533</v>
      </c>
      <c r="H52" s="99">
        <v>158140128.56</v>
      </c>
      <c r="I52" s="131">
        <f t="shared" si="3"/>
        <v>5.1251013922737876</v>
      </c>
      <c r="J52" s="99">
        <v>149173408.38193399</v>
      </c>
      <c r="K52" s="131">
        <f t="shared" si="4"/>
        <v>5.004139831665011</v>
      </c>
      <c r="L52" s="99">
        <v>165721016.36000001</v>
      </c>
      <c r="M52" s="131">
        <f t="shared" si="5"/>
        <v>5.3030725235200009</v>
      </c>
      <c r="N52" s="99">
        <v>220303195.69999999</v>
      </c>
      <c r="O52" s="131">
        <f t="shared" si="6"/>
        <v>6.747417938744257</v>
      </c>
      <c r="P52" s="99">
        <v>223106865.93000001</v>
      </c>
      <c r="Q52" s="131">
        <f t="shared" si="7"/>
        <v>7.0137336035837787</v>
      </c>
      <c r="R52" s="99">
        <v>221767124</v>
      </c>
      <c r="S52" s="131">
        <f t="shared" si="8"/>
        <v>6.5962856632956575</v>
      </c>
      <c r="T52" s="99">
        <v>226610175</v>
      </c>
      <c r="U52" s="131">
        <f t="shared" si="9"/>
        <v>6.5534045229763738</v>
      </c>
      <c r="V52" s="122">
        <v>223344011</v>
      </c>
      <c r="W52" s="134">
        <f t="shared" si="10"/>
        <v>6.1106432558139536</v>
      </c>
      <c r="X52" s="122"/>
      <c r="Y52" s="134">
        <f t="shared" si="13"/>
        <v>0</v>
      </c>
      <c r="Z52" s="122"/>
      <c r="AA52" s="134">
        <f t="shared" si="12"/>
        <v>0</v>
      </c>
      <c r="AB52" s="24"/>
      <c r="BP52" s="464" t="s">
        <v>76</v>
      </c>
      <c r="BQ52" s="473">
        <v>0</v>
      </c>
      <c r="BR52" s="510">
        <v>0</v>
      </c>
      <c r="BS52" s="473">
        <v>0</v>
      </c>
      <c r="BT52" s="510">
        <v>0</v>
      </c>
      <c r="BU52" s="473">
        <v>0</v>
      </c>
      <c r="BV52" s="510">
        <v>0</v>
      </c>
      <c r="BW52" s="473">
        <v>0</v>
      </c>
      <c r="BX52" s="510">
        <v>0</v>
      </c>
    </row>
    <row r="53" spans="1:88" ht="15" hidden="1" customHeight="1">
      <c r="A53" s="23"/>
      <c r="B53" s="23"/>
      <c r="C53" s="81" t="str">
        <f>IF(MasterSheet!$A$1=1,MasterSheet!C109,MasterSheet!B109)</f>
        <v>Porez na zarade</v>
      </c>
      <c r="D53" s="99">
        <v>24568593.439999998</v>
      </c>
      <c r="E53" s="131">
        <f t="shared" si="1"/>
        <v>1.1433102256968681</v>
      </c>
      <c r="F53" s="99">
        <v>26916847.73</v>
      </c>
      <c r="G53" s="131">
        <f t="shared" si="2"/>
        <v>1.0041726442827832</v>
      </c>
      <c r="H53" s="99">
        <v>29446439.690000001</v>
      </c>
      <c r="I53" s="131">
        <f t="shared" si="3"/>
        <v>0.95431811284677226</v>
      </c>
      <c r="J53" s="99">
        <v>27786106.092939563</v>
      </c>
      <c r="K53" s="131">
        <f t="shared" si="4"/>
        <v>0.93210688000468167</v>
      </c>
      <c r="L53" s="99">
        <v>22646761.260000002</v>
      </c>
      <c r="M53" s="131">
        <f t="shared" si="5"/>
        <v>0.72469636032000007</v>
      </c>
      <c r="N53" s="99">
        <v>29343979.530000001</v>
      </c>
      <c r="O53" s="131">
        <f t="shared" si="6"/>
        <v>0.89874363032159255</v>
      </c>
      <c r="P53" s="99">
        <v>29398079.799999997</v>
      </c>
      <c r="Q53" s="131">
        <f t="shared" si="7"/>
        <v>0.92417729644765789</v>
      </c>
      <c r="R53" s="99">
        <v>31182223</v>
      </c>
      <c r="S53" s="131">
        <f t="shared" si="8"/>
        <v>0.92749027364663894</v>
      </c>
      <c r="T53" s="99">
        <v>33518109</v>
      </c>
      <c r="U53" s="131">
        <f t="shared" si="9"/>
        <v>0.96931978946759589</v>
      </c>
      <c r="V53" s="122">
        <v>32308047</v>
      </c>
      <c r="W53" s="134">
        <f t="shared" si="10"/>
        <v>0.88394109439124491</v>
      </c>
      <c r="X53" s="122"/>
      <c r="Y53" s="134">
        <f t="shared" si="13"/>
        <v>0</v>
      </c>
      <c r="Z53" s="122"/>
      <c r="AA53" s="134">
        <f t="shared" si="12"/>
        <v>0</v>
      </c>
      <c r="AB53" s="24"/>
      <c r="BP53" s="464" t="s">
        <v>78</v>
      </c>
      <c r="BQ53" s="473">
        <v>0</v>
      </c>
      <c r="BR53" s="510">
        <v>0</v>
      </c>
      <c r="BS53" s="473">
        <v>0</v>
      </c>
      <c r="BT53" s="510">
        <v>0</v>
      </c>
      <c r="BU53" s="473">
        <v>0</v>
      </c>
      <c r="BV53" s="510">
        <v>0</v>
      </c>
      <c r="BW53" s="473">
        <v>0</v>
      </c>
      <c r="BX53" s="510">
        <v>0</v>
      </c>
    </row>
    <row r="54" spans="1:88" ht="15" hidden="1" customHeight="1">
      <c r="A54" s="23"/>
      <c r="B54" s="23"/>
      <c r="C54" s="81" t="str">
        <f>IF(MasterSheet!$A$1=1,MasterSheet!C110,MasterSheet!B110)</f>
        <v>Doprinosi na teret zaposlenog</v>
      </c>
      <c r="D54" s="99">
        <v>31579861.260000002</v>
      </c>
      <c r="E54" s="131">
        <f t="shared" si="1"/>
        <v>1.4695826357671367</v>
      </c>
      <c r="F54" s="99">
        <v>40145380.400000006</v>
      </c>
      <c r="G54" s="131">
        <f t="shared" si="2"/>
        <v>1.4976825368401419</v>
      </c>
      <c r="H54" s="99">
        <v>42046795.229999997</v>
      </c>
      <c r="I54" s="131">
        <f t="shared" si="3"/>
        <v>1.3626780927534352</v>
      </c>
      <c r="J54" s="99">
        <v>39675992.256736048</v>
      </c>
      <c r="K54" s="131">
        <f t="shared" si="4"/>
        <v>1.33096250441919</v>
      </c>
      <c r="L54" s="99">
        <v>59935832.810000002</v>
      </c>
      <c r="M54" s="131">
        <f t="shared" si="5"/>
        <v>1.91794664992</v>
      </c>
      <c r="N54" s="99">
        <v>76702574.069999993</v>
      </c>
      <c r="O54" s="131">
        <f t="shared" si="6"/>
        <v>2.3492365718223582</v>
      </c>
      <c r="P54" s="99">
        <v>77127985.669999987</v>
      </c>
      <c r="Q54" s="131">
        <f t="shared" si="7"/>
        <v>2.4246458871424079</v>
      </c>
      <c r="R54" s="99">
        <v>74530520</v>
      </c>
      <c r="S54" s="131">
        <f t="shared" si="8"/>
        <v>2.2168506841165971</v>
      </c>
      <c r="T54" s="99">
        <v>80871754</v>
      </c>
      <c r="U54" s="131">
        <f t="shared" si="9"/>
        <v>2.3387534052459586</v>
      </c>
      <c r="V54" s="122">
        <v>79335800</v>
      </c>
      <c r="W54" s="134">
        <f t="shared" si="10"/>
        <v>2.1706101231190149</v>
      </c>
      <c r="X54" s="122"/>
      <c r="Y54" s="134">
        <f t="shared" si="13"/>
        <v>0</v>
      </c>
      <c r="Z54" s="122"/>
      <c r="AA54" s="134">
        <f t="shared" si="12"/>
        <v>0</v>
      </c>
      <c r="AB54" s="24"/>
      <c r="BP54" s="464" t="s">
        <v>79</v>
      </c>
      <c r="BQ54" s="473">
        <v>0</v>
      </c>
      <c r="BR54" s="510">
        <v>0</v>
      </c>
      <c r="BS54" s="473">
        <v>0</v>
      </c>
      <c r="BT54" s="510">
        <v>0</v>
      </c>
      <c r="BU54" s="473">
        <v>0</v>
      </c>
      <c r="BV54" s="510">
        <v>0</v>
      </c>
      <c r="BW54" s="473">
        <v>0</v>
      </c>
      <c r="BX54" s="510">
        <v>0</v>
      </c>
    </row>
    <row r="55" spans="1:88" ht="15" hidden="1" customHeight="1">
      <c r="A55" s="23"/>
      <c r="B55" s="23"/>
      <c r="C55" s="81" t="str">
        <f>IF(MasterSheet!$A$1=1,MasterSheet!C111,MasterSheet!B111)</f>
        <v>Doprinosi na teret poslodavca</v>
      </c>
      <c r="D55" s="99">
        <v>29479999.799999997</v>
      </c>
      <c r="E55" s="131">
        <f t="shared" si="1"/>
        <v>1.3718646656428868</v>
      </c>
      <c r="F55" s="99">
        <v>37349335.560000002</v>
      </c>
      <c r="G55" s="131">
        <f t="shared" si="2"/>
        <v>1.3933719664241748</v>
      </c>
      <c r="H55" s="99">
        <v>40930764.380000003</v>
      </c>
      <c r="I55" s="131">
        <f t="shared" si="3"/>
        <v>1.3265090867254343</v>
      </c>
      <c r="J55" s="99">
        <v>38622888.658217676</v>
      </c>
      <c r="K55" s="131">
        <f t="shared" si="4"/>
        <v>1.2956353122515154</v>
      </c>
      <c r="L55" s="99">
        <v>32139632.719999999</v>
      </c>
      <c r="M55" s="131">
        <f t="shared" si="5"/>
        <v>1.0284682470399999</v>
      </c>
      <c r="N55" s="99">
        <v>40786208.719999999</v>
      </c>
      <c r="O55" s="131">
        <f t="shared" si="6"/>
        <v>1.2491947540581929</v>
      </c>
      <c r="P55" s="99">
        <v>40846412.990000002</v>
      </c>
      <c r="Q55" s="131">
        <f t="shared" si="7"/>
        <v>1.2840745988682805</v>
      </c>
      <c r="R55" s="99">
        <v>39082445</v>
      </c>
      <c r="S55" s="131">
        <f t="shared" si="8"/>
        <v>1.1624760559190956</v>
      </c>
      <c r="T55" s="99">
        <v>41645483</v>
      </c>
      <c r="U55" s="131">
        <f t="shared" si="9"/>
        <v>1.204357644813326</v>
      </c>
      <c r="V55" s="122">
        <v>42685710</v>
      </c>
      <c r="W55" s="134">
        <f t="shared" si="10"/>
        <v>1.167871682626539</v>
      </c>
      <c r="X55" s="122"/>
      <c r="Y55" s="134">
        <f t="shared" si="13"/>
        <v>0</v>
      </c>
      <c r="Z55" s="122"/>
      <c r="AA55" s="134">
        <f t="shared" si="12"/>
        <v>0</v>
      </c>
      <c r="AB55" s="24"/>
      <c r="BP55" s="464" t="s">
        <v>81</v>
      </c>
      <c r="BQ55" s="473">
        <v>0</v>
      </c>
      <c r="BR55" s="510">
        <v>0</v>
      </c>
      <c r="BS55" s="473">
        <v>0</v>
      </c>
      <c r="BT55" s="510">
        <v>0</v>
      </c>
      <c r="BU55" s="473">
        <v>0</v>
      </c>
      <c r="BV55" s="510">
        <v>0</v>
      </c>
      <c r="BW55" s="473">
        <v>0</v>
      </c>
      <c r="BX55" s="510">
        <v>0</v>
      </c>
    </row>
    <row r="56" spans="1:88" ht="15" hidden="1" customHeight="1">
      <c r="A56" s="23"/>
      <c r="B56" s="23"/>
      <c r="C56" s="81" t="str">
        <f>IF(MasterSheet!$A$1=1,MasterSheet!C112,MasterSheet!B112)</f>
        <v>Prirez na porez na dohodak</v>
      </c>
      <c r="D56" s="99">
        <v>3917011.08</v>
      </c>
      <c r="E56" s="131">
        <f t="shared" si="1"/>
        <v>0.18227982130392292</v>
      </c>
      <c r="F56" s="99">
        <v>3933255.26</v>
      </c>
      <c r="G56" s="131">
        <f t="shared" si="2"/>
        <v>0.14673587987315798</v>
      </c>
      <c r="H56" s="99">
        <v>4135735</v>
      </c>
      <c r="I56" s="131">
        <f t="shared" si="3"/>
        <v>0.13403341327456572</v>
      </c>
      <c r="J56" s="99">
        <v>3902542.3946725391</v>
      </c>
      <c r="K56" s="131">
        <f t="shared" si="4"/>
        <v>0.13091386765087348</v>
      </c>
      <c r="L56" s="99">
        <v>3219403.56</v>
      </c>
      <c r="M56" s="131">
        <f t="shared" si="5"/>
        <v>0.10302091392000001</v>
      </c>
      <c r="N56" s="99">
        <v>4122288.89</v>
      </c>
      <c r="O56" s="131">
        <f t="shared" si="6"/>
        <v>0.12625693384379785</v>
      </c>
      <c r="P56" s="99">
        <v>4173963.2399999998</v>
      </c>
      <c r="Q56" s="131">
        <f t="shared" si="7"/>
        <v>0.13121544294247092</v>
      </c>
      <c r="R56" s="99">
        <v>4442058</v>
      </c>
      <c r="S56" s="131">
        <f t="shared" si="8"/>
        <v>0.13212546103509815</v>
      </c>
      <c r="T56" s="99">
        <v>4697036</v>
      </c>
      <c r="U56" s="131">
        <f t="shared" si="9"/>
        <v>0.13583492871395933</v>
      </c>
      <c r="V56" s="122">
        <v>4503513</v>
      </c>
      <c r="W56" s="134">
        <f t="shared" si="10"/>
        <v>0.12321512995896032</v>
      </c>
      <c r="X56" s="122"/>
      <c r="Y56" s="134">
        <f t="shared" si="13"/>
        <v>0</v>
      </c>
      <c r="Z56" s="122"/>
      <c r="AA56" s="134">
        <f t="shared" si="12"/>
        <v>0</v>
      </c>
      <c r="AB56" s="24"/>
      <c r="BP56" s="464" t="s">
        <v>83</v>
      </c>
      <c r="BQ56" s="473">
        <v>0</v>
      </c>
      <c r="BR56" s="510">
        <v>0</v>
      </c>
      <c r="BS56" s="473">
        <v>0</v>
      </c>
      <c r="BT56" s="510">
        <v>0</v>
      </c>
      <c r="BU56" s="473">
        <v>0</v>
      </c>
      <c r="BV56" s="510">
        <v>0</v>
      </c>
      <c r="BW56" s="473">
        <v>0</v>
      </c>
      <c r="BX56" s="510">
        <v>0</v>
      </c>
    </row>
    <row r="57" spans="1:88" ht="15" customHeight="1">
      <c r="A57" s="23"/>
      <c r="B57" s="23"/>
      <c r="C57" s="80" t="str">
        <f>IF(MasterSheet!$A$1=1,MasterSheet!C113,MasterSheet!B113)</f>
        <v>Ostala lična primanja</v>
      </c>
      <c r="D57" s="97">
        <v>15461447.869999999</v>
      </c>
      <c r="E57" s="131">
        <f t="shared" si="1"/>
        <v>0.71950522918702586</v>
      </c>
      <c r="F57" s="97">
        <v>27511729.489999998</v>
      </c>
      <c r="G57" s="131">
        <f t="shared" si="2"/>
        <v>1.0263655844058945</v>
      </c>
      <c r="H57" s="97">
        <v>21753186.010000002</v>
      </c>
      <c r="I57" s="131">
        <f t="shared" si="3"/>
        <v>0.7049904721934146</v>
      </c>
      <c r="J57" s="97">
        <v>21646046.59</v>
      </c>
      <c r="K57" s="131">
        <f t="shared" si="4"/>
        <v>0.72613373331096953</v>
      </c>
      <c r="L57" s="97">
        <v>18835767.040000003</v>
      </c>
      <c r="M57" s="131">
        <f t="shared" si="5"/>
        <v>0.6027445452800001</v>
      </c>
      <c r="N57" s="97">
        <v>12829673.57</v>
      </c>
      <c r="O57" s="131">
        <f t="shared" si="6"/>
        <v>0.39294559173047472</v>
      </c>
      <c r="P57" s="97">
        <v>10336327.24</v>
      </c>
      <c r="Q57" s="131">
        <f t="shared" si="7"/>
        <v>0.32493955485696324</v>
      </c>
      <c r="R57" s="97">
        <v>12119032.27</v>
      </c>
      <c r="S57" s="131">
        <f t="shared" si="8"/>
        <v>0.36047091820345034</v>
      </c>
      <c r="T57" s="97">
        <v>11957808.1</v>
      </c>
      <c r="U57" s="131">
        <f t="shared" si="9"/>
        <v>0.34581127562971742</v>
      </c>
      <c r="V57" s="129">
        <v>14740493.810000001</v>
      </c>
      <c r="W57" s="134">
        <f t="shared" si="10"/>
        <v>0.40329668426812587</v>
      </c>
      <c r="X57" s="129">
        <v>10906112.039999999</v>
      </c>
      <c r="Y57" s="134">
        <f t="shared" si="13"/>
        <v>0.2758108350614536</v>
      </c>
      <c r="Z57" s="129">
        <v>10648738.729999999</v>
      </c>
      <c r="AA57" s="134">
        <f t="shared" si="12"/>
        <v>0.2513569864274755</v>
      </c>
      <c r="AB57" s="24"/>
      <c r="BP57" s="464" t="s">
        <v>85</v>
      </c>
      <c r="BQ57" s="473">
        <v>0</v>
      </c>
      <c r="BR57" s="510">
        <v>0</v>
      </c>
      <c r="BS57" s="473">
        <v>0</v>
      </c>
      <c r="BT57" s="510">
        <v>0</v>
      </c>
      <c r="BU57" s="473">
        <v>0</v>
      </c>
      <c r="BV57" s="510">
        <v>0</v>
      </c>
      <c r="BW57" s="473">
        <v>0</v>
      </c>
      <c r="BX57" s="510">
        <v>0</v>
      </c>
      <c r="CH57" s="20"/>
    </row>
    <row r="58" spans="1:88" ht="15" customHeight="1">
      <c r="A58" s="23"/>
      <c r="B58" s="23"/>
      <c r="C58" s="80" t="str">
        <f>IF(MasterSheet!$A$1=1,MasterSheet!C114,MasterSheet!B114)</f>
        <v>Rashodi za materijal i usluge</v>
      </c>
      <c r="D58" s="97">
        <v>112547776.84</v>
      </c>
      <c r="E58" s="131">
        <f t="shared" si="1"/>
        <v>5.2374599488110203</v>
      </c>
      <c r="F58" s="97">
        <v>137071242.36000001</v>
      </c>
      <c r="G58" s="131">
        <f t="shared" si="2"/>
        <v>5.1136445573587022</v>
      </c>
      <c r="H58" s="97">
        <v>121034828</v>
      </c>
      <c r="I58" s="131">
        <f t="shared" si="3"/>
        <v>3.9225702618615506</v>
      </c>
      <c r="J58" s="97">
        <v>109956288.45999999</v>
      </c>
      <c r="K58" s="131">
        <f t="shared" si="4"/>
        <v>3.6885705622274405</v>
      </c>
      <c r="L58" s="97">
        <v>112683384.09</v>
      </c>
      <c r="M58" s="131">
        <f t="shared" si="5"/>
        <v>3.6058682908800002</v>
      </c>
      <c r="N58" s="97">
        <v>110492923</v>
      </c>
      <c r="O58" s="131">
        <f t="shared" si="6"/>
        <v>3.3841630321592646</v>
      </c>
      <c r="P58" s="97">
        <v>153691947.66</v>
      </c>
      <c r="Q58" s="131">
        <f t="shared" si="7"/>
        <v>4.8315607563659224</v>
      </c>
      <c r="R58" s="97">
        <v>77138116.629999995</v>
      </c>
      <c r="S58" s="131">
        <f t="shared" si="8"/>
        <v>2.2944115594883998</v>
      </c>
      <c r="T58" s="97">
        <v>82668934.020000011</v>
      </c>
      <c r="U58" s="131">
        <f t="shared" si="9"/>
        <v>2.3907265687266843</v>
      </c>
      <c r="V58" s="129">
        <v>84046561.560000002</v>
      </c>
      <c r="W58" s="134">
        <f t="shared" si="10"/>
        <v>2.2994955283173737</v>
      </c>
      <c r="X58" s="129">
        <v>91122367.090000004</v>
      </c>
      <c r="Y58" s="134">
        <f t="shared" si="13"/>
        <v>2.3044450733397399</v>
      </c>
      <c r="Z58" s="129">
        <v>95905310.469999999</v>
      </c>
      <c r="AA58" s="134">
        <f>Z58/Z$11*100</f>
        <v>2.2637863913607932</v>
      </c>
      <c r="AB58" s="24"/>
      <c r="BP58" s="464" t="s">
        <v>129</v>
      </c>
      <c r="BQ58" s="473">
        <v>0</v>
      </c>
      <c r="BR58" s="510">
        <v>0</v>
      </c>
      <c r="BS58" s="473">
        <v>0</v>
      </c>
      <c r="BT58" s="510">
        <v>0</v>
      </c>
      <c r="BU58" s="473">
        <v>0</v>
      </c>
      <c r="BV58" s="510">
        <v>0</v>
      </c>
      <c r="BW58" s="473">
        <v>0</v>
      </c>
      <c r="BX58" s="510">
        <v>0</v>
      </c>
    </row>
    <row r="59" spans="1:88" ht="15" customHeight="1">
      <c r="A59" s="23"/>
      <c r="B59" s="23"/>
      <c r="C59" s="80" t="str">
        <f>IF(MasterSheet!$A$1=1,MasterSheet!C115,MasterSheet!B115)</f>
        <v>Tekuće održavanje</v>
      </c>
      <c r="D59" s="97">
        <v>20449366.720000003</v>
      </c>
      <c r="E59" s="131">
        <f t="shared" si="1"/>
        <v>0.95162021127088292</v>
      </c>
      <c r="F59" s="97">
        <v>22633631.750000004</v>
      </c>
      <c r="G59" s="131">
        <f t="shared" si="2"/>
        <v>0.8443809643723188</v>
      </c>
      <c r="H59" s="97">
        <v>22151878.379999999</v>
      </c>
      <c r="I59" s="131">
        <f t="shared" si="3"/>
        <v>0.71791153681617836</v>
      </c>
      <c r="J59" s="97">
        <v>5130736.91</v>
      </c>
      <c r="K59" s="131">
        <f t="shared" si="4"/>
        <v>0.17211462294532037</v>
      </c>
      <c r="L59" s="97">
        <v>28005189.850000001</v>
      </c>
      <c r="M59" s="131">
        <f t="shared" si="5"/>
        <v>0.89616607520000002</v>
      </c>
      <c r="N59" s="97">
        <v>23542025.550000001</v>
      </c>
      <c r="O59" s="131">
        <f t="shared" si="6"/>
        <v>0.72104213016845331</v>
      </c>
      <c r="P59" s="97">
        <v>22543512.98</v>
      </c>
      <c r="Q59" s="131">
        <f t="shared" si="7"/>
        <v>0.70869264319396419</v>
      </c>
      <c r="R59" s="97">
        <v>20415784.169999998</v>
      </c>
      <c r="S59" s="131">
        <f t="shared" si="8"/>
        <v>0.6072511650803093</v>
      </c>
      <c r="T59" s="97">
        <v>21273630.079999998</v>
      </c>
      <c r="U59" s="131">
        <f t="shared" si="9"/>
        <v>0.61521819832846525</v>
      </c>
      <c r="V59" s="129">
        <v>20121139.949999999</v>
      </c>
      <c r="W59" s="134">
        <f t="shared" si="10"/>
        <v>0.55050998495212033</v>
      </c>
      <c r="X59" s="129">
        <v>20452287.48</v>
      </c>
      <c r="Y59" s="134">
        <f t="shared" si="13"/>
        <v>0.51722946436700223</v>
      </c>
      <c r="Z59" s="129">
        <v>20203326.920000002</v>
      </c>
      <c r="AA59" s="134">
        <f t="shared" si="12"/>
        <v>0.47688721633423814</v>
      </c>
      <c r="AB59" s="24"/>
      <c r="BP59" s="464" t="s">
        <v>86</v>
      </c>
      <c r="BQ59" s="473">
        <v>0</v>
      </c>
      <c r="BR59" s="510">
        <v>0</v>
      </c>
      <c r="BS59" s="473">
        <v>0</v>
      </c>
      <c r="BT59" s="510">
        <v>0</v>
      </c>
      <c r="BU59" s="473">
        <v>0</v>
      </c>
      <c r="BV59" s="510">
        <v>0</v>
      </c>
      <c r="BW59" s="473">
        <v>0</v>
      </c>
      <c r="BX59" s="510">
        <v>0</v>
      </c>
    </row>
    <row r="60" spans="1:88" ht="15" customHeight="1">
      <c r="A60" s="23"/>
      <c r="B60" s="23"/>
      <c r="C60" s="80" t="str">
        <f>IF(MasterSheet!$A$1=1,MasterSheet!C116,MasterSheet!B116)</f>
        <v>Kamate</v>
      </c>
      <c r="D60" s="97">
        <v>23398994.059999999</v>
      </c>
      <c r="E60" s="131">
        <f t="shared" si="1"/>
        <v>1.0888824077434966</v>
      </c>
      <c r="F60" s="97">
        <v>27098929.48</v>
      </c>
      <c r="G60" s="131">
        <f t="shared" si="2"/>
        <v>1.0109654721134116</v>
      </c>
      <c r="H60" s="97">
        <v>22531993.84</v>
      </c>
      <c r="I60" s="131">
        <f t="shared" si="3"/>
        <v>0.73023054964998702</v>
      </c>
      <c r="J60" s="97">
        <v>24512028.640000001</v>
      </c>
      <c r="K60" s="131">
        <f t="shared" si="4"/>
        <v>0.82227536531365319</v>
      </c>
      <c r="L60" s="97">
        <v>30256278.469999999</v>
      </c>
      <c r="M60" s="131">
        <f t="shared" si="5"/>
        <v>0.96820091104000006</v>
      </c>
      <c r="N60" s="97">
        <v>45092350.030000001</v>
      </c>
      <c r="O60" s="131">
        <f t="shared" si="6"/>
        <v>1.3810826961715161</v>
      </c>
      <c r="P60" s="97">
        <v>56859854.539999999</v>
      </c>
      <c r="Q60" s="131">
        <f t="shared" si="7"/>
        <v>1.7874836384784658</v>
      </c>
      <c r="R60" s="97">
        <v>67922775.540000007</v>
      </c>
      <c r="S60" s="131">
        <f t="shared" si="8"/>
        <v>2.0203086121356337</v>
      </c>
      <c r="T60" s="97">
        <v>75516395.409999996</v>
      </c>
      <c r="U60" s="131">
        <f t="shared" si="9"/>
        <v>2.1838802570924547</v>
      </c>
      <c r="V60" s="129">
        <v>81802749.749999985</v>
      </c>
      <c r="W60" s="134">
        <f t="shared" si="10"/>
        <v>2.2381053283173729</v>
      </c>
      <c r="X60" s="129">
        <v>81576080.650000006</v>
      </c>
      <c r="Y60" s="134">
        <f t="shared" si="13"/>
        <v>2.0630236368924182</v>
      </c>
      <c r="Z60" s="129">
        <v>98705378.580000013</v>
      </c>
      <c r="AA60" s="134">
        <f t="shared" si="12"/>
        <v>2.3298802922223536</v>
      </c>
      <c r="AB60" s="24"/>
      <c r="BP60" s="471" t="s">
        <v>88</v>
      </c>
      <c r="BQ60" s="473">
        <v>0</v>
      </c>
      <c r="BR60" s="510">
        <v>0</v>
      </c>
      <c r="BS60" s="473">
        <v>0</v>
      </c>
      <c r="BT60" s="510">
        <v>0</v>
      </c>
      <c r="BU60" s="473">
        <v>0</v>
      </c>
      <c r="BV60" s="510">
        <v>0</v>
      </c>
      <c r="BW60" s="473">
        <v>0</v>
      </c>
      <c r="BX60" s="510">
        <v>0</v>
      </c>
    </row>
    <row r="61" spans="1:88" ht="15" customHeight="1">
      <c r="A61" s="23"/>
      <c r="B61" s="23"/>
      <c r="C61" s="80" t="str">
        <f>IF(MasterSheet!$A$1=1,MasterSheet!C117,MasterSheet!B117)</f>
        <v>Renta</v>
      </c>
      <c r="D61" s="97">
        <v>2663918.17</v>
      </c>
      <c r="E61" s="131">
        <f t="shared" si="1"/>
        <v>0.12396659546744847</v>
      </c>
      <c r="F61" s="97">
        <v>4927168.12</v>
      </c>
      <c r="G61" s="131">
        <f t="shared" si="2"/>
        <v>0.18381526282409999</v>
      </c>
      <c r="H61" s="97">
        <v>8361199.96</v>
      </c>
      <c r="I61" s="131">
        <f t="shared" si="3"/>
        <v>0.27097484962406015</v>
      </c>
      <c r="J61" s="97">
        <v>8038103.2300000004</v>
      </c>
      <c r="K61" s="131">
        <f t="shared" si="4"/>
        <v>0.26964452297886615</v>
      </c>
      <c r="L61" s="97">
        <v>8015830.71</v>
      </c>
      <c r="M61" s="131">
        <f t="shared" si="5"/>
        <v>0.25650658271999999</v>
      </c>
      <c r="N61" s="97">
        <v>7376287.9199999999</v>
      </c>
      <c r="O61" s="131">
        <f t="shared" si="6"/>
        <v>0.2259199975497703</v>
      </c>
      <c r="P61" s="97">
        <v>7110247.5800000001</v>
      </c>
      <c r="Q61" s="131">
        <f t="shared" si="7"/>
        <v>0.22352240113171959</v>
      </c>
      <c r="R61" s="97">
        <v>7928041.8099999996</v>
      </c>
      <c r="S61" s="131">
        <f t="shared" si="8"/>
        <v>0.23581326026174895</v>
      </c>
      <c r="T61" s="97">
        <v>8033102.0199999996</v>
      </c>
      <c r="U61" s="131">
        <f t="shared" si="9"/>
        <v>0.23231157696868041</v>
      </c>
      <c r="V61" s="129">
        <v>7918742.3199999994</v>
      </c>
      <c r="W61" s="134">
        <f t="shared" si="10"/>
        <v>0.21665505663474691</v>
      </c>
      <c r="X61" s="129">
        <v>9216029.3300000001</v>
      </c>
      <c r="Y61" s="134">
        <f t="shared" si="13"/>
        <v>0.23306937762379243</v>
      </c>
      <c r="Z61" s="129">
        <v>8940947.3699999992</v>
      </c>
      <c r="AA61" s="134">
        <f t="shared" si="12"/>
        <v>0.21104561241590933</v>
      </c>
      <c r="AB61" s="24"/>
      <c r="BP61" s="471" t="s">
        <v>90</v>
      </c>
      <c r="BQ61" s="473">
        <v>0</v>
      </c>
      <c r="BR61" s="510">
        <v>0</v>
      </c>
      <c r="BS61" s="473">
        <v>0</v>
      </c>
      <c r="BT61" s="510">
        <v>0</v>
      </c>
      <c r="BU61" s="473">
        <v>0</v>
      </c>
      <c r="BV61" s="510">
        <v>0</v>
      </c>
      <c r="BW61" s="473">
        <v>0</v>
      </c>
      <c r="BX61" s="510">
        <v>0</v>
      </c>
    </row>
    <row r="62" spans="1:88" ht="15" customHeight="1">
      <c r="A62" s="23"/>
      <c r="B62" s="23"/>
      <c r="C62" s="80" t="str">
        <f>IF(MasterSheet!$A$1=1,MasterSheet!C118,MasterSheet!B118)</f>
        <v>Subvencije</v>
      </c>
      <c r="D62" s="97">
        <v>6072666.8299999991</v>
      </c>
      <c r="E62" s="131">
        <f t="shared" si="1"/>
        <v>0.28259420308064587</v>
      </c>
      <c r="F62" s="97">
        <v>13072586.5</v>
      </c>
      <c r="G62" s="131">
        <f t="shared" si="2"/>
        <v>0.48769209102779337</v>
      </c>
      <c r="H62" s="97">
        <v>18592791.149999999</v>
      </c>
      <c r="I62" s="131">
        <f t="shared" si="3"/>
        <v>0.60256647491573756</v>
      </c>
      <c r="J62" s="97">
        <v>49824327.469999999</v>
      </c>
      <c r="K62" s="131">
        <f t="shared" si="4"/>
        <v>1.6713964263669909</v>
      </c>
      <c r="L62" s="97">
        <v>39035362.68</v>
      </c>
      <c r="M62" s="131">
        <f t="shared" si="5"/>
        <v>1.2491316057599999</v>
      </c>
      <c r="N62" s="97">
        <v>45400496.520000003</v>
      </c>
      <c r="O62" s="131">
        <f t="shared" si="6"/>
        <v>1.3905205672281777</v>
      </c>
      <c r="P62" s="97">
        <v>25853418.300000001</v>
      </c>
      <c r="Q62" s="131">
        <f t="shared" si="7"/>
        <v>0.81274499528450184</v>
      </c>
      <c r="R62" s="97">
        <v>17425749.960000001</v>
      </c>
      <c r="S62" s="131">
        <f t="shared" si="8"/>
        <v>0.51831498988697211</v>
      </c>
      <c r="T62" s="97">
        <v>18426863.34</v>
      </c>
      <c r="U62" s="131">
        <f t="shared" si="9"/>
        <v>0.53289173602475481</v>
      </c>
      <c r="V62" s="129">
        <v>19618046.830000006</v>
      </c>
      <c r="W62" s="134">
        <f t="shared" si="10"/>
        <v>0.53674546730506167</v>
      </c>
      <c r="X62" s="129">
        <v>27120821.130000003</v>
      </c>
      <c r="Y62" s="134">
        <f t="shared" si="13"/>
        <v>0.68587378306610691</v>
      </c>
      <c r="Z62" s="129">
        <v>27803826.270000003</v>
      </c>
      <c r="AA62" s="134">
        <f t="shared" si="12"/>
        <v>0.65629237035288568</v>
      </c>
      <c r="AB62" s="24"/>
      <c r="BP62" s="471" t="s">
        <v>92</v>
      </c>
      <c r="BQ62" s="473">
        <v>0</v>
      </c>
      <c r="BR62" s="510">
        <v>0</v>
      </c>
      <c r="BS62" s="473">
        <v>0</v>
      </c>
      <c r="BT62" s="510">
        <v>0</v>
      </c>
      <c r="BU62" s="473">
        <v>0</v>
      </c>
      <c r="BV62" s="510">
        <v>0</v>
      </c>
      <c r="BW62" s="473">
        <v>0</v>
      </c>
      <c r="BX62" s="510">
        <v>0</v>
      </c>
    </row>
    <row r="63" spans="1:88" ht="15" customHeight="1">
      <c r="A63" s="23"/>
      <c r="B63" s="23"/>
      <c r="C63" s="80" t="str">
        <f>IF(MasterSheet!$A$1=1,MasterSheet!C119,MasterSheet!B119)</f>
        <v>Ostali izdaci</v>
      </c>
      <c r="D63" s="97">
        <v>3904147.64</v>
      </c>
      <c r="E63" s="131">
        <f t="shared" si="1"/>
        <v>0.18168121550560754</v>
      </c>
      <c r="F63" s="97">
        <v>5748223.0299999993</v>
      </c>
      <c r="G63" s="131">
        <f t="shared" si="2"/>
        <v>0.21444592538705462</v>
      </c>
      <c r="H63" s="97">
        <v>6038203</v>
      </c>
      <c r="I63" s="131">
        <f t="shared" si="3"/>
        <v>0.19568975239823697</v>
      </c>
      <c r="J63" s="97">
        <v>7631912.3799999999</v>
      </c>
      <c r="K63" s="131">
        <f t="shared" si="4"/>
        <v>0.25601853002348207</v>
      </c>
      <c r="L63" s="97">
        <v>5231302.66</v>
      </c>
      <c r="M63" s="131">
        <f t="shared" si="5"/>
        <v>0.16740168512</v>
      </c>
      <c r="N63" s="97">
        <v>5518538.25</v>
      </c>
      <c r="O63" s="131">
        <f t="shared" si="6"/>
        <v>0.16902107963246554</v>
      </c>
      <c r="P63" s="97">
        <v>7005486.3200000003</v>
      </c>
      <c r="Q63" s="131">
        <f t="shared" si="7"/>
        <v>0.2202290575290789</v>
      </c>
      <c r="R63" s="97">
        <v>23613640.459999997</v>
      </c>
      <c r="S63" s="131">
        <f t="shared" si="8"/>
        <v>0.70236884176085645</v>
      </c>
      <c r="T63" s="97">
        <v>29807470.829999998</v>
      </c>
      <c r="U63" s="131">
        <f t="shared" si="9"/>
        <v>0.8620107819775007</v>
      </c>
      <c r="V63" s="129">
        <v>30746760.07</v>
      </c>
      <c r="W63" s="134">
        <f t="shared" si="10"/>
        <v>0.84122462571819423</v>
      </c>
      <c r="X63" s="129">
        <v>34388227.020000003</v>
      </c>
      <c r="Y63" s="134">
        <f t="shared" si="13"/>
        <v>0.86966332051995354</v>
      </c>
      <c r="Z63" s="129">
        <v>38242445.060000002</v>
      </c>
      <c r="AA63" s="134">
        <f t="shared" si="12"/>
        <v>0.90268960368228501</v>
      </c>
      <c r="AB63" s="24"/>
      <c r="BP63" s="471" t="s">
        <v>94</v>
      </c>
      <c r="BQ63" s="473">
        <v>0</v>
      </c>
      <c r="BR63" s="510">
        <v>0</v>
      </c>
      <c r="BS63" s="473">
        <v>0</v>
      </c>
      <c r="BT63" s="510">
        <v>0</v>
      </c>
      <c r="BU63" s="473">
        <v>0</v>
      </c>
      <c r="BV63" s="510">
        <v>0</v>
      </c>
      <c r="BW63" s="473">
        <v>0</v>
      </c>
      <c r="BX63" s="510">
        <v>0</v>
      </c>
    </row>
    <row r="64" spans="1:88" ht="15" customHeight="1">
      <c r="A64" s="23"/>
      <c r="B64" s="23"/>
      <c r="C64" s="80" t="str">
        <f>IF(MasterSheet!$A$1=1,MasterSheet!C120,MasterSheet!B120)</f>
        <v>Kapitalni izdaci u tekućem budžetu</v>
      </c>
      <c r="D64" s="97">
        <v>40141835.139999993</v>
      </c>
      <c r="E64" s="131">
        <f t="shared" si="1"/>
        <v>1.8680178295872305</v>
      </c>
      <c r="F64" s="97">
        <v>0</v>
      </c>
      <c r="G64" s="131">
        <f t="shared" si="2"/>
        <v>0</v>
      </c>
      <c r="H64" s="97">
        <v>68265521.540000007</v>
      </c>
      <c r="I64" s="131">
        <f t="shared" si="3"/>
        <v>2.2123905088151417</v>
      </c>
      <c r="J64" s="97">
        <v>26511453.920000002</v>
      </c>
      <c r="K64" s="131">
        <f t="shared" si="4"/>
        <v>0.88934766588393155</v>
      </c>
      <c r="L64" s="97">
        <v>19371879.949999999</v>
      </c>
      <c r="M64" s="131">
        <f t="shared" si="5"/>
        <v>0.6199001583999999</v>
      </c>
      <c r="N64" s="97">
        <v>10524223.029999999</v>
      </c>
      <c r="O64" s="131">
        <f t="shared" si="6"/>
        <v>0.32233454915773352</v>
      </c>
      <c r="P64" s="97">
        <v>8948881.8499999996</v>
      </c>
      <c r="Q64" s="131">
        <f t="shared" si="7"/>
        <v>0.28132291260609871</v>
      </c>
      <c r="R64" s="97">
        <v>8075119.8499999996</v>
      </c>
      <c r="S64" s="131">
        <f t="shared" si="8"/>
        <v>0.24018797888161808</v>
      </c>
      <c r="T64" s="97">
        <v>66246313.219999999</v>
      </c>
      <c r="U64" s="131">
        <f t="shared" si="9"/>
        <v>1.9157960964747391</v>
      </c>
      <c r="V64" s="129">
        <v>28485480.849999994</v>
      </c>
      <c r="W64" s="134">
        <f t="shared" si="10"/>
        <v>0.77935652120383025</v>
      </c>
      <c r="X64" s="129">
        <v>42089273.07</v>
      </c>
      <c r="Y64" s="134">
        <f t="shared" si="13"/>
        <v>1.0644194292145062</v>
      </c>
      <c r="Z64" s="129">
        <v>36011758.509999998</v>
      </c>
      <c r="AA64" s="134">
        <f t="shared" si="12"/>
        <v>0.85003560745898732</v>
      </c>
      <c r="AB64" s="24"/>
      <c r="BP64" s="471" t="s">
        <v>96</v>
      </c>
      <c r="BQ64" s="473">
        <v>0</v>
      </c>
      <c r="BR64" s="510">
        <v>0</v>
      </c>
      <c r="BS64" s="473">
        <v>0</v>
      </c>
      <c r="BT64" s="510">
        <v>0</v>
      </c>
      <c r="BU64" s="473">
        <v>0</v>
      </c>
      <c r="BV64" s="510">
        <v>0</v>
      </c>
      <c r="BW64" s="473">
        <v>0</v>
      </c>
      <c r="BX64" s="510">
        <v>0</v>
      </c>
    </row>
    <row r="65" spans="1:76" ht="15" customHeight="1">
      <c r="A65" s="23"/>
      <c r="B65" s="23"/>
      <c r="C65" s="80" t="str">
        <f>IF(MasterSheet!$A$1=1,MasterSheet!C121,MasterSheet!B121)</f>
        <v>Transferi za socijalnu zaštitu</v>
      </c>
      <c r="D65" s="97">
        <f>SUM(D66:D70)</f>
        <v>259768574.91000003</v>
      </c>
      <c r="E65" s="131">
        <f t="shared" si="1"/>
        <v>12.088444083484575</v>
      </c>
      <c r="F65" s="97">
        <f>SUM(F66:F70)</f>
        <v>298508977.88999999</v>
      </c>
      <c r="G65" s="131">
        <f t="shared" si="2"/>
        <v>11.136317026301063</v>
      </c>
      <c r="H65" s="97">
        <f>SUM(H66:H70)</f>
        <v>346538078.38999999</v>
      </c>
      <c r="I65" s="131">
        <f t="shared" si="3"/>
        <v>11.230816644736842</v>
      </c>
      <c r="J65" s="97">
        <f>SUM(J66:J70)</f>
        <v>412466515</v>
      </c>
      <c r="K65" s="131">
        <f t="shared" si="4"/>
        <v>13.836515095605501</v>
      </c>
      <c r="L65" s="97">
        <f>SUM(L66:L70)</f>
        <v>423148492.50000012</v>
      </c>
      <c r="M65" s="131">
        <f t="shared" si="5"/>
        <v>13.540751760000003</v>
      </c>
      <c r="N65" s="97">
        <f>SUM(N66:N70)</f>
        <v>454762150.30000001</v>
      </c>
      <c r="O65" s="131">
        <f t="shared" si="6"/>
        <v>13.928396640122513</v>
      </c>
      <c r="P65" s="97">
        <f>SUM(P66:P70)</f>
        <v>481633606.48000002</v>
      </c>
      <c r="Q65" s="131">
        <f t="shared" si="7"/>
        <v>15.140949590694749</v>
      </c>
      <c r="R65" s="97">
        <f>SUM(R66:R70)</f>
        <v>482967769.27999985</v>
      </c>
      <c r="S65" s="131">
        <f t="shared" si="8"/>
        <v>14.36548986555621</v>
      </c>
      <c r="T65" s="97">
        <v>492148010.12000006</v>
      </c>
      <c r="U65" s="131">
        <f t="shared" si="9"/>
        <v>14.232569192862721</v>
      </c>
      <c r="V65" s="120">
        <f>SUM(V66:V70)</f>
        <v>487041860.10000014</v>
      </c>
      <c r="W65" s="134">
        <f t="shared" si="10"/>
        <v>13.325358689466487</v>
      </c>
      <c r="X65" s="120">
        <f>SUM(X66:X70)</f>
        <v>554983220.35000002</v>
      </c>
      <c r="Y65" s="134">
        <f t="shared" si="13"/>
        <v>14.035284516463509</v>
      </c>
      <c r="Z65" s="120">
        <f>SUM(Z66:Z70)</f>
        <v>538050896.17999995</v>
      </c>
      <c r="AA65" s="134">
        <f t="shared" si="12"/>
        <v>12.700363417443643</v>
      </c>
      <c r="AB65" s="24"/>
      <c r="BP65" s="475" t="s">
        <v>99</v>
      </c>
      <c r="BQ65" s="473">
        <v>0</v>
      </c>
      <c r="BR65" s="510">
        <v>0</v>
      </c>
      <c r="BS65" s="473">
        <v>0</v>
      </c>
      <c r="BT65" s="510">
        <v>0</v>
      </c>
      <c r="BU65" s="473">
        <v>0</v>
      </c>
      <c r="BV65" s="510">
        <v>0</v>
      </c>
      <c r="BW65" s="473">
        <v>0</v>
      </c>
      <c r="BX65" s="510">
        <v>0</v>
      </c>
    </row>
    <row r="66" spans="1:76" ht="15" customHeight="1">
      <c r="A66" s="23"/>
      <c r="B66" s="23"/>
      <c r="C66" s="81" t="str">
        <f>IF(MasterSheet!$A$1=1,MasterSheet!C122,MasterSheet!B122)</f>
        <v>Prava iz oblasti socijalne zaštite</v>
      </c>
      <c r="D66" s="99">
        <v>34076058.170000002</v>
      </c>
      <c r="E66" s="131">
        <f t="shared" si="1"/>
        <v>1.5857442491507283</v>
      </c>
      <c r="F66" s="99">
        <v>39187983.710000001</v>
      </c>
      <c r="G66" s="131">
        <f t="shared" si="2"/>
        <v>1.4619654433874278</v>
      </c>
      <c r="H66" s="99">
        <v>42104253.460000001</v>
      </c>
      <c r="I66" s="131">
        <f t="shared" si="3"/>
        <v>1.3645402339901478</v>
      </c>
      <c r="J66" s="99">
        <v>46907484</v>
      </c>
      <c r="K66" s="131">
        <f t="shared" si="4"/>
        <v>1.573548607849715</v>
      </c>
      <c r="L66" s="99">
        <v>51591720.359999999</v>
      </c>
      <c r="M66" s="131">
        <f t="shared" si="5"/>
        <v>1.6509350515199999</v>
      </c>
      <c r="N66" s="99">
        <v>59330834.700000003</v>
      </c>
      <c r="O66" s="131">
        <f t="shared" si="6"/>
        <v>1.8171771730474733</v>
      </c>
      <c r="P66" s="99">
        <v>65188636.469999999</v>
      </c>
      <c r="Q66" s="131">
        <f t="shared" si="7"/>
        <v>2.0493126837472491</v>
      </c>
      <c r="R66" s="99">
        <v>64036543.990000002</v>
      </c>
      <c r="S66" s="131">
        <f t="shared" si="8"/>
        <v>1.9047157641284951</v>
      </c>
      <c r="T66" s="99">
        <v>61864914.020000003</v>
      </c>
      <c r="U66" s="131">
        <f t="shared" si="9"/>
        <v>1.7890891587379623</v>
      </c>
      <c r="V66" s="121">
        <v>60836104.649999991</v>
      </c>
      <c r="W66" s="134">
        <f t="shared" si="10"/>
        <v>1.6644625075239394</v>
      </c>
      <c r="X66" s="121">
        <v>114054928.72</v>
      </c>
      <c r="Y66" s="134">
        <f t="shared" si="13"/>
        <v>2.8843995933437863</v>
      </c>
      <c r="Z66" s="121">
        <v>98704880.719999999</v>
      </c>
      <c r="AA66" s="134">
        <f t="shared" si="12"/>
        <v>2.3298685405405406</v>
      </c>
      <c r="AB66" s="24"/>
      <c r="BP66" s="471" t="s">
        <v>101</v>
      </c>
      <c r="BQ66" s="473">
        <v>0</v>
      </c>
      <c r="BR66" s="510" t="e">
        <v>#DIV/0!</v>
      </c>
      <c r="BS66" s="473">
        <v>0</v>
      </c>
      <c r="BT66" s="510" t="e">
        <v>#DIV/0!</v>
      </c>
      <c r="BU66" s="473">
        <v>0</v>
      </c>
      <c r="BV66" s="510" t="e">
        <v>#DIV/0!</v>
      </c>
      <c r="BW66" s="473">
        <v>0</v>
      </c>
      <c r="BX66" s="510" t="e">
        <v>#DIV/0!</v>
      </c>
    </row>
    <row r="67" spans="1:76" ht="15" customHeight="1">
      <c r="A67" s="23"/>
      <c r="B67" s="23"/>
      <c r="C67" s="81" t="str">
        <f>IF(MasterSheet!$A$1=1,MasterSheet!C123,MasterSheet!B123)</f>
        <v>Sredstva za tehnološke viškove</v>
      </c>
      <c r="D67" s="99">
        <v>9796008.3399999999</v>
      </c>
      <c r="E67" s="131">
        <f t="shared" si="1"/>
        <v>0.45586152636232491</v>
      </c>
      <c r="F67" s="99">
        <v>11417546.32</v>
      </c>
      <c r="G67" s="131">
        <f t="shared" si="2"/>
        <v>0.42594837977989186</v>
      </c>
      <c r="H67" s="99">
        <v>30206318.57</v>
      </c>
      <c r="I67" s="131">
        <f t="shared" si="3"/>
        <v>0.97894472938812538</v>
      </c>
      <c r="J67" s="99">
        <v>19907692</v>
      </c>
      <c r="K67" s="131">
        <f t="shared" si="4"/>
        <v>0.66781925528346198</v>
      </c>
      <c r="L67" s="99">
        <v>20073795.120000001</v>
      </c>
      <c r="M67" s="131">
        <f t="shared" si="5"/>
        <v>0.64236144384000005</v>
      </c>
      <c r="N67" s="99">
        <v>17323007.039999999</v>
      </c>
      <c r="O67" s="131">
        <f t="shared" si="6"/>
        <v>0.5305668312404288</v>
      </c>
      <c r="P67" s="99">
        <v>16130418.140000001</v>
      </c>
      <c r="Q67" s="131">
        <f t="shared" si="7"/>
        <v>0.50708639232945618</v>
      </c>
      <c r="R67" s="99">
        <v>13086355.520000001</v>
      </c>
      <c r="S67" s="131">
        <f t="shared" si="8"/>
        <v>0.38924317430101135</v>
      </c>
      <c r="T67" s="99">
        <v>22587777.399999999</v>
      </c>
      <c r="U67" s="131">
        <f t="shared" si="9"/>
        <v>0.65322240087914629</v>
      </c>
      <c r="V67" s="121">
        <v>16655316.650000002</v>
      </c>
      <c r="W67" s="134">
        <f t="shared" si="10"/>
        <v>0.45568581805745556</v>
      </c>
      <c r="X67" s="121">
        <v>22568289.629999999</v>
      </c>
      <c r="Y67" s="134">
        <f t="shared" si="13"/>
        <v>0.57074223939102731</v>
      </c>
      <c r="Z67" s="121">
        <v>12968450.790000001</v>
      </c>
      <c r="AA67" s="134">
        <f t="shared" si="12"/>
        <v>0.30611237554585152</v>
      </c>
      <c r="AB67" s="24"/>
      <c r="BP67" s="471" t="s">
        <v>103</v>
      </c>
      <c r="BQ67" s="473">
        <v>0</v>
      </c>
      <c r="BR67" s="510" t="e">
        <v>#DIV/0!</v>
      </c>
      <c r="BS67" s="473">
        <v>0</v>
      </c>
      <c r="BT67" s="510" t="e">
        <v>#DIV/0!</v>
      </c>
      <c r="BU67" s="473">
        <v>0</v>
      </c>
      <c r="BV67" s="510" t="e">
        <v>#DIV/0!</v>
      </c>
      <c r="BW67" s="473">
        <v>0</v>
      </c>
      <c r="BX67" s="510" t="e">
        <v>#DIV/0!</v>
      </c>
    </row>
    <row r="68" spans="1:76" ht="15" customHeight="1">
      <c r="A68" s="23"/>
      <c r="B68" s="23"/>
      <c r="C68" s="81" t="str">
        <f>IF(MasterSheet!$A$1=1,MasterSheet!C124,MasterSheet!B124)</f>
        <v>Prava iz oblasti penzijskog i invalidskog osiguranja</v>
      </c>
      <c r="D68" s="99">
        <v>199416686.40000001</v>
      </c>
      <c r="E68" s="131">
        <f t="shared" si="1"/>
        <v>9.2799425938852451</v>
      </c>
      <c r="F68" s="99">
        <v>228365332.86000001</v>
      </c>
      <c r="G68" s="131">
        <f t="shared" si="2"/>
        <v>8.5195050498041418</v>
      </c>
      <c r="H68" s="99">
        <v>250935783.35999998</v>
      </c>
      <c r="I68" s="131">
        <f t="shared" si="3"/>
        <v>8.1324793673839775</v>
      </c>
      <c r="J68" s="99">
        <v>323500545</v>
      </c>
      <c r="K68" s="131">
        <f t="shared" si="4"/>
        <v>10.852081348540759</v>
      </c>
      <c r="L68" s="99">
        <v>330972340.54000008</v>
      </c>
      <c r="M68" s="131">
        <f t="shared" si="5"/>
        <v>10.591114897280002</v>
      </c>
      <c r="N68" s="99">
        <v>356875323.42000002</v>
      </c>
      <c r="O68" s="131">
        <f t="shared" si="6"/>
        <v>10.930331498315468</v>
      </c>
      <c r="P68" s="99">
        <v>378962096.58999997</v>
      </c>
      <c r="Q68" s="131">
        <f t="shared" si="7"/>
        <v>11.913300741590692</v>
      </c>
      <c r="R68" s="99">
        <v>383190248.31999987</v>
      </c>
      <c r="S68" s="131">
        <f t="shared" si="8"/>
        <v>11.397687338488991</v>
      </c>
      <c r="T68" s="99">
        <v>384390842.85000002</v>
      </c>
      <c r="U68" s="131">
        <f t="shared" si="9"/>
        <v>11.116308824720207</v>
      </c>
      <c r="V68" s="121">
        <v>387038896.73000014</v>
      </c>
      <c r="W68" s="134">
        <f t="shared" si="10"/>
        <v>10.589299500136802</v>
      </c>
      <c r="X68" s="121">
        <v>390815475.43000001</v>
      </c>
      <c r="Y68" s="134">
        <f t="shared" si="13"/>
        <v>9.8835535741742966</v>
      </c>
      <c r="Z68" s="121">
        <v>401263898.76999998</v>
      </c>
      <c r="AA68" s="134">
        <f t="shared" si="12"/>
        <v>9.4715897266611595</v>
      </c>
      <c r="AB68" s="24"/>
      <c r="BP68" s="471" t="s">
        <v>105</v>
      </c>
      <c r="BQ68" s="473">
        <v>0</v>
      </c>
      <c r="BR68" s="510" t="e">
        <v>#DIV/0!</v>
      </c>
      <c r="BS68" s="473">
        <v>0</v>
      </c>
      <c r="BT68" s="510" t="e">
        <v>#DIV/0!</v>
      </c>
      <c r="BU68" s="473">
        <v>0</v>
      </c>
      <c r="BV68" s="510" t="e">
        <v>#DIV/0!</v>
      </c>
      <c r="BW68" s="473">
        <v>0</v>
      </c>
      <c r="BX68" s="510" t="e">
        <v>#DIV/0!</v>
      </c>
    </row>
    <row r="69" spans="1:76" ht="15" customHeight="1">
      <c r="A69" s="23"/>
      <c r="B69" s="23"/>
      <c r="C69" s="81" t="str">
        <f>IF(MasterSheet!$A$1=1,MasterSheet!C125,MasterSheet!B125)</f>
        <v>Ostala prava iz oblasti zdravstvene zaštite</v>
      </c>
      <c r="D69" s="99">
        <v>10828245</v>
      </c>
      <c r="E69" s="131">
        <f t="shared" si="1"/>
        <v>0.50389711014937877</v>
      </c>
      <c r="F69" s="99">
        <v>12762198</v>
      </c>
      <c r="G69" s="131">
        <f t="shared" si="2"/>
        <v>0.47611259093452718</v>
      </c>
      <c r="H69" s="99">
        <v>15724080</v>
      </c>
      <c r="I69" s="131">
        <f t="shared" si="3"/>
        <v>0.50959554057557688</v>
      </c>
      <c r="J69" s="99">
        <v>14442818</v>
      </c>
      <c r="K69" s="131">
        <f t="shared" si="4"/>
        <v>0.48449573968466958</v>
      </c>
      <c r="L69" s="99">
        <v>12638749.91</v>
      </c>
      <c r="M69" s="131">
        <f t="shared" si="5"/>
        <v>0.40443999712000006</v>
      </c>
      <c r="N69" s="99">
        <v>12978814.83</v>
      </c>
      <c r="O69" s="131">
        <f t="shared" si="6"/>
        <v>0.39751347105666157</v>
      </c>
      <c r="P69" s="99">
        <v>13497405.869999999</v>
      </c>
      <c r="Q69" s="131">
        <f t="shared" si="7"/>
        <v>0.42431329361835901</v>
      </c>
      <c r="R69" s="99">
        <v>14792096.089999998</v>
      </c>
      <c r="S69" s="131">
        <f t="shared" si="8"/>
        <v>0.43997906276026172</v>
      </c>
      <c r="T69" s="99">
        <v>15215135.74</v>
      </c>
      <c r="U69" s="131">
        <f t="shared" si="9"/>
        <v>0.44001086613262386</v>
      </c>
      <c r="V69" s="121">
        <v>14449999.999999998</v>
      </c>
      <c r="W69" s="134">
        <f t="shared" si="10"/>
        <v>0.39534883720930231</v>
      </c>
      <c r="X69" s="121">
        <v>16279749.999999996</v>
      </c>
      <c r="Y69" s="134">
        <f t="shared" si="13"/>
        <v>0.41170780435992099</v>
      </c>
      <c r="Z69" s="121">
        <v>16489379.109999999</v>
      </c>
      <c r="AA69" s="134">
        <f t="shared" si="12"/>
        <v>0.38922174224005662</v>
      </c>
      <c r="AB69" s="24"/>
      <c r="BP69" s="471" t="s">
        <v>107</v>
      </c>
      <c r="BQ69" s="473">
        <v>0</v>
      </c>
      <c r="BR69" s="510" t="e">
        <v>#DIV/0!</v>
      </c>
      <c r="BS69" s="473">
        <v>0</v>
      </c>
      <c r="BT69" s="510" t="e">
        <v>#DIV/0!</v>
      </c>
      <c r="BU69" s="473">
        <v>0</v>
      </c>
      <c r="BV69" s="510" t="e">
        <v>#DIV/0!</v>
      </c>
      <c r="BW69" s="473">
        <v>0</v>
      </c>
      <c r="BX69" s="510" t="e">
        <v>#DIV/0!</v>
      </c>
    </row>
    <row r="70" spans="1:76" ht="15" customHeight="1">
      <c r="A70" s="23"/>
      <c r="B70" s="23"/>
      <c r="C70" s="81" t="str">
        <f>IF(MasterSheet!$A$1=1,MasterSheet!C126,MasterSheet!B126)</f>
        <v>Ostala prava iz oblasti zdravstvenog osiguranja</v>
      </c>
      <c r="D70" s="99">
        <v>5651577</v>
      </c>
      <c r="E70" s="131">
        <f t="shared" si="1"/>
        <v>0.26299860393689795</v>
      </c>
      <c r="F70" s="99">
        <v>6775917</v>
      </c>
      <c r="G70" s="131">
        <f t="shared" si="2"/>
        <v>0.25278556239507555</v>
      </c>
      <c r="H70" s="99">
        <v>7567643</v>
      </c>
      <c r="I70" s="131">
        <f t="shared" si="3"/>
        <v>0.24525677339901478</v>
      </c>
      <c r="J70" s="99">
        <v>7707976</v>
      </c>
      <c r="K70" s="131">
        <f t="shared" si="4"/>
        <v>0.258570144246897</v>
      </c>
      <c r="L70" s="99">
        <v>7871886.5700000003</v>
      </c>
      <c r="M70" s="131">
        <f t="shared" si="5"/>
        <v>0.25190037024</v>
      </c>
      <c r="N70" s="99">
        <v>8254170.3099999996</v>
      </c>
      <c r="O70" s="131">
        <f t="shared" si="6"/>
        <v>0.25280766646248087</v>
      </c>
      <c r="P70" s="99">
        <v>7855049.4100000001</v>
      </c>
      <c r="Q70" s="131">
        <f t="shared" si="7"/>
        <v>0.24693647940899088</v>
      </c>
      <c r="R70" s="99">
        <v>7862525.3600000013</v>
      </c>
      <c r="S70" s="131">
        <f t="shared" si="8"/>
        <v>0.23386452587745393</v>
      </c>
      <c r="T70" s="99">
        <v>8089340.1100000003</v>
      </c>
      <c r="U70" s="131">
        <f t="shared" si="9"/>
        <v>0.23393794239278176</v>
      </c>
      <c r="V70" s="121">
        <v>8061542.0699999994</v>
      </c>
      <c r="W70" s="134">
        <f t="shared" si="10"/>
        <v>0.22056202653898768</v>
      </c>
      <c r="X70" s="121">
        <v>11264776.57</v>
      </c>
      <c r="Y70" s="134">
        <f t="shared" si="13"/>
        <v>0.28488130519447674</v>
      </c>
      <c r="Z70" s="121">
        <v>8624286.790000001</v>
      </c>
      <c r="AA70" s="134">
        <f t="shared" si="12"/>
        <v>0.20357103245603686</v>
      </c>
      <c r="AB70" s="24"/>
      <c r="BP70" s="471" t="s">
        <v>390</v>
      </c>
      <c r="BQ70" s="473">
        <v>0</v>
      </c>
      <c r="BR70" s="510" t="e">
        <v>#DIV/0!</v>
      </c>
      <c r="BS70" s="473">
        <v>0</v>
      </c>
      <c r="BT70" s="510" t="e">
        <v>#DIV/0!</v>
      </c>
      <c r="BU70" s="473">
        <v>0</v>
      </c>
      <c r="BV70" s="510" t="e">
        <v>#DIV/0!</v>
      </c>
      <c r="BW70" s="473">
        <v>0</v>
      </c>
      <c r="BX70" s="510" t="e">
        <v>#DIV/0!</v>
      </c>
    </row>
    <row r="71" spans="1:76" ht="13.5" thickBot="1">
      <c r="A71" s="23"/>
      <c r="B71" s="23"/>
      <c r="C71" s="82" t="str">
        <f>IF(MasterSheet!$A$1=1,MasterSheet!C127,MasterSheet!B127)</f>
        <v>Transferi institucijama pojedinicima nevladinom i javnom sektoru</v>
      </c>
      <c r="D71" s="97">
        <f>SUM(D72:D77)</f>
        <v>48400132.840000004</v>
      </c>
      <c r="E71" s="131">
        <f t="shared" si="1"/>
        <v>2.2523213197449858</v>
      </c>
      <c r="F71" s="97">
        <f>SUM(F72:F77)</f>
        <v>57507793.979999997</v>
      </c>
      <c r="G71" s="131">
        <f t="shared" si="2"/>
        <v>2.145412944599888</v>
      </c>
      <c r="H71" s="97">
        <f>SUM(H72:H77)</f>
        <v>213711795.17000002</v>
      </c>
      <c r="I71" s="131">
        <f t="shared" si="3"/>
        <v>6.9261017361291159</v>
      </c>
      <c r="J71" s="97">
        <f>SUM(J72:J77)</f>
        <v>204672473</v>
      </c>
      <c r="K71" s="131">
        <f t="shared" si="4"/>
        <v>6.8658997987252599</v>
      </c>
      <c r="L71" s="97">
        <f>SUM(L72:L77)</f>
        <v>174638922.39000002</v>
      </c>
      <c r="M71" s="131">
        <f t="shared" si="5"/>
        <v>5.5884455164800002</v>
      </c>
      <c r="N71" s="97">
        <f>SUM(N72:N77)</f>
        <v>87914180.150000006</v>
      </c>
      <c r="O71" s="131">
        <f t="shared" si="6"/>
        <v>2.6926242006125576</v>
      </c>
      <c r="P71" s="97">
        <f>SUM(P72:P77)</f>
        <v>31512266.289999995</v>
      </c>
      <c r="Q71" s="131">
        <f t="shared" si="7"/>
        <v>0.990640248035209</v>
      </c>
      <c r="R71" s="97">
        <f>SUM(R72:R77)</f>
        <v>94307026.25</v>
      </c>
      <c r="S71" s="131">
        <f t="shared" si="8"/>
        <v>2.8050870389649019</v>
      </c>
      <c r="T71" s="97">
        <v>99048746.079999998</v>
      </c>
      <c r="U71" s="131">
        <f t="shared" si="9"/>
        <v>2.8644190427716243</v>
      </c>
      <c r="V71" s="120">
        <v>136226214.47000006</v>
      </c>
      <c r="W71" s="134">
        <f t="shared" si="10"/>
        <v>3.7271194109439141</v>
      </c>
      <c r="X71" s="120">
        <v>171815385.72</v>
      </c>
      <c r="Y71" s="134">
        <f t="shared" si="13"/>
        <v>4.3451364554144956</v>
      </c>
      <c r="Z71" s="120">
        <v>166881124.75999999</v>
      </c>
      <c r="AA71" s="134">
        <f t="shared" si="12"/>
        <v>3.9391272219992919</v>
      </c>
      <c r="AB71" s="24"/>
      <c r="BP71" s="471" t="s">
        <v>108</v>
      </c>
      <c r="BQ71" s="473">
        <v>0</v>
      </c>
      <c r="BR71" s="510" t="e">
        <v>#DIV/0!</v>
      </c>
      <c r="BS71" s="473">
        <v>0</v>
      </c>
      <c r="BT71" s="510" t="e">
        <v>#DIV/0!</v>
      </c>
      <c r="BU71" s="473">
        <v>0</v>
      </c>
      <c r="BV71" s="510" t="e">
        <v>#DIV/0!</v>
      </c>
      <c r="BW71" s="473">
        <v>0</v>
      </c>
      <c r="BX71" s="510" t="e">
        <v>#DIV/0!</v>
      </c>
    </row>
    <row r="72" spans="1:76" ht="15" hidden="1" customHeight="1" thickTop="1" thickBot="1">
      <c r="A72" s="23"/>
      <c r="B72" s="23"/>
      <c r="C72" s="81" t="str">
        <f>IF(MasterSheet!$A$1=1,MasterSheet!C128,MasterSheet!B128)</f>
        <v>Transferi javnim institucijama</v>
      </c>
      <c r="D72" s="99">
        <v>24580394.890000001</v>
      </c>
      <c r="E72" s="131">
        <f t="shared" si="1"/>
        <v>1.1438594113267253</v>
      </c>
      <c r="F72" s="99">
        <v>30859655.299999997</v>
      </c>
      <c r="G72" s="131">
        <f t="shared" si="2"/>
        <v>1.1512648871479201</v>
      </c>
      <c r="H72" s="99">
        <v>186049189.96000001</v>
      </c>
      <c r="I72" s="131">
        <f t="shared" si="3"/>
        <v>6.0295952151931553</v>
      </c>
      <c r="J72" s="99">
        <v>204672473</v>
      </c>
      <c r="K72" s="131">
        <f t="shared" si="4"/>
        <v>6.8658997987252599</v>
      </c>
      <c r="L72" s="99">
        <v>153781612.11000001</v>
      </c>
      <c r="M72" s="131">
        <f t="shared" si="5"/>
        <v>4.9210115875199998</v>
      </c>
      <c r="N72" s="99">
        <v>68686902.969999999</v>
      </c>
      <c r="O72" s="131">
        <f t="shared" si="6"/>
        <v>2.1037336284839205</v>
      </c>
      <c r="P72" s="99">
        <v>13467068.969999999</v>
      </c>
      <c r="Q72" s="131">
        <f t="shared" si="7"/>
        <v>0.42335960295504549</v>
      </c>
      <c r="R72" s="99">
        <v>67134536</v>
      </c>
      <c r="S72" s="131">
        <f t="shared" si="8"/>
        <v>1.9968630577037478</v>
      </c>
      <c r="T72" s="99">
        <v>73998107</v>
      </c>
      <c r="U72" s="131">
        <f t="shared" si="9"/>
        <v>2.1399724399201827</v>
      </c>
      <c r="V72" s="121">
        <v>107438517</v>
      </c>
      <c r="W72" s="134">
        <f t="shared" si="10"/>
        <v>2.9394943091655268</v>
      </c>
      <c r="X72" s="121"/>
      <c r="Y72" s="128">
        <f t="shared" si="13"/>
        <v>0</v>
      </c>
      <c r="Z72" s="121"/>
      <c r="AA72" s="128">
        <f t="shared" si="12"/>
        <v>0</v>
      </c>
      <c r="AB72" s="24"/>
      <c r="BP72" s="458" t="s">
        <v>130</v>
      </c>
      <c r="BQ72" s="473">
        <v>0</v>
      </c>
      <c r="BR72" s="510">
        <v>0</v>
      </c>
      <c r="BS72" s="473">
        <v>0</v>
      </c>
      <c r="BT72" s="510">
        <v>0</v>
      </c>
      <c r="BU72" s="473">
        <v>0</v>
      </c>
      <c r="BV72" s="510">
        <v>0</v>
      </c>
      <c r="BW72" s="473">
        <v>0</v>
      </c>
      <c r="BX72" s="510">
        <v>0</v>
      </c>
    </row>
    <row r="73" spans="1:76" ht="15" hidden="1" customHeight="1" thickTop="1" thickBot="1">
      <c r="A73" s="23"/>
      <c r="B73" s="23"/>
      <c r="C73" s="81" t="str">
        <f>IF(MasterSheet!$A$1=1,MasterSheet!C129,MasterSheet!B129)</f>
        <v>Transferi nevladinim organizacijama</v>
      </c>
      <c r="D73" s="99">
        <v>3574431.37</v>
      </c>
      <c r="E73" s="131">
        <f t="shared" si="1"/>
        <v>0.16633772488249804</v>
      </c>
      <c r="F73" s="99">
        <v>7039265.6799999988</v>
      </c>
      <c r="G73" s="131">
        <f t="shared" si="2"/>
        <v>0.26261017272896842</v>
      </c>
      <c r="H73" s="99">
        <v>8424788.2100000009</v>
      </c>
      <c r="I73" s="131">
        <f t="shared" si="3"/>
        <v>0.27303565627430648</v>
      </c>
      <c r="J73" s="99">
        <v>0</v>
      </c>
      <c r="K73" s="131">
        <f t="shared" si="4"/>
        <v>0</v>
      </c>
      <c r="L73" s="99">
        <v>4286887.0199999996</v>
      </c>
      <c r="M73" s="131">
        <f t="shared" si="5"/>
        <v>0.13718038463999999</v>
      </c>
      <c r="N73" s="99">
        <v>4915342.76</v>
      </c>
      <c r="O73" s="131">
        <f t="shared" si="6"/>
        <v>0.15054648575803981</v>
      </c>
      <c r="P73" s="99">
        <v>4589753.04</v>
      </c>
      <c r="Q73" s="131">
        <f t="shared" si="7"/>
        <v>0.14428648349575604</v>
      </c>
      <c r="R73" s="99">
        <v>2381216.02</v>
      </c>
      <c r="S73" s="131">
        <f t="shared" si="8"/>
        <v>7.0827365258774533E-2</v>
      </c>
      <c r="T73" s="99">
        <v>2339681</v>
      </c>
      <c r="U73" s="131">
        <f t="shared" si="9"/>
        <v>6.7661904624193872E-2</v>
      </c>
      <c r="V73" s="121">
        <v>2934696</v>
      </c>
      <c r="W73" s="134">
        <f t="shared" si="10"/>
        <v>8.0292640218878247E-2</v>
      </c>
      <c r="X73" s="121"/>
      <c r="Y73" s="128">
        <f t="shared" si="13"/>
        <v>0</v>
      </c>
      <c r="Z73" s="121"/>
      <c r="AA73" s="128">
        <f t="shared" si="12"/>
        <v>0</v>
      </c>
      <c r="AB73" s="24"/>
      <c r="BP73" s="483" t="s">
        <v>110</v>
      </c>
      <c r="BQ73" s="473">
        <v>0</v>
      </c>
      <c r="BR73" s="510">
        <v>0</v>
      </c>
      <c r="BS73" s="473">
        <v>0</v>
      </c>
      <c r="BT73" s="510">
        <v>0</v>
      </c>
      <c r="BU73" s="473">
        <v>0</v>
      </c>
      <c r="BV73" s="510">
        <v>0</v>
      </c>
      <c r="BW73" s="473">
        <v>0</v>
      </c>
      <c r="BX73" s="510">
        <v>0</v>
      </c>
    </row>
    <row r="74" spans="1:76" ht="15" hidden="1" customHeight="1" thickTop="1" thickBot="1">
      <c r="A74" s="23"/>
      <c r="B74" s="23"/>
      <c r="C74" s="81" t="str">
        <f>IF(MasterSheet!$A$1=1,MasterSheet!C130,MasterSheet!B130)</f>
        <v>Transferi pojedincima</v>
      </c>
      <c r="D74" s="99">
        <v>20245306.579999998</v>
      </c>
      <c r="E74" s="131">
        <f t="shared" si="1"/>
        <v>0.94212418353576233</v>
      </c>
      <c r="F74" s="99">
        <v>16556151.310000001</v>
      </c>
      <c r="G74" s="131">
        <f t="shared" si="2"/>
        <v>0.61765160641671335</v>
      </c>
      <c r="H74" s="99">
        <v>16902417.300000001</v>
      </c>
      <c r="I74" s="131">
        <f t="shared" si="3"/>
        <v>0.54778381190044079</v>
      </c>
      <c r="J74" s="99">
        <v>0</v>
      </c>
      <c r="K74" s="131">
        <f t="shared" si="4"/>
        <v>0</v>
      </c>
      <c r="L74" s="99">
        <v>15666835.189999999</v>
      </c>
      <c r="M74" s="131">
        <f t="shared" si="5"/>
        <v>0.50133872607999996</v>
      </c>
      <c r="N74" s="99">
        <v>13244846.4</v>
      </c>
      <c r="O74" s="131">
        <f t="shared" si="6"/>
        <v>0.40566145176110263</v>
      </c>
      <c r="P74" s="99">
        <v>12608423.289999999</v>
      </c>
      <c r="Q74" s="131">
        <f t="shared" si="7"/>
        <v>0.39636665482552652</v>
      </c>
      <c r="R74" s="99">
        <v>23305629</v>
      </c>
      <c r="S74" s="131">
        <f t="shared" si="8"/>
        <v>0.69320728732897086</v>
      </c>
      <c r="T74" s="99">
        <v>20524194</v>
      </c>
      <c r="U74" s="131">
        <f t="shared" si="9"/>
        <v>0.59354504178836864</v>
      </c>
      <c r="V74" s="121">
        <v>25372389</v>
      </c>
      <c r="W74" s="134">
        <f t="shared" si="10"/>
        <v>0.69418300957592338</v>
      </c>
      <c r="X74" s="121"/>
      <c r="Y74" s="128">
        <f t="shared" si="13"/>
        <v>0</v>
      </c>
      <c r="Z74" s="121"/>
      <c r="AA74" s="128">
        <f t="shared" si="12"/>
        <v>0</v>
      </c>
      <c r="AB74" s="24"/>
      <c r="BP74" s="489" t="s">
        <v>117</v>
      </c>
      <c r="BQ74" s="473">
        <v>0</v>
      </c>
      <c r="BR74" s="510">
        <v>0</v>
      </c>
      <c r="BS74" s="473">
        <v>0</v>
      </c>
      <c r="BT74" s="510">
        <v>0</v>
      </c>
      <c r="BU74" s="473">
        <v>0</v>
      </c>
      <c r="BV74" s="510">
        <v>0</v>
      </c>
      <c r="BW74" s="473">
        <v>0</v>
      </c>
      <c r="BX74" s="510">
        <v>0</v>
      </c>
    </row>
    <row r="75" spans="1:76" ht="15" hidden="1" customHeight="1" thickTop="1" thickBot="1">
      <c r="A75" s="23"/>
      <c r="B75" s="23"/>
      <c r="C75" s="81" t="str">
        <f>IF(MasterSheet!$A$1=1,MasterSheet!C131,MasterSheet!B131)</f>
        <v>Transferi opštinama</v>
      </c>
      <c r="D75" s="99"/>
      <c r="E75" s="131">
        <f t="shared" si="1"/>
        <v>0</v>
      </c>
      <c r="F75" s="99">
        <v>2094166.36</v>
      </c>
      <c r="G75" s="131">
        <f t="shared" si="2"/>
        <v>7.8125960082074244E-2</v>
      </c>
      <c r="H75" s="99">
        <v>2285399.7000000002</v>
      </c>
      <c r="I75" s="131">
        <f t="shared" si="3"/>
        <v>7.4066622374902788E-2</v>
      </c>
      <c r="J75" s="99">
        <v>0</v>
      </c>
      <c r="K75" s="131">
        <f t="shared" si="4"/>
        <v>0</v>
      </c>
      <c r="L75" s="99">
        <v>903588.07</v>
      </c>
      <c r="M75" s="131">
        <f t="shared" si="5"/>
        <v>2.8914818239999997E-2</v>
      </c>
      <c r="N75" s="99">
        <v>1067088.02</v>
      </c>
      <c r="O75" s="131">
        <f t="shared" si="6"/>
        <v>3.2682634609494637E-2</v>
      </c>
      <c r="P75" s="99">
        <v>847020.99</v>
      </c>
      <c r="Q75" s="131">
        <f t="shared" si="7"/>
        <v>2.6627506758880853E-2</v>
      </c>
      <c r="R75" s="99">
        <v>1485645.23</v>
      </c>
      <c r="S75" s="131">
        <f t="shared" si="8"/>
        <v>4.4189328673408683E-2</v>
      </c>
      <c r="T75" s="99">
        <v>1836764</v>
      </c>
      <c r="U75" s="131">
        <f t="shared" si="9"/>
        <v>5.3117903930131001E-2</v>
      </c>
      <c r="V75" s="121">
        <v>454930</v>
      </c>
      <c r="W75" s="134">
        <f t="shared" si="10"/>
        <v>1.2446785225718194E-2</v>
      </c>
      <c r="X75" s="121"/>
      <c r="Y75" s="128">
        <f t="shared" si="13"/>
        <v>0</v>
      </c>
      <c r="Z75" s="121"/>
      <c r="AA75" s="128">
        <f t="shared" si="12"/>
        <v>0</v>
      </c>
      <c r="AB75" s="24"/>
      <c r="BP75" s="495" t="s">
        <v>112</v>
      </c>
      <c r="BQ75" s="473">
        <v>0</v>
      </c>
      <c r="BR75" s="510" t="e">
        <v>#DIV/0!</v>
      </c>
      <c r="BS75" s="473">
        <v>0</v>
      </c>
      <c r="BT75" s="510" t="e">
        <v>#DIV/0!</v>
      </c>
      <c r="BU75" s="473">
        <v>0</v>
      </c>
      <c r="BV75" s="510" t="e">
        <v>#DIV/0!</v>
      </c>
      <c r="BW75" s="473">
        <v>0</v>
      </c>
      <c r="BX75" s="510" t="e">
        <v>#DIV/0!</v>
      </c>
    </row>
    <row r="76" spans="1:76" ht="15" hidden="1" customHeight="1" thickTop="1" thickBot="1">
      <c r="A76" s="23"/>
      <c r="B76" s="23"/>
      <c r="C76" s="81" t="s">
        <v>390</v>
      </c>
      <c r="D76" s="99"/>
      <c r="E76" s="131">
        <f t="shared" si="1"/>
        <v>0</v>
      </c>
      <c r="F76" s="99"/>
      <c r="G76" s="131">
        <f t="shared" si="2"/>
        <v>0</v>
      </c>
      <c r="H76" s="99">
        <v>0</v>
      </c>
      <c r="I76" s="131">
        <f t="shared" si="3"/>
        <v>0</v>
      </c>
      <c r="J76" s="99">
        <v>0</v>
      </c>
      <c r="K76" s="131">
        <f t="shared" si="4"/>
        <v>0</v>
      </c>
      <c r="L76" s="99"/>
      <c r="M76" s="131">
        <f t="shared" si="5"/>
        <v>0</v>
      </c>
      <c r="N76" s="99">
        <v>0</v>
      </c>
      <c r="O76" s="131">
        <f t="shared" si="6"/>
        <v>0</v>
      </c>
      <c r="P76" s="99">
        <v>0</v>
      </c>
      <c r="Q76" s="131">
        <f t="shared" si="7"/>
        <v>0</v>
      </c>
      <c r="R76" s="99">
        <v>0</v>
      </c>
      <c r="S76" s="131">
        <f t="shared" si="8"/>
        <v>0</v>
      </c>
      <c r="T76" s="99">
        <v>0</v>
      </c>
      <c r="U76" s="131">
        <f t="shared" si="9"/>
        <v>0</v>
      </c>
      <c r="V76" s="121">
        <v>25682.67</v>
      </c>
      <c r="W76" s="134">
        <f t="shared" si="10"/>
        <v>7.0267222982216141E-4</v>
      </c>
      <c r="X76" s="121"/>
      <c r="Y76" s="128">
        <f t="shared" si="13"/>
        <v>0</v>
      </c>
      <c r="Z76" s="121"/>
      <c r="AA76" s="128">
        <f t="shared" si="12"/>
        <v>0</v>
      </c>
      <c r="AB76" s="24"/>
      <c r="BP76" s="495" t="s">
        <v>115</v>
      </c>
      <c r="BQ76" s="473">
        <v>0</v>
      </c>
      <c r="BR76" s="510" t="e">
        <v>#DIV/0!</v>
      </c>
      <c r="BS76" s="473">
        <v>0</v>
      </c>
      <c r="BT76" s="510" t="e">
        <v>#DIV/0!</v>
      </c>
      <c r="BU76" s="473">
        <v>0</v>
      </c>
      <c r="BV76" s="510" t="e">
        <v>#DIV/0!</v>
      </c>
      <c r="BW76" s="473">
        <v>0</v>
      </c>
      <c r="BX76" s="510" t="e">
        <v>#DIV/0!</v>
      </c>
    </row>
    <row r="77" spans="1:76" ht="15" hidden="1" customHeight="1" thickTop="1" thickBot="1">
      <c r="A77" s="23"/>
      <c r="B77" s="23"/>
      <c r="C77" s="81" t="str">
        <f>IF(MasterSheet!$A$1=1,MasterSheet!C132,MasterSheet!B132)</f>
        <v>Transferi javnim preduzećima</v>
      </c>
      <c r="D77" s="99">
        <v>0</v>
      </c>
      <c r="E77" s="132">
        <f t="shared" si="1"/>
        <v>0</v>
      </c>
      <c r="F77" s="99">
        <v>958555.33</v>
      </c>
      <c r="G77" s="132">
        <f t="shared" si="2"/>
        <v>3.5760318224211898E-2</v>
      </c>
      <c r="H77" s="99">
        <v>50000</v>
      </c>
      <c r="I77" s="132">
        <f t="shared" si="3"/>
        <v>1.6204303863106039E-3</v>
      </c>
      <c r="J77" s="99">
        <v>0</v>
      </c>
      <c r="K77" s="132">
        <f t="shared" si="4"/>
        <v>0</v>
      </c>
      <c r="L77" s="99">
        <v>0</v>
      </c>
      <c r="M77" s="131">
        <f t="shared" si="5"/>
        <v>0</v>
      </c>
      <c r="N77" s="99">
        <v>0</v>
      </c>
      <c r="O77" s="132">
        <f t="shared" si="6"/>
        <v>0</v>
      </c>
      <c r="P77" s="99">
        <v>0</v>
      </c>
      <c r="Q77" s="132">
        <f t="shared" si="7"/>
        <v>0</v>
      </c>
      <c r="R77" s="99">
        <v>0</v>
      </c>
      <c r="S77" s="132">
        <f t="shared" si="8"/>
        <v>0</v>
      </c>
      <c r="T77" s="99">
        <v>350000</v>
      </c>
      <c r="U77" s="132">
        <f t="shared" si="9"/>
        <v>1.0121750195205182E-2</v>
      </c>
      <c r="V77" s="121">
        <v>0</v>
      </c>
      <c r="W77" s="135">
        <f t="shared" si="10"/>
        <v>0</v>
      </c>
      <c r="X77" s="121"/>
      <c r="Y77" s="128">
        <f t="shared" si="13"/>
        <v>0</v>
      </c>
      <c r="Z77" s="121"/>
      <c r="AA77" s="128">
        <f t="shared" si="12"/>
        <v>0</v>
      </c>
      <c r="AB77" s="24"/>
      <c r="BP77" s="464" t="s">
        <v>151</v>
      </c>
      <c r="BQ77" s="473">
        <v>0</v>
      </c>
      <c r="BR77" s="510" t="e">
        <v>#DIV/0!</v>
      </c>
      <c r="BS77" s="473">
        <v>0</v>
      </c>
      <c r="BT77" s="510" t="e">
        <v>#DIV/0!</v>
      </c>
      <c r="BU77" s="473">
        <v>0</v>
      </c>
      <c r="BV77" s="510" t="e">
        <v>#DIV/0!</v>
      </c>
      <c r="BW77" s="473">
        <v>0</v>
      </c>
      <c r="BX77" s="510" t="e">
        <v>#DIV/0!</v>
      </c>
    </row>
    <row r="78" spans="1:76" ht="15" customHeight="1" thickTop="1" thickBot="1">
      <c r="A78" s="23"/>
      <c r="B78" s="23"/>
      <c r="C78" s="79" t="str">
        <f>IF(MasterSheet!$A$1=1,MasterSheet!C133,MasterSheet!B133)</f>
        <v>Kapitalni budžet</v>
      </c>
      <c r="D78" s="94">
        <v>0</v>
      </c>
      <c r="E78" s="95">
        <f t="shared" si="1"/>
        <v>0</v>
      </c>
      <c r="F78" s="94">
        <v>82459238.990000024</v>
      </c>
      <c r="G78" s="96">
        <f t="shared" si="2"/>
        <v>3.076263346017535</v>
      </c>
      <c r="H78" s="94">
        <v>73370859.459999993</v>
      </c>
      <c r="I78" s="95">
        <f t="shared" si="3"/>
        <v>2.3778474027741763</v>
      </c>
      <c r="J78" s="94">
        <v>112364696.64</v>
      </c>
      <c r="K78" s="96">
        <f t="shared" si="4"/>
        <v>3.7693625172760821</v>
      </c>
      <c r="L78" s="94">
        <v>63250368.810000002</v>
      </c>
      <c r="M78" s="149">
        <f t="shared" si="5"/>
        <v>2.02401180192</v>
      </c>
      <c r="N78" s="94">
        <v>67115187.969999999</v>
      </c>
      <c r="O78" s="95">
        <f t="shared" si="6"/>
        <v>2.0555953436447165</v>
      </c>
      <c r="P78" s="126">
        <v>58737973</v>
      </c>
      <c r="Q78" s="95">
        <f t="shared" si="7"/>
        <v>1.8465254008173533</v>
      </c>
      <c r="R78" s="94">
        <v>77219227.430000007</v>
      </c>
      <c r="S78" s="95">
        <f t="shared" si="8"/>
        <v>2.2968241353361099</v>
      </c>
      <c r="T78" s="94">
        <v>67725837.019999996</v>
      </c>
      <c r="U78" s="95">
        <f t="shared" si="9"/>
        <v>1.9585828687931981</v>
      </c>
      <c r="V78" s="119">
        <v>228003108.56999999</v>
      </c>
      <c r="W78" s="128">
        <f t="shared" si="10"/>
        <v>6.2381151455540351</v>
      </c>
      <c r="X78" s="119">
        <v>64819445</v>
      </c>
      <c r="Y78" s="128">
        <f t="shared" si="13"/>
        <v>1.6392556016387636</v>
      </c>
      <c r="Z78" s="119">
        <v>251876566.97</v>
      </c>
      <c r="AA78" s="128">
        <f t="shared" si="12"/>
        <v>5.9453928235571816</v>
      </c>
      <c r="AB78" s="24"/>
      <c r="BP78" s="458" t="s">
        <v>131</v>
      </c>
      <c r="BQ78" s="473">
        <v>18258430.853873014</v>
      </c>
      <c r="BR78" s="510">
        <v>-9.2623002005120298</v>
      </c>
      <c r="BS78" s="473">
        <v>17893273.018456936</v>
      </c>
      <c r="BT78" s="510">
        <v>-16.044297456202429</v>
      </c>
      <c r="BU78" s="473">
        <v>19253460.149532795</v>
      </c>
      <c r="BV78" s="510">
        <v>-62.057045415999404</v>
      </c>
      <c r="BW78" s="473">
        <v>18234081.848795176</v>
      </c>
      <c r="BX78" s="510">
        <v>8.9951605452281598</v>
      </c>
    </row>
    <row r="79" spans="1:76" ht="15" customHeight="1" thickTop="1" thickBot="1">
      <c r="A79" s="23"/>
      <c r="B79" s="23"/>
      <c r="C79" s="83" t="str">
        <f>IF(MasterSheet!$A$1=1,MasterSheet!C134,MasterSheet!B134)</f>
        <v>Pozajmice i krediti</v>
      </c>
      <c r="D79" s="97">
        <v>15376170.280000001</v>
      </c>
      <c r="E79" s="130">
        <f t="shared" si="1"/>
        <v>0.71553679929266145</v>
      </c>
      <c r="F79" s="145">
        <v>7854938.71</v>
      </c>
      <c r="G79" s="146">
        <f t="shared" si="2"/>
        <v>0.29304005633277375</v>
      </c>
      <c r="H79" s="145">
        <v>62542537.890000001</v>
      </c>
      <c r="I79" s="137">
        <f t="shared" si="3"/>
        <v>2.026916576678766</v>
      </c>
      <c r="J79" s="145">
        <v>17652931</v>
      </c>
      <c r="K79" s="146">
        <f t="shared" si="4"/>
        <v>0.59218151626970816</v>
      </c>
      <c r="L79" s="145">
        <v>4074638.38</v>
      </c>
      <c r="M79" s="137">
        <f t="shared" si="5"/>
        <v>0.13038842815999999</v>
      </c>
      <c r="N79" s="145">
        <v>2091768.6</v>
      </c>
      <c r="O79" s="137">
        <f t="shared" si="6"/>
        <v>6.4066419601837676E-2</v>
      </c>
      <c r="P79" s="145">
        <v>1775633.69</v>
      </c>
      <c r="Q79" s="137">
        <f t="shared" si="7"/>
        <v>5.5819983967305871E-2</v>
      </c>
      <c r="R79" s="145">
        <v>2752781.98</v>
      </c>
      <c r="S79" s="137">
        <f t="shared" si="8"/>
        <v>8.1879297441998816E-2</v>
      </c>
      <c r="T79" s="145">
        <v>2484899.77</v>
      </c>
      <c r="U79" s="137">
        <f t="shared" si="9"/>
        <v>7.1861527805893749E-2</v>
      </c>
      <c r="V79" s="147">
        <v>2975830.1199999996</v>
      </c>
      <c r="W79" s="139">
        <f t="shared" si="10"/>
        <v>8.1418060738714076E-2</v>
      </c>
      <c r="X79" s="147">
        <v>2868099.3</v>
      </c>
      <c r="Y79" s="134">
        <f t="shared" si="13"/>
        <v>7.2532985180314591E-2</v>
      </c>
      <c r="Z79" s="147">
        <v>4857410.76</v>
      </c>
      <c r="AA79" s="134">
        <f>Z79/Z$11*100</f>
        <v>0.11465621999291868</v>
      </c>
      <c r="AB79" s="24"/>
      <c r="BP79" s="458" t="s">
        <v>394</v>
      </c>
      <c r="BQ79" s="473">
        <v>18258430.853873014</v>
      </c>
      <c r="BR79" s="510">
        <v>-9.2623002005120298</v>
      </c>
      <c r="BS79" s="473">
        <v>17893273.018456936</v>
      </c>
      <c r="BT79" s="510">
        <v>-16.044297456202429</v>
      </c>
      <c r="BU79" s="473">
        <v>19253460.149532795</v>
      </c>
      <c r="BV79" s="510">
        <v>-62.057045415999404</v>
      </c>
      <c r="BW79" s="473">
        <v>18234081.848795176</v>
      </c>
      <c r="BX79" s="510">
        <v>8.9951605452281598</v>
      </c>
    </row>
    <row r="80" spans="1:76" ht="15" customHeight="1" thickTop="1" thickBot="1">
      <c r="A80" s="23"/>
      <c r="B80" s="23"/>
      <c r="C80" s="84" t="str">
        <f>IF(MasterSheet!$A$1=1,MasterSheet!C135,MasterSheet!B135)</f>
        <v>Rezerve</v>
      </c>
      <c r="D80" s="100">
        <v>27204434.309999999</v>
      </c>
      <c r="E80" s="138">
        <f t="shared" ref="E80:E96" si="14">D80/$D$11*100</f>
        <v>1.2659702317464749</v>
      </c>
      <c r="F80" s="100">
        <v>10844803.16</v>
      </c>
      <c r="G80" s="144">
        <f t="shared" ref="G80:G96" si="15">F80/$F$11*100</f>
        <v>0.40458135273269918</v>
      </c>
      <c r="H80" s="100">
        <v>12437562.109999999</v>
      </c>
      <c r="I80" s="138">
        <f t="shared" ref="I80:I96" si="16">H80/$H$11*100</f>
        <v>0.40308407149338865</v>
      </c>
      <c r="J80" s="100">
        <v>10901702</v>
      </c>
      <c r="K80" s="144">
        <f t="shared" ref="K80:K96" si="17">J80/$J$11*100</f>
        <v>0.36570620597115061</v>
      </c>
      <c r="L80" s="100">
        <v>12589952.310000001</v>
      </c>
      <c r="M80" s="138">
        <f t="shared" ref="M80:M96" si="18">L80/$L$11*100</f>
        <v>0.40287847392000004</v>
      </c>
      <c r="N80" s="100">
        <v>11789476.779999999</v>
      </c>
      <c r="O80" s="138">
        <f t="shared" ref="O80:O96" si="19">N80/$N$11*100</f>
        <v>0.36108657825421131</v>
      </c>
      <c r="P80" s="100">
        <v>18078018.460000001</v>
      </c>
      <c r="Q80" s="138">
        <f t="shared" ref="Q80:Q96" si="20">P80/P$11*100</f>
        <v>0.56831243193964165</v>
      </c>
      <c r="R80" s="100">
        <v>14126844.789999999</v>
      </c>
      <c r="S80" s="138">
        <f t="shared" ref="S80:S96" si="21">R80/R$11*100</f>
        <v>0.4201916951219512</v>
      </c>
      <c r="T80" s="100">
        <v>13532542.720000001</v>
      </c>
      <c r="U80" s="138">
        <f t="shared" ref="U80:U96" si="22">T80/T$11*100</f>
        <v>0.39135147690794997</v>
      </c>
      <c r="V80" s="123">
        <v>16643694.030000001</v>
      </c>
      <c r="W80" s="140">
        <f t="shared" ref="W80:W96" si="23">V80/V$11*100</f>
        <v>0.45536782571819429</v>
      </c>
      <c r="X80" s="123">
        <v>18898013.969999999</v>
      </c>
      <c r="Y80" s="134">
        <f t="shared" si="13"/>
        <v>0.47792256259167459</v>
      </c>
      <c r="Z80" s="123">
        <v>19683829.93</v>
      </c>
      <c r="AA80" s="134">
        <f t="shared" ref="AA80:AA96" si="24">Z80/Z$11*100</f>
        <v>0.46462480656202049</v>
      </c>
      <c r="AB80" s="24"/>
      <c r="BP80" s="458" t="s">
        <v>132</v>
      </c>
      <c r="BQ80" s="473">
        <v>18258430.853873014</v>
      </c>
      <c r="BR80" s="510">
        <v>-17.942166657401742</v>
      </c>
      <c r="BS80" s="473">
        <v>17893273.018456936</v>
      </c>
      <c r="BT80" s="510">
        <v>-78.088170928511886</v>
      </c>
      <c r="BU80" s="473">
        <v>19253460.149532795</v>
      </c>
      <c r="BV80" s="510">
        <v>31.874173697235278</v>
      </c>
      <c r="BW80" s="473">
        <v>18234081.848795176</v>
      </c>
      <c r="BX80" s="510">
        <v>6.1991185917560756</v>
      </c>
    </row>
    <row r="81" spans="1:76" ht="15" customHeight="1" thickTop="1" thickBot="1">
      <c r="A81" s="23"/>
      <c r="B81" s="23"/>
      <c r="C81" s="85" t="str">
        <f>IF(MasterSheet!$A$1=1,MasterSheet!C144,MasterSheet!B144)</f>
        <v>Otplata garancija</v>
      </c>
      <c r="D81" s="101">
        <v>1050939.44</v>
      </c>
      <c r="E81" s="141">
        <f t="shared" si="14"/>
        <v>4.8905925822513845E-2</v>
      </c>
      <c r="F81" s="101">
        <v>0</v>
      </c>
      <c r="G81" s="142">
        <f t="shared" si="15"/>
        <v>0</v>
      </c>
      <c r="H81" s="101">
        <v>50207</v>
      </c>
      <c r="I81" s="141">
        <f t="shared" si="16"/>
        <v>1.6271389681099299E-3</v>
      </c>
      <c r="J81" s="101">
        <v>1769094</v>
      </c>
      <c r="K81" s="142">
        <f t="shared" si="17"/>
        <v>5.9345655820194562E-2</v>
      </c>
      <c r="L81" s="101">
        <v>0</v>
      </c>
      <c r="M81" s="141">
        <f t="shared" si="18"/>
        <v>0</v>
      </c>
      <c r="N81" s="101">
        <v>33915163.380000003</v>
      </c>
      <c r="O81" s="141">
        <f t="shared" si="19"/>
        <v>1.0387492612557427</v>
      </c>
      <c r="P81" s="101">
        <v>24719832.629999999</v>
      </c>
      <c r="Q81" s="141">
        <f t="shared" si="20"/>
        <v>0.77710885350518699</v>
      </c>
      <c r="R81" s="101">
        <v>107230592.5</v>
      </c>
      <c r="S81" s="141">
        <f t="shared" si="21"/>
        <v>3.1894881766805474</v>
      </c>
      <c r="T81" s="101">
        <v>15258930.949999999</v>
      </c>
      <c r="U81" s="141">
        <f t="shared" si="22"/>
        <v>0.44127739234795682</v>
      </c>
      <c r="V81" s="124">
        <v>0</v>
      </c>
      <c r="W81" s="143">
        <f t="shared" si="23"/>
        <v>0</v>
      </c>
      <c r="X81" s="124">
        <v>0</v>
      </c>
      <c r="Y81" s="417">
        <f t="shared" si="13"/>
        <v>0</v>
      </c>
      <c r="Z81" s="124">
        <v>0</v>
      </c>
      <c r="AA81" s="417">
        <f t="shared" si="24"/>
        <v>0</v>
      </c>
      <c r="AB81" s="24"/>
      <c r="BP81" s="458" t="s">
        <v>0</v>
      </c>
      <c r="BQ81" s="473">
        <v>0</v>
      </c>
      <c r="BR81" s="510">
        <v>0</v>
      </c>
      <c r="BS81" s="473">
        <v>0</v>
      </c>
      <c r="BT81" s="510">
        <v>0</v>
      </c>
      <c r="BU81" s="473">
        <v>0</v>
      </c>
      <c r="BV81" s="510">
        <v>0</v>
      </c>
      <c r="BW81" s="473">
        <v>0</v>
      </c>
      <c r="BX81" s="510">
        <v>0</v>
      </c>
    </row>
    <row r="82" spans="1:76" ht="15" customHeight="1" thickTop="1" thickBot="1">
      <c r="A82" s="23"/>
      <c r="B82" s="23"/>
      <c r="C82" s="85" t="str">
        <f>IF(MasterSheet!$A$1=1,MasterSheet!C143,MasterSheet!B145)</f>
        <v>Nedostajuća sredstva</v>
      </c>
      <c r="D82" s="101">
        <v>0</v>
      </c>
      <c r="E82" s="141">
        <f t="shared" si="14"/>
        <v>0</v>
      </c>
      <c r="F82" s="101">
        <v>0</v>
      </c>
      <c r="G82" s="142">
        <f t="shared" si="15"/>
        <v>0</v>
      </c>
      <c r="H82" s="101">
        <v>0</v>
      </c>
      <c r="I82" s="141">
        <f t="shared" si="16"/>
        <v>0</v>
      </c>
      <c r="J82" s="101">
        <v>29123695</v>
      </c>
      <c r="K82" s="142">
        <f t="shared" si="17"/>
        <v>0.97697735659174767</v>
      </c>
      <c r="L82" s="101">
        <v>29801619</v>
      </c>
      <c r="M82" s="141">
        <f t="shared" si="18"/>
        <v>0.95365180800000005</v>
      </c>
      <c r="N82" s="101">
        <v>29193709</v>
      </c>
      <c r="O82" s="141">
        <f t="shared" si="19"/>
        <v>0.89414116385911169</v>
      </c>
      <c r="P82" s="101">
        <v>33114247</v>
      </c>
      <c r="Q82" s="141">
        <f t="shared" si="20"/>
        <v>1.0410011631562401</v>
      </c>
      <c r="R82" s="101">
        <v>60543190.100000001</v>
      </c>
      <c r="S82" s="141">
        <f t="shared" si="21"/>
        <v>1.800808747769185</v>
      </c>
      <c r="T82" s="101">
        <v>65221299.670000002</v>
      </c>
      <c r="U82" s="141">
        <f t="shared" si="22"/>
        <v>1.8861534361895951</v>
      </c>
      <c r="V82" s="124">
        <v>77407937.149999946</v>
      </c>
      <c r="W82" s="143">
        <f t="shared" si="23"/>
        <v>2.1178642175102587</v>
      </c>
      <c r="X82" s="124">
        <v>69262528.650000006</v>
      </c>
      <c r="Y82" s="417">
        <f t="shared" si="13"/>
        <v>1.7516192567396691</v>
      </c>
      <c r="Z82" s="124">
        <v>39960824.650000006</v>
      </c>
      <c r="AA82" s="417">
        <f t="shared" si="24"/>
        <v>0.9432509064085921</v>
      </c>
      <c r="AB82" s="24"/>
      <c r="AG82" s="10"/>
      <c r="AH82" s="10"/>
      <c r="BN82" s="471" t="s">
        <v>134</v>
      </c>
      <c r="BO82" s="473">
        <v>0</v>
      </c>
      <c r="BP82" s="510">
        <v>0</v>
      </c>
      <c r="BQ82" s="473">
        <v>0</v>
      </c>
      <c r="BR82" s="510">
        <v>0</v>
      </c>
      <c r="BS82" s="473">
        <v>0</v>
      </c>
      <c r="BT82" s="510">
        <v>0</v>
      </c>
      <c r="BU82" s="473">
        <v>0</v>
      </c>
      <c r="BV82" s="510">
        <v>0</v>
      </c>
    </row>
    <row r="83" spans="1:76" ht="15" customHeight="1" thickTop="1" thickBot="1">
      <c r="A83" s="23"/>
      <c r="B83" s="23"/>
      <c r="C83" s="80" t="str">
        <f>IF(MasterSheet!$A$1=1,MasterSheet!C136,MasterSheet!B136)</f>
        <v>Neto povećanje obaveza</v>
      </c>
      <c r="D83" s="97">
        <v>0</v>
      </c>
      <c r="E83" s="141">
        <f t="shared" si="14"/>
        <v>0</v>
      </c>
      <c r="F83" s="97">
        <v>0</v>
      </c>
      <c r="G83" s="142">
        <f t="shared" si="15"/>
        <v>0</v>
      </c>
      <c r="H83" s="97">
        <v>0</v>
      </c>
      <c r="I83" s="141">
        <f t="shared" si="16"/>
        <v>0</v>
      </c>
      <c r="J83" s="97">
        <v>0</v>
      </c>
      <c r="K83" s="142">
        <f t="shared" si="17"/>
        <v>0</v>
      </c>
      <c r="L83" s="97">
        <v>0</v>
      </c>
      <c r="M83" s="141">
        <f t="shared" si="18"/>
        <v>0</v>
      </c>
      <c r="N83" s="97">
        <v>0</v>
      </c>
      <c r="O83" s="141">
        <f t="shared" si="19"/>
        <v>0</v>
      </c>
      <c r="P83" s="100">
        <v>0</v>
      </c>
      <c r="Q83" s="141">
        <f t="shared" si="20"/>
        <v>0</v>
      </c>
      <c r="R83" s="97">
        <v>14438105.227300003</v>
      </c>
      <c r="S83" s="141">
        <f t="shared" si="21"/>
        <v>0.42944988778405718</v>
      </c>
      <c r="T83" s="97">
        <v>4091274.1600000113</v>
      </c>
      <c r="U83" s="141">
        <f t="shared" si="22"/>
        <v>0.11831672865033724</v>
      </c>
      <c r="V83" s="120">
        <v>-15133946.66</v>
      </c>
      <c r="W83" s="143">
        <f t="shared" si="23"/>
        <v>-0.41406146812585504</v>
      </c>
      <c r="X83" s="120">
        <v>-12686256.23</v>
      </c>
      <c r="Y83" s="417">
        <f t="shared" si="13"/>
        <v>-0.32082990819887719</v>
      </c>
      <c r="Z83" s="120">
        <v>13993228.51</v>
      </c>
      <c r="AA83" s="417">
        <f t="shared" si="24"/>
        <v>0.33030162893898263</v>
      </c>
      <c r="AB83" s="24"/>
      <c r="AG83" s="10"/>
      <c r="AH83" s="10"/>
      <c r="BN83" s="471" t="s">
        <v>136</v>
      </c>
      <c r="BO83" s="473">
        <v>0</v>
      </c>
      <c r="BP83" s="510">
        <v>0</v>
      </c>
      <c r="BQ83" s="473">
        <v>0</v>
      </c>
      <c r="BR83" s="510">
        <v>0</v>
      </c>
      <c r="BS83" s="473">
        <v>0</v>
      </c>
      <c r="BT83" s="510">
        <v>0</v>
      </c>
      <c r="BU83" s="473">
        <v>0</v>
      </c>
      <c r="BV83" s="510">
        <v>0</v>
      </c>
    </row>
    <row r="84" spans="1:76" s="15" customFormat="1" ht="15" customHeight="1" thickTop="1" thickBot="1">
      <c r="A84" s="23"/>
      <c r="B84" s="23"/>
      <c r="C84" s="79" t="str">
        <f>IF(MasterSheet!$A$1=1,MasterSheet!C137,MasterSheet!B137)</f>
        <v>Suficit/ Deficit</v>
      </c>
      <c r="D84" s="94">
        <f>D15-D48</f>
        <v>73188874.71999979</v>
      </c>
      <c r="E84" s="95">
        <f t="shared" si="14"/>
        <v>3.4058762492437897</v>
      </c>
      <c r="F84" s="94">
        <f>F15-F48</f>
        <v>176962896.35999978</v>
      </c>
      <c r="G84" s="96">
        <f t="shared" si="15"/>
        <v>6.6018614571908145</v>
      </c>
      <c r="H84" s="94">
        <f>H15-H48</f>
        <v>15119711.529999733</v>
      </c>
      <c r="I84" s="95">
        <f t="shared" si="16"/>
        <v>0.49000879990924728</v>
      </c>
      <c r="J84" s="94">
        <f>J15-J48</f>
        <v>-132095524.85449982</v>
      </c>
      <c r="K84" s="96">
        <f t="shared" si="17"/>
        <v>-4.4312487371519564</v>
      </c>
      <c r="L84" s="94">
        <f>L15-L48</f>
        <v>-112243831.52999973</v>
      </c>
      <c r="M84" s="95">
        <f t="shared" si="18"/>
        <v>-3.5918026089599917</v>
      </c>
      <c r="N84" s="94">
        <f>N15-N48</f>
        <v>-189673593.86999989</v>
      </c>
      <c r="O84" s="95">
        <f t="shared" si="19"/>
        <v>-5.8092984339969336</v>
      </c>
      <c r="P84" s="126">
        <f>P15-P48</f>
        <v>-195556242.07000017</v>
      </c>
      <c r="Q84" s="95">
        <f t="shared" si="20"/>
        <v>-6.1476341424080534</v>
      </c>
      <c r="R84" s="94">
        <f>R15-R48</f>
        <v>-201262338.71999955</v>
      </c>
      <c r="S84" s="95">
        <f t="shared" si="21"/>
        <v>-5.9863872314098625</v>
      </c>
      <c r="T84" s="94">
        <f>T15-T48</f>
        <v>-103023527.58999991</v>
      </c>
      <c r="U84" s="95">
        <f t="shared" si="22"/>
        <v>-2.9793668871280232</v>
      </c>
      <c r="V84" s="119">
        <f>V15-V48</f>
        <v>-291250066.39999986</v>
      </c>
      <c r="W84" s="128">
        <f t="shared" si="23"/>
        <v>-7.9685380683994484</v>
      </c>
      <c r="X84" s="119">
        <f>X15-X48</f>
        <v>-134957426.57999992</v>
      </c>
      <c r="Y84" s="128">
        <f t="shared" si="13"/>
        <v>-3.4130146826159509</v>
      </c>
      <c r="Z84" s="119">
        <f>Z15-Z48</f>
        <v>-236866092.40999961</v>
      </c>
      <c r="AA84" s="128">
        <f t="shared" si="24"/>
        <v>-5.5910797217042276</v>
      </c>
      <c r="AB84" s="24"/>
      <c r="AC84" s="23"/>
      <c r="AD84" s="23"/>
      <c r="AE84" s="23"/>
      <c r="AF84" s="23"/>
      <c r="BN84" s="471" t="s">
        <v>115</v>
      </c>
      <c r="BO84" s="473">
        <v>0</v>
      </c>
      <c r="BP84" s="510">
        <v>0</v>
      </c>
      <c r="BQ84" s="473">
        <v>0</v>
      </c>
      <c r="BR84" s="510">
        <v>0</v>
      </c>
      <c r="BS84" s="473">
        <v>0</v>
      </c>
      <c r="BT84" s="510">
        <v>0</v>
      </c>
      <c r="BU84" s="473">
        <v>0</v>
      </c>
      <c r="BV84" s="510">
        <v>0</v>
      </c>
    </row>
    <row r="85" spans="1:76" s="15" customFormat="1" ht="15" customHeight="1" thickTop="1" thickBot="1">
      <c r="A85" s="23"/>
      <c r="B85" s="23"/>
      <c r="C85" s="79" t="str">
        <f>IF(MasterSheet!$A$1=1,MasterSheet!C139,MasterSheet!B139)</f>
        <v>Korigovani deficit/ suficit</v>
      </c>
      <c r="D85" s="94"/>
      <c r="E85" s="95"/>
      <c r="F85" s="94"/>
      <c r="G85" s="96"/>
      <c r="H85" s="94"/>
      <c r="I85" s="95"/>
      <c r="J85" s="94"/>
      <c r="K85" s="96"/>
      <c r="L85" s="94"/>
      <c r="M85" s="95"/>
      <c r="N85" s="94"/>
      <c r="O85" s="95"/>
      <c r="P85" s="94"/>
      <c r="Q85" s="95"/>
      <c r="R85" s="94">
        <f>R84-R83</f>
        <v>-215700443.94729954</v>
      </c>
      <c r="S85" s="95">
        <f t="shared" si="21"/>
        <v>-6.4158371191939176</v>
      </c>
      <c r="T85" s="94">
        <f>T84-T83</f>
        <v>-107114801.74999993</v>
      </c>
      <c r="U85" s="95">
        <f t="shared" si="22"/>
        <v>-3.0976836157783603</v>
      </c>
      <c r="V85" s="119">
        <f>V84-V83</f>
        <v>-276116119.73999983</v>
      </c>
      <c r="W85" s="128">
        <f t="shared" si="23"/>
        <v>-7.5544766002735937</v>
      </c>
      <c r="X85" s="119">
        <f>X84-X83</f>
        <v>-122271170.34999992</v>
      </c>
      <c r="Y85" s="128">
        <f t="shared" si="13"/>
        <v>-3.0921847744170736</v>
      </c>
      <c r="Z85" s="119">
        <f>Z84-Z83</f>
        <v>-250859320.9199996</v>
      </c>
      <c r="AA85" s="128">
        <f t="shared" si="24"/>
        <v>-5.9213813506432098</v>
      </c>
      <c r="AB85" s="24"/>
      <c r="AC85" s="23"/>
      <c r="AD85" s="23"/>
      <c r="AE85" s="23"/>
      <c r="AF85" s="23"/>
      <c r="BN85" s="458" t="s">
        <v>140</v>
      </c>
      <c r="BO85" s="473">
        <v>18258430.853873014</v>
      </c>
      <c r="BP85" s="510">
        <v>-4.3728388779293539</v>
      </c>
      <c r="BQ85" s="473">
        <v>17893273.018456936</v>
      </c>
      <c r="BR85" s="510">
        <v>-5.475730178325378</v>
      </c>
      <c r="BS85" s="473">
        <v>19253460.149532795</v>
      </c>
      <c r="BT85" s="510">
        <v>-3.4360597951796734</v>
      </c>
      <c r="BU85" s="473">
        <v>18234081.848795176</v>
      </c>
      <c r="BV85" s="510">
        <v>-3.2747986534921267</v>
      </c>
    </row>
    <row r="86" spans="1:76" s="15" customFormat="1" ht="15" customHeight="1" thickTop="1" thickBot="1">
      <c r="A86" s="23"/>
      <c r="B86" s="23"/>
      <c r="C86" s="79" t="str">
        <f>IF(MasterSheet!$A$1=1,MasterSheet!C138,MasterSheet!B138)</f>
        <v>Primarni deficit</v>
      </c>
      <c r="D86" s="94">
        <f>D84-D60</f>
        <v>49789880.659999788</v>
      </c>
      <c r="E86" s="95">
        <f t="shared" si="14"/>
        <v>2.3169938415002926</v>
      </c>
      <c r="F86" s="94">
        <f>F84-F60</f>
        <v>149863966.87999979</v>
      </c>
      <c r="G86" s="96">
        <f t="shared" si="15"/>
        <v>5.5908959850774025</v>
      </c>
      <c r="H86" s="94">
        <f>H84-H60</f>
        <v>-7412282.3100002669</v>
      </c>
      <c r="I86" s="95">
        <f t="shared" si="16"/>
        <v>-0.24022174974073976</v>
      </c>
      <c r="J86" s="94">
        <f>J84+J60</f>
        <v>-107583496.21449982</v>
      </c>
      <c r="K86" s="96">
        <f t="shared" si="17"/>
        <v>-3.608973371838303</v>
      </c>
      <c r="L86" s="94">
        <f>L84+L60</f>
        <v>-81987553.059999734</v>
      </c>
      <c r="M86" s="95">
        <f t="shared" si="18"/>
        <v>-2.6236016979199919</v>
      </c>
      <c r="N86" s="94">
        <f>N84+N60</f>
        <v>-144581243.83999988</v>
      </c>
      <c r="O86" s="95">
        <f t="shared" si="19"/>
        <v>-4.4282157378254174</v>
      </c>
      <c r="P86" s="126">
        <f>P84+P60</f>
        <v>-138696387.53000018</v>
      </c>
      <c r="Q86" s="95">
        <f t="shared" si="20"/>
        <v>-4.3601505039295878</v>
      </c>
      <c r="R86" s="94">
        <f>R85+R60</f>
        <v>-147777668.40729952</v>
      </c>
      <c r="S86" s="95">
        <f t="shared" si="21"/>
        <v>-4.3955285070582839</v>
      </c>
      <c r="T86" s="94">
        <f>T85+T60</f>
        <v>-31598406.339999929</v>
      </c>
      <c r="U86" s="95">
        <f t="shared" si="22"/>
        <v>-0.91380335868590568</v>
      </c>
      <c r="V86" s="119">
        <f>V85+V60</f>
        <v>-194313369.98999983</v>
      </c>
      <c r="W86" s="128">
        <f t="shared" si="23"/>
        <v>-5.3163712719562195</v>
      </c>
      <c r="X86" s="119">
        <f>X85+X60</f>
        <v>-40695089.699999914</v>
      </c>
      <c r="Y86" s="128">
        <f t="shared" si="13"/>
        <v>-1.0291611375246552</v>
      </c>
      <c r="Z86" s="119">
        <f>Z85+Z60</f>
        <v>-152153942.33999959</v>
      </c>
      <c r="AA86" s="128">
        <f t="shared" si="24"/>
        <v>-3.5915010584208567</v>
      </c>
      <c r="AB86" s="24"/>
      <c r="AC86" s="23"/>
      <c r="AD86" s="23"/>
      <c r="AE86" s="23"/>
      <c r="AF86" s="23"/>
      <c r="BN86" s="458" t="s">
        <v>120</v>
      </c>
      <c r="BO86" s="473">
        <v>-18258430.853873014</v>
      </c>
      <c r="BP86" s="510">
        <v>-4.3728388779293539</v>
      </c>
      <c r="BQ86" s="473">
        <v>-17893273.018456936</v>
      </c>
      <c r="BR86" s="510">
        <v>-5.4757301615684497</v>
      </c>
      <c r="BS86" s="473">
        <v>-19253460.149532795</v>
      </c>
      <c r="BT86" s="510">
        <v>-3.4360597890475333</v>
      </c>
      <c r="BU86" s="473">
        <v>-18234081.848795176</v>
      </c>
      <c r="BV86" s="510">
        <v>-3.2747986476106661</v>
      </c>
    </row>
    <row r="87" spans="1:76" s="15" customFormat="1" ht="15" customHeight="1" thickTop="1" thickBot="1">
      <c r="A87" s="23"/>
      <c r="B87" s="23"/>
      <c r="C87" s="79" t="str">
        <f>IF(MasterSheet!$A$1=1,MasterSheet!C140,MasterSheet!B140)</f>
        <v>Otplata duga</v>
      </c>
      <c r="D87" s="94">
        <f>SUM(D88:D90)</f>
        <v>104045865.95999999</v>
      </c>
      <c r="E87" s="95">
        <f t="shared" si="14"/>
        <v>4.841819812927544</v>
      </c>
      <c r="F87" s="94">
        <f>SUM(F88:F90)</f>
        <v>160963531.41999999</v>
      </c>
      <c r="G87" s="96">
        <f t="shared" si="15"/>
        <v>6.0049815862712181</v>
      </c>
      <c r="H87" s="94">
        <f>SUM(H88:H90)</f>
        <v>122913293.45</v>
      </c>
      <c r="I87" s="95">
        <f t="shared" si="16"/>
        <v>3.983448711757843</v>
      </c>
      <c r="J87" s="94">
        <f>SUM(J88:J90)</f>
        <v>151220956</v>
      </c>
      <c r="K87" s="96">
        <f t="shared" si="17"/>
        <v>5.072826434082522</v>
      </c>
      <c r="L87" s="94">
        <f>SUM(L88:L90)</f>
        <v>186013130.84999999</v>
      </c>
      <c r="M87" s="95">
        <f t="shared" si="18"/>
        <v>5.9524201871999995</v>
      </c>
      <c r="N87" s="94">
        <f>SUM(N88:N90)</f>
        <v>132767747.27</v>
      </c>
      <c r="O87" s="95">
        <f t="shared" si="19"/>
        <v>4.0663934845329246</v>
      </c>
      <c r="P87" s="126">
        <f>SUM(P88:P90)</f>
        <v>135439484.43000001</v>
      </c>
      <c r="Q87" s="95">
        <f t="shared" si="20"/>
        <v>4.2577643643508338</v>
      </c>
      <c r="R87" s="94">
        <f>SUM(R88:R90)</f>
        <v>158591727</v>
      </c>
      <c r="S87" s="95">
        <f t="shared" si="21"/>
        <v>4.7171840273646639</v>
      </c>
      <c r="T87" s="94">
        <v>434061211.94</v>
      </c>
      <c r="U87" s="95">
        <f t="shared" si="22"/>
        <v>12.552740447670551</v>
      </c>
      <c r="V87" s="119">
        <f>SUM(V88:V90)</f>
        <v>541741536.64999998</v>
      </c>
      <c r="W87" s="128">
        <f t="shared" si="23"/>
        <v>14.821929867305062</v>
      </c>
      <c r="X87" s="119">
        <f>SUM(X88:X90)</f>
        <v>533116186.30999994</v>
      </c>
      <c r="Y87" s="128">
        <f t="shared" si="13"/>
        <v>13.482276726265741</v>
      </c>
      <c r="Z87" s="119">
        <f>SUM(Z88:Z90)</f>
        <v>358600568.85000002</v>
      </c>
      <c r="AA87" s="128">
        <f t="shared" si="24"/>
        <v>8.4645478307565227</v>
      </c>
      <c r="AB87" s="24"/>
      <c r="AC87" s="23"/>
      <c r="AD87" s="23"/>
      <c r="AE87" s="23"/>
      <c r="AF87" s="23"/>
      <c r="BN87" s="471" t="s">
        <v>143</v>
      </c>
      <c r="BO87" s="473">
        <v>0</v>
      </c>
      <c r="BP87" s="510">
        <v>0</v>
      </c>
      <c r="BQ87" s="473">
        <v>0</v>
      </c>
      <c r="BR87" s="510">
        <v>0</v>
      </c>
      <c r="BS87" s="473">
        <v>0</v>
      </c>
      <c r="BT87" s="510">
        <v>0</v>
      </c>
      <c r="BU87" s="473">
        <v>0</v>
      </c>
      <c r="BV87" s="510">
        <v>0</v>
      </c>
    </row>
    <row r="88" spans="1:76" s="15" customFormat="1" ht="15" customHeight="1" thickTop="1">
      <c r="A88" s="23"/>
      <c r="B88" s="23"/>
      <c r="C88" s="81" t="str">
        <f>IF(MasterSheet!$A$1=1,MasterSheet!C141,MasterSheet!B141)</f>
        <v>Otplata duga rezidentima</v>
      </c>
      <c r="D88" s="99">
        <v>34109764.159999996</v>
      </c>
      <c r="E88" s="130">
        <f t="shared" si="14"/>
        <v>1.5873127721159661</v>
      </c>
      <c r="F88" s="99">
        <v>23247139.440000001</v>
      </c>
      <c r="G88" s="130">
        <f t="shared" si="15"/>
        <v>0.86726877224398446</v>
      </c>
      <c r="H88" s="99">
        <v>48375025.880000003</v>
      </c>
      <c r="I88" s="130">
        <f t="shared" si="16"/>
        <v>1.5677672374902776</v>
      </c>
      <c r="J88" s="99">
        <v>68898727</v>
      </c>
      <c r="K88" s="130">
        <f t="shared" si="17"/>
        <v>2.311262227440456</v>
      </c>
      <c r="L88" s="99">
        <v>56807566.530000001</v>
      </c>
      <c r="M88" s="130">
        <f t="shared" si="18"/>
        <v>1.81784212896</v>
      </c>
      <c r="N88" s="99">
        <v>31950887.579999998</v>
      </c>
      <c r="O88" s="130">
        <f t="shared" si="19"/>
        <v>0.97858767473200603</v>
      </c>
      <c r="P88" s="99">
        <v>77940832.650000006</v>
      </c>
      <c r="Q88" s="130">
        <f t="shared" si="20"/>
        <v>2.450199077334172</v>
      </c>
      <c r="R88" s="99">
        <v>92187296</v>
      </c>
      <c r="S88" s="130">
        <f t="shared" si="21"/>
        <v>2.7420373587150508</v>
      </c>
      <c r="T88" s="99">
        <v>239006096.46000001</v>
      </c>
      <c r="U88" s="130">
        <f t="shared" si="22"/>
        <v>6.9118857242835245</v>
      </c>
      <c r="V88" s="121">
        <v>221708220.00999999</v>
      </c>
      <c r="W88" s="133">
        <f t="shared" si="23"/>
        <v>6.0658883723666204</v>
      </c>
      <c r="X88" s="121">
        <v>225446619.97999999</v>
      </c>
      <c r="Y88" s="134">
        <f t="shared" si="13"/>
        <v>5.7014470684335645</v>
      </c>
      <c r="Z88" s="121">
        <v>226012655.83000001</v>
      </c>
      <c r="AA88" s="134">
        <f t="shared" si="24"/>
        <v>5.3348909673079197</v>
      </c>
      <c r="AB88" s="24"/>
      <c r="AC88" s="23"/>
      <c r="AD88" s="23"/>
      <c r="AE88" s="23"/>
      <c r="AF88" s="23"/>
      <c r="BN88" s="471" t="s">
        <v>121</v>
      </c>
      <c r="BO88" s="473">
        <v>0</v>
      </c>
      <c r="BP88" s="510">
        <v>0</v>
      </c>
      <c r="BQ88" s="473">
        <v>-17893273.018456936</v>
      </c>
      <c r="BR88" s="510">
        <v>-6.4649355209234898</v>
      </c>
      <c r="BS88" s="473">
        <v>-19253460.149532795</v>
      </c>
      <c r="BT88" s="510">
        <v>-4.1824850389967594</v>
      </c>
      <c r="BU88" s="473">
        <v>-18234081.848795176</v>
      </c>
      <c r="BV88" s="510">
        <v>-3.9916983926642047</v>
      </c>
    </row>
    <row r="89" spans="1:76" s="15" customFormat="1" ht="15" customHeight="1">
      <c r="A89" s="23"/>
      <c r="B89" s="23"/>
      <c r="C89" s="81" t="str">
        <f>IF(MasterSheet!$A$1=1,MasterSheet!C142,MasterSheet!B142)</f>
        <v>Otplata duga nerezidentima</v>
      </c>
      <c r="D89" s="99">
        <v>14260035.939999999</v>
      </c>
      <c r="E89" s="131">
        <f t="shared" si="14"/>
        <v>0.66359700032574798</v>
      </c>
      <c r="F89" s="99">
        <v>84151518.439999998</v>
      </c>
      <c r="G89" s="131">
        <f t="shared" si="15"/>
        <v>3.1393963230740534</v>
      </c>
      <c r="H89" s="99">
        <v>16762329.57</v>
      </c>
      <c r="I89" s="131">
        <f t="shared" si="16"/>
        <v>0.5432437636116153</v>
      </c>
      <c r="J89" s="99">
        <v>25402766</v>
      </c>
      <c r="K89" s="131">
        <f t="shared" si="17"/>
        <v>0.85215585374035563</v>
      </c>
      <c r="L89" s="99">
        <v>45342776.32</v>
      </c>
      <c r="M89" s="131">
        <f t="shared" si="18"/>
        <v>1.45096884224</v>
      </c>
      <c r="N89" s="99">
        <v>59510365.689999998</v>
      </c>
      <c r="O89" s="131">
        <f t="shared" si="19"/>
        <v>1.8226758251148545</v>
      </c>
      <c r="P89" s="99">
        <v>54874811.390000001</v>
      </c>
      <c r="Q89" s="131">
        <f t="shared" si="20"/>
        <v>1.7250805215341085</v>
      </c>
      <c r="R89" s="99">
        <v>66404431</v>
      </c>
      <c r="S89" s="131">
        <f t="shared" si="21"/>
        <v>1.9751466686496133</v>
      </c>
      <c r="T89" s="99">
        <v>195055115.47999999</v>
      </c>
      <c r="U89" s="131">
        <f t="shared" si="22"/>
        <v>5.6408547233870268</v>
      </c>
      <c r="V89" s="121">
        <v>320033316.63999999</v>
      </c>
      <c r="W89" s="134">
        <f t="shared" si="23"/>
        <v>8.7560414949384402</v>
      </c>
      <c r="X89" s="121">
        <v>307669566.32999992</v>
      </c>
      <c r="Y89" s="134">
        <f t="shared" si="13"/>
        <v>7.7808296578321761</v>
      </c>
      <c r="Z89" s="121">
        <v>132587913.02000004</v>
      </c>
      <c r="AA89" s="134">
        <f t="shared" si="24"/>
        <v>3.1296568634486022</v>
      </c>
      <c r="AB89" s="24"/>
      <c r="AC89" s="23"/>
      <c r="AD89" s="23"/>
      <c r="AE89" s="23"/>
      <c r="AF89" s="23"/>
      <c r="AG89" s="23"/>
      <c r="AH89" s="23"/>
      <c r="BP89" s="506" t="s">
        <v>326</v>
      </c>
      <c r="BQ89" s="473">
        <v>0</v>
      </c>
      <c r="BR89" s="510" t="e">
        <v>#DIV/0!</v>
      </c>
      <c r="BS89" s="473">
        <v>0</v>
      </c>
      <c r="BT89" s="510" t="e">
        <v>#DIV/0!</v>
      </c>
      <c r="BU89" s="473">
        <v>0</v>
      </c>
      <c r="BV89" s="510" t="e">
        <v>#DIV/0!</v>
      </c>
      <c r="BW89" s="473">
        <v>0</v>
      </c>
      <c r="BX89" s="510" t="e">
        <v>#DIV/0!</v>
      </c>
    </row>
    <row r="90" spans="1:76" s="15" customFormat="1" ht="15" customHeight="1" thickBot="1">
      <c r="A90" s="23"/>
      <c r="B90" s="23"/>
      <c r="C90" s="81" t="str">
        <f>IF(MasterSheet!$A$1=1,MasterSheet!C143,MasterSheet!B143)</f>
        <v>Otplata obaveza iz prethodnog perioda</v>
      </c>
      <c r="D90" s="99">
        <v>55676065.859999999</v>
      </c>
      <c r="E90" s="132">
        <f t="shared" si="14"/>
        <v>2.5909100404858298</v>
      </c>
      <c r="F90" s="148">
        <v>53564873.539999999</v>
      </c>
      <c r="G90" s="132">
        <f t="shared" si="15"/>
        <v>1.9983164909531801</v>
      </c>
      <c r="H90" s="99">
        <v>57775938</v>
      </c>
      <c r="I90" s="132">
        <f t="shared" si="16"/>
        <v>1.8724377106559502</v>
      </c>
      <c r="J90" s="99">
        <v>56919463</v>
      </c>
      <c r="K90" s="132">
        <f t="shared" si="17"/>
        <v>1.909408352901711</v>
      </c>
      <c r="L90" s="99">
        <v>83862788</v>
      </c>
      <c r="M90" s="132">
        <f t="shared" si="18"/>
        <v>2.6836092160000002</v>
      </c>
      <c r="N90" s="99">
        <v>41306494</v>
      </c>
      <c r="O90" s="132">
        <f t="shared" si="19"/>
        <v>1.2651299846860644</v>
      </c>
      <c r="P90" s="127">
        <v>2623840.39</v>
      </c>
      <c r="Q90" s="132">
        <f t="shared" si="20"/>
        <v>8.2484765482552652E-2</v>
      </c>
      <c r="R90" s="99">
        <v>0</v>
      </c>
      <c r="S90" s="132">
        <f t="shared" si="21"/>
        <v>0</v>
      </c>
      <c r="T90" s="99">
        <v>0</v>
      </c>
      <c r="U90" s="132">
        <f t="shared" si="22"/>
        <v>0</v>
      </c>
      <c r="V90" s="121">
        <v>0</v>
      </c>
      <c r="W90" s="135">
        <f t="shared" si="23"/>
        <v>0</v>
      </c>
      <c r="X90" s="121">
        <v>0</v>
      </c>
      <c r="Y90" s="134">
        <f t="shared" si="13"/>
        <v>0</v>
      </c>
      <c r="Z90" s="121">
        <v>0</v>
      </c>
      <c r="AA90" s="134">
        <f t="shared" si="24"/>
        <v>0</v>
      </c>
      <c r="AB90" s="24"/>
      <c r="AC90" s="23"/>
      <c r="AD90" s="23"/>
      <c r="AE90" s="23"/>
      <c r="AF90" s="23"/>
      <c r="AG90" s="23"/>
      <c r="AH90" s="23"/>
      <c r="BP90" s="509" t="s">
        <v>124</v>
      </c>
      <c r="BQ90" s="473">
        <v>-18258430.853873014</v>
      </c>
      <c r="BR90" s="510">
        <v>275.30774041331858</v>
      </c>
      <c r="BS90" s="473">
        <v>0</v>
      </c>
      <c r="BT90" s="510">
        <v>0</v>
      </c>
      <c r="BU90" s="473">
        <v>0</v>
      </c>
      <c r="BV90" s="510">
        <v>0</v>
      </c>
      <c r="BW90" s="473">
        <v>0</v>
      </c>
      <c r="BX90" s="510">
        <v>0</v>
      </c>
    </row>
    <row r="91" spans="1:76" ht="15" customHeight="1" thickTop="1" thickBot="1">
      <c r="A91" s="23"/>
      <c r="B91" s="23"/>
      <c r="C91" s="79" t="str">
        <f>IF(MasterSheet!$A$1=1,MasterSheet!C145,MasterSheet!B145)</f>
        <v>Nedostajuća sredstva</v>
      </c>
      <c r="D91" s="94">
        <f>D84-D87</f>
        <v>-30856991.240000203</v>
      </c>
      <c r="E91" s="95">
        <f t="shared" si="14"/>
        <v>-1.4359435636837548</v>
      </c>
      <c r="F91" s="94">
        <f>F84-F87</f>
        <v>15999364.939999789</v>
      </c>
      <c r="G91" s="96">
        <f t="shared" si="15"/>
        <v>0.59687987091959671</v>
      </c>
      <c r="H91" s="94">
        <f>H84-H87</f>
        <v>-107793581.92000027</v>
      </c>
      <c r="I91" s="95">
        <f t="shared" si="16"/>
        <v>-3.4934399118485957</v>
      </c>
      <c r="J91" s="94">
        <f>J84-J87</f>
        <v>-283316480.85449982</v>
      </c>
      <c r="K91" s="96">
        <f t="shared" si="17"/>
        <v>-9.5040751712344793</v>
      </c>
      <c r="L91" s="94">
        <f>L84-L87</f>
        <v>-298256962.37999976</v>
      </c>
      <c r="M91" s="95">
        <f t="shared" si="18"/>
        <v>-9.5442227961599908</v>
      </c>
      <c r="N91" s="94">
        <f>N84-N87</f>
        <v>-322441341.13999987</v>
      </c>
      <c r="O91" s="95">
        <f t="shared" si="19"/>
        <v>-9.8756919185298582</v>
      </c>
      <c r="P91" s="94">
        <f>P84-P87</f>
        <v>-330995726.50000018</v>
      </c>
      <c r="Q91" s="95">
        <f t="shared" si="20"/>
        <v>-10.405398506758887</v>
      </c>
      <c r="R91" s="94">
        <f>R85-R87</f>
        <v>-374292170.94729954</v>
      </c>
      <c r="S91" s="95">
        <f t="shared" si="21"/>
        <v>-11.133021146558582</v>
      </c>
      <c r="T91" s="94">
        <f>T85-T87+T96</f>
        <v>-546532229.68999994</v>
      </c>
      <c r="U91" s="95">
        <f t="shared" si="22"/>
        <v>-15.805322007287659</v>
      </c>
      <c r="V91" s="94">
        <f>V85-V87+V96</f>
        <v>-825498088.79999983</v>
      </c>
      <c r="W91" s="128">
        <f t="shared" si="23"/>
        <v>-22.585447025991787</v>
      </c>
      <c r="X91" s="119">
        <f>X85-X87</f>
        <v>-655387356.65999985</v>
      </c>
      <c r="Y91" s="128">
        <f t="shared" si="13"/>
        <v>-16.574461500682812</v>
      </c>
      <c r="Z91" s="119">
        <f>Z85-Z87</f>
        <v>-609459889.76999962</v>
      </c>
      <c r="AA91" s="128">
        <f t="shared" si="24"/>
        <v>-14.385929181399732</v>
      </c>
      <c r="AB91" s="24"/>
    </row>
    <row r="92" spans="1:76" ht="15" customHeight="1" thickTop="1" thickBot="1">
      <c r="A92" s="23"/>
      <c r="B92" s="23"/>
      <c r="C92" s="79" t="str">
        <f>IF(MasterSheet!$A$1=1,MasterSheet!C146,MasterSheet!B146)</f>
        <v>Finansiranje</v>
      </c>
      <c r="D92" s="94">
        <f>SUM(D93:D96)+D47</f>
        <v>30856991.240000326</v>
      </c>
      <c r="E92" s="95">
        <f t="shared" si="14"/>
        <v>1.4359435636837603</v>
      </c>
      <c r="F92" s="94">
        <f>SUM(F93:F96)+F47</f>
        <v>-15999364.939999724</v>
      </c>
      <c r="G92" s="96">
        <f t="shared" si="15"/>
        <v>-0.59687987091959427</v>
      </c>
      <c r="H92" s="94">
        <f>SUM(H93:H96)+H47</f>
        <v>107793582.06999999</v>
      </c>
      <c r="I92" s="95">
        <f t="shared" si="16"/>
        <v>3.4934399167098777</v>
      </c>
      <c r="J92" s="94">
        <f>SUM(J93:J96)+J47</f>
        <v>283312975.93000001</v>
      </c>
      <c r="K92" s="96">
        <f t="shared" si="17"/>
        <v>9.5039575957732314</v>
      </c>
      <c r="L92" s="94">
        <f>SUM(L93:L96)+L47</f>
        <v>298262884.93000001</v>
      </c>
      <c r="M92" s="95">
        <f t="shared" si="18"/>
        <v>9.5444123177599991</v>
      </c>
      <c r="N92" s="94">
        <f>SUM(N93:N96)+N47</f>
        <v>322441341.89999998</v>
      </c>
      <c r="O92" s="95">
        <f t="shared" si="19"/>
        <v>9.8756919418070446</v>
      </c>
      <c r="P92" s="94">
        <f>SUM(P93:P95)+P96+P83+P47</f>
        <v>330995842.13</v>
      </c>
      <c r="Q92" s="95">
        <f t="shared" si="20"/>
        <v>10.405402141779314</v>
      </c>
      <c r="R92" s="94">
        <f>SUM(R93:R95)+R83+R96</f>
        <v>374292826.82730001</v>
      </c>
      <c r="S92" s="95">
        <f t="shared" si="21"/>
        <v>11.133040655184415</v>
      </c>
      <c r="T92" s="94">
        <f>SUM(T93:T95)+T83</f>
        <v>546532229.36000001</v>
      </c>
      <c r="U92" s="95">
        <f t="shared" si="22"/>
        <v>15.805321997744295</v>
      </c>
      <c r="V92" s="94">
        <f>SUM(V93:V95)+V83</f>
        <v>825499520.90999997</v>
      </c>
      <c r="W92" s="128">
        <f t="shared" si="23"/>
        <v>22.585486208207932</v>
      </c>
      <c r="X92" s="119">
        <f>SUM(X93:X96)+X83</f>
        <v>655387356.65999985</v>
      </c>
      <c r="Y92" s="128">
        <f t="shared" si="13"/>
        <v>16.574461500682812</v>
      </c>
      <c r="Z92" s="119">
        <f>SUM(Z93:Z96)+Z83</f>
        <v>609459889.76999962</v>
      </c>
      <c r="AA92" s="128">
        <f t="shared" si="24"/>
        <v>14.385929181399732</v>
      </c>
      <c r="AB92" s="24"/>
    </row>
    <row r="93" spans="1:76" ht="15" customHeight="1" thickTop="1">
      <c r="A93" s="23"/>
      <c r="B93" s="23"/>
      <c r="C93" s="81" t="str">
        <f>IF(MasterSheet!$A$1=1,MasterSheet!C147,MasterSheet!B147)</f>
        <v>Pozajmice i krediti iz domaćih izvora</v>
      </c>
      <c r="D93" s="99">
        <v>10687379.58</v>
      </c>
      <c r="E93" s="130">
        <f t="shared" si="14"/>
        <v>0.49734187630880911</v>
      </c>
      <c r="F93" s="99">
        <v>8315797</v>
      </c>
      <c r="G93" s="130">
        <f t="shared" si="15"/>
        <v>0.31023305353478825</v>
      </c>
      <c r="H93" s="99">
        <v>7657882.2599999998</v>
      </c>
      <c r="I93" s="130">
        <f t="shared" si="16"/>
        <v>0.24818130217785844</v>
      </c>
      <c r="J93" s="99">
        <v>108130461</v>
      </c>
      <c r="K93" s="130">
        <f t="shared" si="17"/>
        <v>3.627321737671922</v>
      </c>
      <c r="L93" s="99">
        <v>20068251.93</v>
      </c>
      <c r="M93" s="130">
        <f t="shared" si="18"/>
        <v>0.64218406175999998</v>
      </c>
      <c r="N93" s="99">
        <v>47000000</v>
      </c>
      <c r="O93" s="130">
        <f t="shared" si="19"/>
        <v>1.439509954058193</v>
      </c>
      <c r="P93" s="99">
        <v>63454375.850000001</v>
      </c>
      <c r="Q93" s="130">
        <f t="shared" si="20"/>
        <v>1.9947933307136119</v>
      </c>
      <c r="R93" s="99">
        <v>145350142</v>
      </c>
      <c r="S93" s="130">
        <f t="shared" si="21"/>
        <v>4.3233236763831053</v>
      </c>
      <c r="T93" s="99">
        <v>244935100</v>
      </c>
      <c r="U93" s="130">
        <f t="shared" si="22"/>
        <v>7.0833482749645738</v>
      </c>
      <c r="V93" s="121">
        <v>175248203.14000002</v>
      </c>
      <c r="W93" s="133">
        <f t="shared" si="23"/>
        <v>4.794752479890561</v>
      </c>
      <c r="X93" s="121">
        <v>317784300</v>
      </c>
      <c r="Y93" s="134">
        <f t="shared" si="13"/>
        <v>8.0366268777502405</v>
      </c>
      <c r="Z93" s="121">
        <v>260070000</v>
      </c>
      <c r="AA93" s="134">
        <f t="shared" si="24"/>
        <v>6.138793815649711</v>
      </c>
      <c r="AB93" s="24"/>
      <c r="AG93" s="10"/>
      <c r="AH93" s="10"/>
    </row>
    <row r="94" spans="1:76" ht="15" customHeight="1">
      <c r="A94" s="23"/>
      <c r="B94" s="23"/>
      <c r="C94" s="81" t="str">
        <f>IF(MasterSheet!$A$1=1,MasterSheet!C148,MasterSheet!B148)</f>
        <v>Pozajmice i krediti iz inostranih izvora</v>
      </c>
      <c r="D94" s="99">
        <v>13153290.85</v>
      </c>
      <c r="E94" s="131">
        <f t="shared" si="14"/>
        <v>0.61209413420819947</v>
      </c>
      <c r="F94" s="99">
        <v>1996377.48</v>
      </c>
      <c r="G94" s="131">
        <f t="shared" si="15"/>
        <v>7.4477801902630106E-2</v>
      </c>
      <c r="H94" s="99">
        <v>2981267.98</v>
      </c>
      <c r="I94" s="131">
        <f t="shared" si="16"/>
        <v>9.6618744490536687E-2</v>
      </c>
      <c r="J94" s="99">
        <v>148637806</v>
      </c>
      <c r="K94" s="131">
        <f t="shared" si="17"/>
        <v>4.9861726266353577</v>
      </c>
      <c r="L94" s="99">
        <v>205373059</v>
      </c>
      <c r="M94" s="131">
        <f t="shared" si="18"/>
        <v>6.5719378879999999</v>
      </c>
      <c r="N94" s="99">
        <v>187652611.97999999</v>
      </c>
      <c r="O94" s="131">
        <f t="shared" si="19"/>
        <v>5.7474000606431845</v>
      </c>
      <c r="P94" s="99">
        <v>258129375.97</v>
      </c>
      <c r="Q94" s="131">
        <f t="shared" si="20"/>
        <v>8.1147241738447029</v>
      </c>
      <c r="R94" s="99">
        <v>188517208.25</v>
      </c>
      <c r="S94" s="131">
        <f t="shared" si="21"/>
        <v>5.6072935232004761</v>
      </c>
      <c r="T94" s="99">
        <v>290814025.5</v>
      </c>
      <c r="U94" s="131">
        <f t="shared" si="22"/>
        <v>8.4101340553515129</v>
      </c>
      <c r="V94" s="121">
        <v>657542120.07999992</v>
      </c>
      <c r="W94" s="134">
        <f t="shared" si="23"/>
        <v>17.990208483720931</v>
      </c>
      <c r="X94" s="121">
        <v>331776276.06</v>
      </c>
      <c r="Y94" s="134">
        <f t="shared" si="13"/>
        <v>8.3904778731475389</v>
      </c>
      <c r="Z94" s="121">
        <v>352766852.38</v>
      </c>
      <c r="AA94" s="134">
        <f t="shared" si="24"/>
        <v>8.3268465096187896</v>
      </c>
      <c r="AB94" s="24"/>
      <c r="AG94" s="10"/>
      <c r="AH94" s="10"/>
    </row>
    <row r="95" spans="1:76" s="15" customFormat="1" ht="13.5" thickBot="1">
      <c r="B95" s="23"/>
      <c r="C95" s="522" t="str">
        <f>IF(MasterSheet!$A$1=1,MasterSheet!C150,MasterSheet!B150)</f>
        <v>Prihodi od privatizacije</v>
      </c>
      <c r="D95" s="523">
        <v>20434516.260000002</v>
      </c>
      <c r="E95" s="132">
        <f t="shared" si="14"/>
        <v>0.95092913862906603</v>
      </c>
      <c r="F95" s="523">
        <v>27533307.520000003</v>
      </c>
      <c r="G95" s="132">
        <f t="shared" si="15"/>
        <v>1.0271705845924268</v>
      </c>
      <c r="H95" s="523">
        <v>24817482.77</v>
      </c>
      <c r="I95" s="132">
        <f t="shared" si="16"/>
        <v>0.80430006384495722</v>
      </c>
      <c r="J95" s="523">
        <v>107021362</v>
      </c>
      <c r="K95" s="132">
        <f t="shared" si="17"/>
        <v>3.5901161355249913</v>
      </c>
      <c r="L95" s="523">
        <v>5128634</v>
      </c>
      <c r="M95" s="132">
        <f t="shared" si="18"/>
        <v>0.164116288</v>
      </c>
      <c r="N95" s="523">
        <v>3351251.94</v>
      </c>
      <c r="O95" s="132">
        <f t="shared" si="19"/>
        <v>0.10264171332312405</v>
      </c>
      <c r="P95" s="523">
        <v>3484625.4</v>
      </c>
      <c r="Q95" s="132">
        <f t="shared" si="20"/>
        <v>0.1095449669915121</v>
      </c>
      <c r="R95" s="523">
        <v>11948846.35</v>
      </c>
      <c r="S95" s="132">
        <f t="shared" si="21"/>
        <v>0.35540887418203448</v>
      </c>
      <c r="T95" s="523">
        <v>6691829.7000000002</v>
      </c>
      <c r="U95" s="132">
        <f t="shared" si="22"/>
        <v>0.19352293877787097</v>
      </c>
      <c r="V95" s="521">
        <v>7843144.3499999996</v>
      </c>
      <c r="W95" s="135">
        <f t="shared" si="23"/>
        <v>0.21458671272229823</v>
      </c>
      <c r="X95" s="524">
        <v>4219567.51</v>
      </c>
      <c r="Y95" s="135">
        <f t="shared" si="13"/>
        <v>0.10671102903242122</v>
      </c>
      <c r="Z95" s="524">
        <v>6191115.2299999995</v>
      </c>
      <c r="AA95" s="135">
        <f t="shared" si="24"/>
        <v>0.14613750100318657</v>
      </c>
      <c r="AB95" s="24"/>
      <c r="AC95" s="23"/>
      <c r="AD95" s="23"/>
      <c r="AE95" s="23"/>
      <c r="AF95" s="23"/>
    </row>
    <row r="96" spans="1:76" ht="14.25" thickTop="1" thickBot="1">
      <c r="A96" s="23"/>
      <c r="B96" s="23"/>
      <c r="C96" s="87" t="str">
        <f>IF(MasterSheet!$A$1=1,MasterSheet!C151,MasterSheet!B151)</f>
        <v>Povećanje/smanjenje depozita</v>
      </c>
      <c r="D96" s="100">
        <v>-13608071.219999671</v>
      </c>
      <c r="E96" s="132">
        <f t="shared" si="14"/>
        <v>-0.63325753734467272</v>
      </c>
      <c r="F96" s="100">
        <v>-53930959.789999723</v>
      </c>
      <c r="G96" s="132">
        <f t="shared" si="15"/>
        <v>-2.0119738776347593</v>
      </c>
      <c r="H96" s="100">
        <v>70101257</v>
      </c>
      <c r="I96" s="132">
        <f t="shared" si="16"/>
        <v>2.2718841392273785</v>
      </c>
      <c r="J96" s="100">
        <v>-86496209</v>
      </c>
      <c r="K96" s="132">
        <f t="shared" si="17"/>
        <v>-2.9015836632002681</v>
      </c>
      <c r="L96" s="100">
        <v>64911113</v>
      </c>
      <c r="M96" s="132">
        <f t="shared" si="18"/>
        <v>2.0771556159999998</v>
      </c>
      <c r="N96" s="100">
        <v>80423128</v>
      </c>
      <c r="O96" s="132">
        <f t="shared" si="19"/>
        <v>2.4631892189892803</v>
      </c>
      <c r="P96" s="100">
        <v>891026</v>
      </c>
      <c r="Q96" s="132">
        <f t="shared" si="20"/>
        <v>2.8010877082678402E-2</v>
      </c>
      <c r="R96" s="100">
        <v>14038525</v>
      </c>
      <c r="S96" s="132">
        <f t="shared" si="21"/>
        <v>0.41756469363474125</v>
      </c>
      <c r="T96" s="100">
        <v>-5356216</v>
      </c>
      <c r="U96" s="132">
        <f t="shared" si="22"/>
        <v>-0.15489794383874605</v>
      </c>
      <c r="V96" s="100">
        <v>-7640432.4100000001</v>
      </c>
      <c r="W96" s="135">
        <f t="shared" si="23"/>
        <v>-0.20904055841313271</v>
      </c>
      <c r="X96" s="123">
        <f>-X91-SUM(X93:X95)-X83</f>
        <v>14293469.319999915</v>
      </c>
      <c r="Y96" s="135">
        <f t="shared" si="13"/>
        <v>0.36147562895149243</v>
      </c>
      <c r="Z96" s="123">
        <f>-Z91-SUM(Z93:Z95)-Z83</f>
        <v>-23561306.350000389</v>
      </c>
      <c r="AA96" s="135">
        <f t="shared" si="24"/>
        <v>-0.55615027381093807</v>
      </c>
      <c r="AG96" s="10"/>
      <c r="AH96" s="10"/>
    </row>
    <row r="97" spans="1:34" ht="13.5" thickTop="1">
      <c r="A97" s="23"/>
      <c r="B97" s="23"/>
      <c r="C97" s="89" t="str">
        <f>IF(MasterSheet!$A$1=1,MasterSheet!C152,MasterSheet!B152)</f>
        <v>Izvor: Ministarstvo finansija Crne Gore</v>
      </c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88"/>
      <c r="Q97" s="88"/>
      <c r="R97" s="23"/>
      <c r="S97" s="23"/>
      <c r="AG97" s="10"/>
      <c r="AH97" s="10"/>
    </row>
    <row r="98" spans="1:34">
      <c r="A98" s="23"/>
      <c r="B98" s="23"/>
      <c r="C98" s="13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23"/>
      <c r="Q98" s="23"/>
      <c r="R98" s="23"/>
      <c r="S98" s="23"/>
      <c r="AG98" s="10"/>
      <c r="AH98" s="10"/>
    </row>
    <row r="99" spans="1:34" ht="25.5">
      <c r="A99" s="23"/>
      <c r="B99" s="23"/>
      <c r="C99" s="32" t="s">
        <v>515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1"/>
      <c r="P99" s="23"/>
      <c r="Q99" s="23"/>
      <c r="R99" s="23"/>
      <c r="S99" s="23"/>
    </row>
    <row r="100" spans="1:34">
      <c r="A100" s="23"/>
      <c r="B100" s="23"/>
      <c r="C100" s="3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4"/>
      <c r="P100" s="23"/>
      <c r="Q100" s="23"/>
      <c r="R100" s="23"/>
      <c r="S100" s="23"/>
    </row>
    <row r="101" spans="1:34">
      <c r="A101" s="23"/>
      <c r="B101" s="2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1"/>
      <c r="P101" s="23"/>
      <c r="Q101" s="23"/>
      <c r="R101" s="23"/>
      <c r="S101" s="23"/>
    </row>
    <row r="102" spans="1:34">
      <c r="A102" s="23"/>
      <c r="B102" s="23"/>
      <c r="C102" s="3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4"/>
      <c r="P102" s="23"/>
      <c r="Q102" s="23"/>
      <c r="R102" s="23"/>
      <c r="S102" s="23"/>
    </row>
    <row r="103" spans="1:34" ht="13.5" customHeight="1">
      <c r="A103" s="23"/>
      <c r="B103" s="23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1"/>
      <c r="P103" s="23"/>
      <c r="Q103" s="23"/>
      <c r="R103" s="23"/>
      <c r="S103" s="23"/>
    </row>
    <row r="104" spans="1:34" ht="13.5" customHeight="1">
      <c r="A104" s="23"/>
      <c r="B104" s="23"/>
      <c r="C104" s="3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4"/>
      <c r="P104" s="23"/>
      <c r="Q104" s="23"/>
      <c r="R104" s="23"/>
      <c r="S104" s="23"/>
    </row>
    <row r="105" spans="1:34">
      <c r="A105" s="23"/>
      <c r="B105" s="23"/>
      <c r="C105" s="32"/>
      <c r="D105" s="33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1"/>
      <c r="P105" s="23"/>
      <c r="Q105" s="23"/>
      <c r="R105" s="23"/>
      <c r="S105" s="23"/>
    </row>
    <row r="106" spans="1:34">
      <c r="A106" s="23"/>
      <c r="B106" s="23"/>
      <c r="C106" s="32"/>
      <c r="D106" s="33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1"/>
      <c r="P106" s="23"/>
      <c r="Q106" s="23"/>
      <c r="R106" s="23"/>
      <c r="S106" s="23"/>
    </row>
    <row r="107" spans="1:34">
      <c r="A107" s="23"/>
      <c r="B107" s="23"/>
      <c r="C107" s="32"/>
      <c r="D107" s="33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1"/>
      <c r="P107" s="23"/>
      <c r="Q107" s="23"/>
      <c r="R107" s="23"/>
      <c r="S107" s="23"/>
    </row>
    <row r="108" spans="1:34">
      <c r="A108" s="23"/>
      <c r="B108" s="23"/>
      <c r="C108" s="32"/>
      <c r="D108" s="33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1"/>
      <c r="P108" s="23"/>
      <c r="Q108" s="23"/>
      <c r="R108" s="23"/>
      <c r="S108" s="23"/>
    </row>
    <row r="109" spans="1:34">
      <c r="A109" s="23"/>
      <c r="B109" s="23"/>
      <c r="C109" s="32"/>
      <c r="D109" s="33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1"/>
      <c r="P109" s="23"/>
      <c r="Q109" s="23"/>
      <c r="R109" s="23"/>
      <c r="S109" s="23"/>
    </row>
    <row r="110" spans="1:34">
      <c r="A110" s="23"/>
      <c r="B110" s="23"/>
      <c r="C110" s="32"/>
      <c r="D110" s="33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1"/>
      <c r="P110" s="23"/>
      <c r="Q110" s="23"/>
      <c r="R110" s="23"/>
      <c r="S110" s="23"/>
    </row>
    <row r="111" spans="1:34">
      <c r="A111" s="23"/>
      <c r="B111" s="23"/>
      <c r="C111" s="32"/>
      <c r="D111" s="33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1"/>
      <c r="P111" s="23"/>
      <c r="Q111" s="23"/>
      <c r="R111" s="23"/>
      <c r="S111" s="23"/>
    </row>
    <row r="112" spans="1:34">
      <c r="A112" s="23"/>
      <c r="B112" s="23"/>
      <c r="C112" s="32"/>
      <c r="D112" s="33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1"/>
      <c r="P112" s="23"/>
      <c r="Q112" s="23"/>
      <c r="R112" s="23"/>
      <c r="S112" s="23"/>
    </row>
    <row r="113" spans="1:19">
      <c r="A113" s="23"/>
      <c r="B113" s="23"/>
      <c r="C113" s="32"/>
      <c r="D113" s="33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1"/>
      <c r="P113" s="23"/>
      <c r="Q113" s="23"/>
      <c r="R113" s="23"/>
      <c r="S113" s="23"/>
    </row>
    <row r="114" spans="1:19">
      <c r="A114" s="23"/>
      <c r="B114" s="23"/>
      <c r="C114" s="32"/>
      <c r="D114" s="33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1"/>
      <c r="P114" s="23"/>
      <c r="Q114" s="23"/>
      <c r="R114" s="23"/>
      <c r="S114" s="23"/>
    </row>
    <row r="115" spans="1:19">
      <c r="A115" s="23"/>
      <c r="B115" s="23"/>
      <c r="C115" s="32"/>
      <c r="D115" s="33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1"/>
      <c r="P115" s="23"/>
      <c r="Q115" s="23"/>
      <c r="R115" s="23"/>
      <c r="S115" s="23"/>
    </row>
    <row r="116" spans="1:19">
      <c r="A116" s="23"/>
      <c r="B116" s="23"/>
      <c r="C116" s="32"/>
      <c r="D116" s="33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1"/>
      <c r="P116" s="23"/>
      <c r="Q116" s="23"/>
      <c r="R116" s="23"/>
      <c r="S116" s="23"/>
    </row>
    <row r="117" spans="1:19">
      <c r="A117" s="23"/>
      <c r="B117" s="23"/>
      <c r="C117" s="32"/>
      <c r="D117" s="33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1"/>
      <c r="P117" s="23"/>
      <c r="Q117" s="23"/>
      <c r="R117" s="23"/>
      <c r="S117" s="23"/>
    </row>
    <row r="118" spans="1:19">
      <c r="A118" s="23"/>
      <c r="B118" s="23"/>
      <c r="C118" s="32"/>
      <c r="D118" s="33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1"/>
      <c r="P118" s="23"/>
      <c r="Q118" s="23"/>
      <c r="R118" s="23"/>
      <c r="S118" s="23"/>
    </row>
    <row r="119" spans="1:19">
      <c r="A119" s="23"/>
      <c r="B119" s="23"/>
      <c r="C119" s="32"/>
      <c r="D119" s="33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1"/>
      <c r="P119" s="23"/>
      <c r="Q119" s="23"/>
      <c r="R119" s="23"/>
      <c r="S119" s="23"/>
    </row>
    <row r="120" spans="1:19">
      <c r="A120" s="23"/>
      <c r="B120" s="23"/>
      <c r="C120" s="32"/>
      <c r="D120" s="33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1"/>
      <c r="P120" s="23"/>
      <c r="Q120" s="23"/>
      <c r="R120" s="23"/>
      <c r="S120" s="23"/>
    </row>
    <row r="121" spans="1:19">
      <c r="A121" s="23"/>
      <c r="B121" s="23"/>
      <c r="C121" s="23"/>
      <c r="D121" s="33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1"/>
      <c r="P121" s="23"/>
      <c r="Q121" s="23"/>
      <c r="R121" s="23"/>
      <c r="S121" s="23"/>
    </row>
    <row r="122" spans="1:19">
      <c r="A122" s="23"/>
      <c r="B122" s="23"/>
      <c r="C122" s="23"/>
      <c r="D122" s="33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1"/>
      <c r="P122" s="23"/>
      <c r="Q122" s="23"/>
      <c r="R122" s="23"/>
      <c r="S122" s="23"/>
    </row>
    <row r="123" spans="1:19">
      <c r="A123" s="23"/>
      <c r="B123" s="23"/>
      <c r="C123" s="23"/>
      <c r="D123" s="33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1"/>
      <c r="P123" s="23"/>
      <c r="Q123" s="23"/>
      <c r="R123" s="23"/>
      <c r="S123" s="23"/>
    </row>
    <row r="124" spans="1:19">
      <c r="A124" s="23"/>
      <c r="B124" s="23"/>
      <c r="C124" s="23"/>
      <c r="D124" s="33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1"/>
      <c r="P124" s="23"/>
      <c r="Q124" s="23"/>
      <c r="R124" s="23"/>
      <c r="S124" s="23"/>
    </row>
    <row r="125" spans="1:19">
      <c r="A125" s="23"/>
      <c r="B125" s="23"/>
      <c r="C125" s="23"/>
      <c r="D125" s="33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1"/>
      <c r="P125" s="23"/>
      <c r="Q125" s="23"/>
      <c r="R125" s="23"/>
      <c r="S125" s="23"/>
    </row>
    <row r="126" spans="1:19">
      <c r="A126" s="23"/>
      <c r="B126" s="23"/>
      <c r="C126" s="23"/>
      <c r="D126" s="3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1"/>
      <c r="P126" s="23"/>
      <c r="Q126" s="23"/>
      <c r="R126" s="23"/>
      <c r="S126" s="23"/>
    </row>
    <row r="127" spans="1:19">
      <c r="A127" s="23"/>
      <c r="B127" s="23"/>
      <c r="C127" s="23"/>
      <c r="D127" s="33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1"/>
      <c r="P127" s="23"/>
      <c r="Q127" s="23"/>
      <c r="R127" s="23"/>
      <c r="S127" s="23"/>
    </row>
    <row r="128" spans="1:19">
      <c r="A128" s="23"/>
      <c r="B128" s="23"/>
      <c r="C128" s="23"/>
      <c r="D128" s="33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1"/>
      <c r="P128" s="23"/>
      <c r="Q128" s="23"/>
      <c r="R128" s="23"/>
      <c r="S128" s="23"/>
    </row>
    <row r="129" spans="1:19">
      <c r="A129" s="23"/>
      <c r="B129" s="23"/>
      <c r="C129" s="23"/>
      <c r="D129" s="33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1"/>
      <c r="P129" s="23"/>
      <c r="Q129" s="23"/>
      <c r="R129" s="23"/>
      <c r="S129" s="23"/>
    </row>
    <row r="130" spans="1:19">
      <c r="A130" s="23"/>
      <c r="B130" s="23"/>
      <c r="C130" s="23"/>
      <c r="D130" s="33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1"/>
      <c r="P130" s="23"/>
      <c r="Q130" s="23"/>
      <c r="R130" s="23"/>
      <c r="S130" s="23"/>
    </row>
    <row r="131" spans="1:19">
      <c r="A131" s="23"/>
      <c r="B131" s="23"/>
      <c r="C131" s="23"/>
      <c r="D131" s="33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1"/>
      <c r="P131" s="23"/>
      <c r="Q131" s="23"/>
      <c r="R131" s="23"/>
      <c r="S131" s="23"/>
    </row>
    <row r="132" spans="1:19">
      <c r="A132" s="23"/>
      <c r="B132" s="23"/>
      <c r="C132" s="23"/>
      <c r="D132" s="33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1"/>
      <c r="P132" s="23"/>
      <c r="Q132" s="23"/>
      <c r="R132" s="23"/>
      <c r="S132" s="23"/>
    </row>
    <row r="133" spans="1:19">
      <c r="A133" s="23"/>
      <c r="B133" s="23"/>
      <c r="C133" s="23"/>
      <c r="D133" s="33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1"/>
      <c r="P133" s="23"/>
      <c r="Q133" s="23"/>
      <c r="R133" s="23"/>
      <c r="S133" s="23"/>
    </row>
    <row r="134" spans="1:19">
      <c r="A134" s="23"/>
      <c r="B134" s="23"/>
      <c r="C134" s="23"/>
      <c r="D134" s="33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1"/>
      <c r="P134" s="23"/>
      <c r="Q134" s="23"/>
      <c r="R134" s="23"/>
      <c r="S134" s="23"/>
    </row>
    <row r="135" spans="1:19">
      <c r="A135" s="23"/>
      <c r="B135" s="23"/>
      <c r="C135" s="23"/>
      <c r="D135" s="33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1"/>
      <c r="P135" s="23"/>
      <c r="Q135" s="23"/>
      <c r="R135" s="23"/>
      <c r="S135" s="23"/>
    </row>
    <row r="136" spans="1:19">
      <c r="A136" s="23"/>
      <c r="B136" s="23"/>
      <c r="C136" s="23"/>
      <c r="D136" s="33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1"/>
      <c r="P136" s="23"/>
      <c r="Q136" s="23"/>
      <c r="R136" s="23"/>
      <c r="S136" s="23"/>
    </row>
    <row r="137" spans="1:19">
      <c r="A137" s="23"/>
      <c r="B137" s="23"/>
      <c r="C137" s="23"/>
      <c r="D137" s="33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1"/>
      <c r="P137" s="23"/>
      <c r="Q137" s="23"/>
      <c r="R137" s="23"/>
      <c r="S137" s="23"/>
    </row>
    <row r="138" spans="1:19">
      <c r="A138" s="23"/>
      <c r="B138" s="23"/>
      <c r="C138" s="23"/>
      <c r="D138" s="33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1"/>
      <c r="P138" s="23"/>
      <c r="Q138" s="23"/>
      <c r="R138" s="23"/>
      <c r="S138" s="23"/>
    </row>
    <row r="139" spans="1:19">
      <c r="A139" s="23"/>
      <c r="B139" s="23"/>
      <c r="C139" s="23"/>
      <c r="D139" s="33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1"/>
      <c r="P139" s="23"/>
      <c r="Q139" s="23"/>
      <c r="R139" s="23"/>
      <c r="S139" s="23"/>
    </row>
    <row r="140" spans="1:19">
      <c r="A140" s="23"/>
      <c r="B140" s="23"/>
      <c r="C140" s="23"/>
      <c r="D140" s="33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1"/>
      <c r="P140" s="23"/>
      <c r="Q140" s="23"/>
      <c r="R140" s="23"/>
      <c r="S140" s="23"/>
    </row>
    <row r="141" spans="1:19">
      <c r="A141" s="23"/>
      <c r="B141" s="23"/>
      <c r="C141" s="23"/>
      <c r="D141" s="33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1"/>
      <c r="P141" s="23"/>
      <c r="Q141" s="23"/>
      <c r="R141" s="23"/>
      <c r="S141" s="23"/>
    </row>
    <row r="142" spans="1:19">
      <c r="A142" s="23"/>
      <c r="B142" s="23"/>
      <c r="C142" s="23"/>
      <c r="D142" s="33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1"/>
      <c r="P142" s="23"/>
      <c r="Q142" s="23"/>
      <c r="R142" s="23"/>
      <c r="S142" s="23"/>
    </row>
    <row r="143" spans="1:19">
      <c r="A143" s="23"/>
      <c r="B143" s="23"/>
      <c r="C143" s="23"/>
      <c r="D143" s="33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1"/>
      <c r="P143" s="23"/>
      <c r="Q143" s="23"/>
      <c r="R143" s="23"/>
      <c r="S143" s="23"/>
    </row>
    <row r="144" spans="1:19">
      <c r="A144" s="23"/>
      <c r="B144" s="23"/>
      <c r="C144" s="23"/>
      <c r="D144" s="33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1"/>
      <c r="P144" s="23"/>
      <c r="Q144" s="23"/>
      <c r="R144" s="23"/>
      <c r="S144" s="23"/>
    </row>
    <row r="145" spans="1:19">
      <c r="A145" s="23"/>
      <c r="B145" s="23"/>
      <c r="C145" s="23"/>
      <c r="D145" s="33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1"/>
      <c r="P145" s="23"/>
      <c r="Q145" s="23"/>
      <c r="R145" s="23"/>
      <c r="S145" s="23"/>
    </row>
    <row r="146" spans="1:19">
      <c r="A146" s="23"/>
      <c r="D146" s="22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21"/>
    </row>
    <row r="147" spans="1:19">
      <c r="D147" s="22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21"/>
    </row>
    <row r="148" spans="1:19">
      <c r="D148" s="22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21"/>
    </row>
    <row r="149" spans="1:19">
      <c r="D149" s="22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21"/>
    </row>
    <row r="150" spans="1:19">
      <c r="D150" s="22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21"/>
    </row>
    <row r="151" spans="1:19">
      <c r="D151" s="22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21"/>
    </row>
    <row r="152" spans="1:19">
      <c r="D152" s="22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21"/>
    </row>
    <row r="153" spans="1:19">
      <c r="D153" s="22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21"/>
    </row>
    <row r="154" spans="1:19">
      <c r="D154" s="22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21"/>
    </row>
    <row r="155" spans="1:19">
      <c r="D155" s="22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21"/>
    </row>
    <row r="156" spans="1:19">
      <c r="D156" s="22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21"/>
    </row>
    <row r="157" spans="1:19">
      <c r="D157" s="22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21"/>
    </row>
    <row r="158" spans="1:19">
      <c r="D158" s="22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21"/>
    </row>
    <row r="159" spans="1:19">
      <c r="D159" s="22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21"/>
    </row>
    <row r="160" spans="1:19">
      <c r="D160" s="22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21"/>
    </row>
    <row r="161" spans="4:15">
      <c r="D161" s="22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21"/>
    </row>
    <row r="162" spans="4:15">
      <c r="D162" s="22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21"/>
    </row>
    <row r="163" spans="4:15">
      <c r="D163" s="22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21"/>
    </row>
    <row r="164" spans="4:15">
      <c r="D164" s="22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21"/>
    </row>
    <row r="165" spans="4:15">
      <c r="D165" s="22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21"/>
    </row>
    <row r="166" spans="4:15">
      <c r="D166" s="2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21"/>
    </row>
    <row r="167" spans="4:15">
      <c r="D167" s="22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21"/>
    </row>
    <row r="168" spans="4:15">
      <c r="D168" s="22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21"/>
    </row>
    <row r="169" spans="4:15">
      <c r="D169" s="22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21"/>
    </row>
    <row r="170" spans="4:15">
      <c r="D170" s="22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21"/>
    </row>
    <row r="171" spans="4:15">
      <c r="D171" s="22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21"/>
    </row>
    <row r="172" spans="4:15">
      <c r="D172" s="22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21"/>
    </row>
    <row r="173" spans="4:15">
      <c r="D173" s="22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21"/>
    </row>
    <row r="174" spans="4:15">
      <c r="D174" s="22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21"/>
    </row>
    <row r="175" spans="4:15">
      <c r="D175" s="22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21"/>
    </row>
    <row r="176" spans="4:15">
      <c r="D176" s="22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21"/>
    </row>
    <row r="177" spans="3:15">
      <c r="D177" s="22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21"/>
    </row>
    <row r="178" spans="3:15">
      <c r="D178" s="22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21"/>
    </row>
    <row r="179" spans="3:15">
      <c r="D179" s="22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21"/>
    </row>
    <row r="180" spans="3:15">
      <c r="D180" s="22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21"/>
    </row>
    <row r="181" spans="3:15">
      <c r="D181" s="22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21"/>
    </row>
    <row r="182" spans="3:15">
      <c r="D182" s="22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21"/>
    </row>
    <row r="183" spans="3:15">
      <c r="D183" s="22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21"/>
    </row>
    <row r="184" spans="3:15">
      <c r="D184" s="22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21"/>
    </row>
    <row r="185" spans="3:15">
      <c r="D185" s="22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21"/>
    </row>
    <row r="186" spans="3:15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21"/>
    </row>
    <row r="187" spans="3:15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21"/>
    </row>
    <row r="188" spans="3:15"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21"/>
    </row>
    <row r="189" spans="3:15"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21"/>
    </row>
    <row r="190" spans="3:15"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21"/>
    </row>
    <row r="191" spans="3:15"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21"/>
    </row>
    <row r="192" spans="3:15"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21"/>
    </row>
    <row r="193" spans="5:15"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21"/>
    </row>
    <row r="194" spans="5:15"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21"/>
    </row>
    <row r="195" spans="5:15"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21"/>
    </row>
    <row r="196" spans="5:15"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21"/>
    </row>
    <row r="197" spans="5:15"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21"/>
    </row>
    <row r="198" spans="5:15"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21"/>
    </row>
    <row r="199" spans="5:15"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21"/>
    </row>
    <row r="200" spans="5:15"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21"/>
    </row>
    <row r="201" spans="5:15"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21"/>
    </row>
    <row r="202" spans="5:15"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21"/>
    </row>
    <row r="203" spans="5:15"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21"/>
    </row>
  </sheetData>
  <sheetProtection formatCells="0" formatColumns="0" formatRows="0" sort="0" autoFilter="0"/>
  <mergeCells count="34">
    <mergeCell ref="I7:K7"/>
    <mergeCell ref="L11:M11"/>
    <mergeCell ref="J11:K11"/>
    <mergeCell ref="H11:I11"/>
    <mergeCell ref="X11:Y11"/>
    <mergeCell ref="Z11:AA11"/>
    <mergeCell ref="X13:Y13"/>
    <mergeCell ref="Z13:AA13"/>
    <mergeCell ref="H8:L8"/>
    <mergeCell ref="F11:G11"/>
    <mergeCell ref="D11:E11"/>
    <mergeCell ref="N12:O12"/>
    <mergeCell ref="V11:W11"/>
    <mergeCell ref="T11:U11"/>
    <mergeCell ref="R11:S11"/>
    <mergeCell ref="P11:Q11"/>
    <mergeCell ref="N11:O11"/>
    <mergeCell ref="C13:C14"/>
    <mergeCell ref="V13:W13"/>
    <mergeCell ref="T13:U13"/>
    <mergeCell ref="R13:S13"/>
    <mergeCell ref="P13:Q13"/>
    <mergeCell ref="N13:O13"/>
    <mergeCell ref="L13:M13"/>
    <mergeCell ref="J13:K13"/>
    <mergeCell ref="H13:I13"/>
    <mergeCell ref="F13:G13"/>
    <mergeCell ref="D13:E13"/>
    <mergeCell ref="BQ5:BX6"/>
    <mergeCell ref="BP7:BP8"/>
    <mergeCell ref="BQ7:BR7"/>
    <mergeCell ref="BS7:BT7"/>
    <mergeCell ref="BU7:BV7"/>
    <mergeCell ref="BW7:BX7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DL220"/>
  <sheetViews>
    <sheetView zoomScale="90" zoomScaleNormal="90" zoomScaleSheetLayoutView="100" workbookViewId="0">
      <pane ySplit="13" topLeftCell="A14" activePane="bottomLeft" state="frozen"/>
      <selection pane="bottomLeft" activeCell="Z90" sqref="Z90"/>
    </sheetView>
  </sheetViews>
  <sheetFormatPr defaultColWidth="9.140625" defaultRowHeight="12.75"/>
  <cols>
    <col min="1" max="2" width="9.140625" style="182" customWidth="1"/>
    <col min="3" max="3" width="57" style="182" customWidth="1"/>
    <col min="4" max="4" width="9.28515625" style="182" customWidth="1"/>
    <col min="5" max="5" width="8.140625" style="182" customWidth="1"/>
    <col min="6" max="6" width="9.5703125" style="182" customWidth="1"/>
    <col min="7" max="23" width="8.140625" style="182" customWidth="1"/>
    <col min="24" max="24" width="8.85546875" style="181" customWidth="1"/>
    <col min="25" max="25" width="9.140625" style="181" customWidth="1"/>
    <col min="26" max="26" width="11" style="181" customWidth="1"/>
    <col min="27" max="27" width="8.140625" style="181" customWidth="1"/>
    <col min="28" max="52" width="9.140625" style="181"/>
    <col min="53" max="89" width="9.140625" style="182"/>
    <col min="90" max="90" width="15.42578125" style="182" customWidth="1"/>
    <col min="91" max="91" width="12.7109375" style="182" customWidth="1"/>
    <col min="92" max="92" width="11.85546875" style="182" customWidth="1"/>
    <col min="93" max="16384" width="9.140625" style="182"/>
  </cols>
  <sheetData>
    <row r="1" spans="1:114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114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</row>
    <row r="3" spans="1:114" ht="13.5" customHeight="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</row>
    <row r="4" spans="1:114" ht="13.5" customHeight="1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</row>
    <row r="5" spans="1:114" ht="13.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</row>
    <row r="6" spans="1:114">
      <c r="A6" s="181"/>
      <c r="B6" s="181"/>
      <c r="C6" s="185"/>
      <c r="D6" s="181"/>
      <c r="E6" s="181"/>
      <c r="F6" s="181"/>
      <c r="G6" s="181"/>
      <c r="H6" s="181"/>
      <c r="I6" s="562"/>
      <c r="J6" s="562"/>
      <c r="K6" s="562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</row>
    <row r="7" spans="1:114" ht="15" customHeight="1">
      <c r="A7" s="181"/>
      <c r="B7" s="181"/>
      <c r="C7" s="181"/>
      <c r="D7" s="181"/>
      <c r="E7" s="181"/>
      <c r="F7" s="181"/>
      <c r="G7" s="181"/>
      <c r="H7" s="562"/>
      <c r="I7" s="562"/>
      <c r="J7" s="562"/>
      <c r="K7" s="562"/>
      <c r="L7" s="562"/>
      <c r="M7" s="186"/>
      <c r="N7" s="186"/>
      <c r="O7" s="181"/>
      <c r="P7" s="186"/>
      <c r="Q7" s="181"/>
      <c r="R7" s="186"/>
      <c r="S7" s="181"/>
      <c r="T7" s="186"/>
      <c r="U7" s="181"/>
      <c r="V7" s="186"/>
      <c r="W7" s="181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</row>
    <row r="8" spans="1:114" ht="13.5" thickBot="1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</row>
    <row r="9" spans="1:114" ht="15.75" customHeight="1" thickTop="1" thickBot="1">
      <c r="A9" s="181"/>
      <c r="B9" s="181"/>
      <c r="C9" s="187" t="str">
        <f>'[3]Cental Budget_int'!C11</f>
        <v>BDP (u mil. €)</v>
      </c>
      <c r="D9" s="567">
        <f>'[3]Cental Budget_int'!D11</f>
        <v>2148900000</v>
      </c>
      <c r="E9" s="567"/>
      <c r="F9" s="563">
        <f>'[3]Cental Budget_int'!F11</f>
        <v>2680500000</v>
      </c>
      <c r="G9" s="563"/>
      <c r="H9" s="563">
        <f>'[3]Cental Budget_int'!H11</f>
        <v>3085600000</v>
      </c>
      <c r="I9" s="563"/>
      <c r="J9" s="563">
        <f>'[3]Cental Budget_int'!J11</f>
        <v>2981000000</v>
      </c>
      <c r="K9" s="563"/>
      <c r="L9" s="563">
        <f>'[3]Cental Budget_int'!L11</f>
        <v>3125000000</v>
      </c>
      <c r="M9" s="563"/>
      <c r="N9" s="563">
        <f>'[3]Cental Budget_int'!N11</f>
        <v>3265000000</v>
      </c>
      <c r="O9" s="563"/>
      <c r="P9" s="563">
        <f>'[3]Cental Budget_int'!P11</f>
        <v>3181000000</v>
      </c>
      <c r="Q9" s="563"/>
      <c r="R9" s="563">
        <f>'[3]Cental Budget_int'!R11</f>
        <v>3362000000</v>
      </c>
      <c r="S9" s="563"/>
      <c r="T9" s="563">
        <f>'[3]Cental Budget_int'!T11</f>
        <v>3457900000</v>
      </c>
      <c r="U9" s="563"/>
      <c r="V9" s="563">
        <f>+'Cental Budget'!V11:W11</f>
        <v>3655000000</v>
      </c>
      <c r="W9" s="563"/>
      <c r="X9" s="563">
        <f>+'Cental Budget'!X11</f>
        <v>3954200000</v>
      </c>
      <c r="Y9" s="563"/>
      <c r="Z9" s="563">
        <f>+'Cental Budget'!Z11</f>
        <v>4236500000</v>
      </c>
      <c r="AA9" s="56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</row>
    <row r="10" spans="1:114" ht="15" customHeight="1" thickTop="1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</row>
    <row r="11" spans="1:114" ht="14.25" customHeight="1" thickBot="1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564"/>
      <c r="O11" s="564"/>
      <c r="P11" s="564"/>
      <c r="Q11" s="564"/>
      <c r="R11" s="564"/>
      <c r="S11" s="564"/>
      <c r="T11" s="564"/>
      <c r="U11" s="564"/>
      <c r="V11" s="564"/>
      <c r="W11" s="564"/>
      <c r="X11" s="564"/>
      <c r="Y11" s="564"/>
      <c r="Z11" s="564"/>
      <c r="AA11" s="564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F11" s="188"/>
      <c r="CG11" s="188"/>
      <c r="CH11" s="188"/>
      <c r="CI11" s="188"/>
      <c r="CJ11" s="188"/>
      <c r="CK11" s="188"/>
      <c r="CL11" s="188"/>
      <c r="CM11" s="188"/>
      <c r="CN11" s="188"/>
      <c r="CO11" s="188"/>
      <c r="CP11" s="188"/>
      <c r="CQ11" s="188"/>
      <c r="CR11" s="188"/>
      <c r="CS11" s="188"/>
      <c r="CT11" s="188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</row>
    <row r="12" spans="1:114" ht="15" customHeight="1" thickTop="1">
      <c r="A12" s="181"/>
      <c r="B12" s="181"/>
      <c r="C12" s="568" t="str">
        <f>IF([3]MasterSheet!$A$1=1,[3]MasterSheet!B160,[3]MasterSheet!B159)</f>
        <v>Lokalna samouprava</v>
      </c>
      <c r="D12" s="565">
        <v>2006</v>
      </c>
      <c r="E12" s="566"/>
      <c r="F12" s="565">
        <v>2007</v>
      </c>
      <c r="G12" s="566"/>
      <c r="H12" s="565">
        <v>2008</v>
      </c>
      <c r="I12" s="566"/>
      <c r="J12" s="565">
        <v>2009</v>
      </c>
      <c r="K12" s="566"/>
      <c r="L12" s="565">
        <v>2010</v>
      </c>
      <c r="M12" s="566"/>
      <c r="N12" s="565">
        <v>2011</v>
      </c>
      <c r="O12" s="566"/>
      <c r="P12" s="565">
        <v>2012</v>
      </c>
      <c r="Q12" s="566"/>
      <c r="R12" s="565">
        <v>2013</v>
      </c>
      <c r="S12" s="566"/>
      <c r="T12" s="565">
        <v>2014</v>
      </c>
      <c r="U12" s="566"/>
      <c r="V12" s="565">
        <v>2015</v>
      </c>
      <c r="W12" s="566"/>
      <c r="X12" s="565">
        <v>2016</v>
      </c>
      <c r="Y12" s="566"/>
      <c r="Z12" s="565">
        <v>2017</v>
      </c>
      <c r="AA12" s="566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8"/>
      <c r="CO12" s="188"/>
      <c r="CP12" s="188"/>
      <c r="CQ12" s="188"/>
      <c r="CR12" s="188"/>
      <c r="CS12" s="188"/>
      <c r="CT12" s="188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</row>
    <row r="13" spans="1:114" ht="17.25" customHeight="1" thickBot="1">
      <c r="A13" s="181"/>
      <c r="B13" s="181"/>
      <c r="C13" s="569"/>
      <c r="D13" s="190" t="str">
        <f>IF([3]MasterSheet!$A$1=1,[3]MasterSheet!C71,[3]MasterSheet!C70)</f>
        <v>mil. €</v>
      </c>
      <c r="E13" s="191" t="str">
        <f>IF([3]MasterSheet!$A$1=1,[3]MasterSheet!D71,[3]MasterSheet!D70)</f>
        <v>% BDP</v>
      </c>
      <c r="F13" s="190" t="str">
        <f>IF([3]MasterSheet!$A$1=1,[3]MasterSheet!E71,[3]MasterSheet!E70)</f>
        <v>mil. €</v>
      </c>
      <c r="G13" s="191" t="str">
        <f>IF([3]MasterSheet!$A$1=1,[3]MasterSheet!F71,[3]MasterSheet!F70)</f>
        <v>% BDP</v>
      </c>
      <c r="H13" s="190" t="str">
        <f>IF([3]MasterSheet!$A$1=1,[3]MasterSheet!G71,[3]MasterSheet!G70)</f>
        <v>mil. €</v>
      </c>
      <c r="I13" s="191" t="str">
        <f>IF([3]MasterSheet!$A$1=1,[3]MasterSheet!H71,[3]MasterSheet!H70)</f>
        <v>% BDP</v>
      </c>
      <c r="J13" s="190" t="str">
        <f>IF([3]MasterSheet!$A$1=1,[3]MasterSheet!I71,[3]MasterSheet!I70)</f>
        <v>mil. €</v>
      </c>
      <c r="K13" s="191" t="str">
        <f>IF([3]MasterSheet!$A$1=1,[3]MasterSheet!J71,[3]MasterSheet!J70)</f>
        <v>% BDP</v>
      </c>
      <c r="L13" s="190" t="str">
        <f>IF([3]MasterSheet!$A$1=1,[3]MasterSheet!K71,[3]MasterSheet!K70)</f>
        <v>mil. €</v>
      </c>
      <c r="M13" s="191" t="str">
        <f>IF([3]MasterSheet!$A$1=1,[3]MasterSheet!L71,[3]MasterSheet!L70)</f>
        <v>% BDP</v>
      </c>
      <c r="N13" s="190" t="str">
        <f>IF([3]MasterSheet!$A$1=1,[3]MasterSheet!M71,[3]MasterSheet!M70)</f>
        <v>mil. €</v>
      </c>
      <c r="O13" s="191" t="str">
        <f>IF([3]MasterSheet!$A$1=1,[3]MasterSheet!N71,[3]MasterSheet!N70)</f>
        <v>% BDP</v>
      </c>
      <c r="P13" s="190" t="str">
        <f>IF([3]MasterSheet!$A$1=1,[3]MasterSheet!O71,[3]MasterSheet!O70)</f>
        <v>mil. €</v>
      </c>
      <c r="Q13" s="191" t="str">
        <f>IF([3]MasterSheet!$A$1=1,[3]MasterSheet!P71,[3]MasterSheet!P70)</f>
        <v>% BDP</v>
      </c>
      <c r="R13" s="190" t="str">
        <f>IF([3]MasterSheet!$A$1=1,[3]MasterSheet!Q71,[3]MasterSheet!Q70)</f>
        <v>mil. €</v>
      </c>
      <c r="S13" s="191" t="str">
        <f>IF([3]MasterSheet!$A$1=1,[3]MasterSheet!R71,[3]MasterSheet!R70)</f>
        <v>% BDP</v>
      </c>
      <c r="T13" s="190" t="str">
        <f>IF([3]MasterSheet!$A$1=1,[3]MasterSheet!S71,[3]MasterSheet!S70)</f>
        <v>mil. €</v>
      </c>
      <c r="U13" s="191" t="str">
        <f>IF([3]MasterSheet!$A$1=1,[3]MasterSheet!T71,[3]MasterSheet!T70)</f>
        <v>% BDP</v>
      </c>
      <c r="V13" s="190" t="str">
        <f>IF([3]MasterSheet!$A$1=1,[3]MasterSheet!U71,[3]MasterSheet!U70)</f>
        <v>mil. €</v>
      </c>
      <c r="W13" s="191" t="str">
        <f>IF([3]MasterSheet!$A$1=1,[3]MasterSheet!V71,[3]MasterSheet!V70)</f>
        <v>% BDP</v>
      </c>
      <c r="X13" s="190" t="s">
        <v>415</v>
      </c>
      <c r="Y13" s="191" t="s">
        <v>149</v>
      </c>
      <c r="Z13" s="190" t="s">
        <v>415</v>
      </c>
      <c r="AA13" s="191" t="s">
        <v>149</v>
      </c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8"/>
      <c r="CB13" s="188"/>
      <c r="CC13" s="188"/>
      <c r="CD13" s="188"/>
      <c r="CE13" s="188"/>
      <c r="CF13" s="188"/>
      <c r="CG13" s="188"/>
      <c r="CH13" s="188"/>
      <c r="CI13" s="188"/>
      <c r="CJ13" s="188"/>
      <c r="CK13" s="188"/>
      <c r="CL13" s="188"/>
      <c r="CM13" s="188"/>
      <c r="CN13" s="188"/>
      <c r="CO13" s="188"/>
      <c r="CP13" s="188"/>
      <c r="CQ13" s="188"/>
      <c r="CR13" s="188"/>
      <c r="CS13" s="188"/>
      <c r="CT13" s="188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</row>
    <row r="14" spans="1:114" ht="15" customHeight="1" thickTop="1" thickBot="1">
      <c r="A14" s="181"/>
      <c r="B14" s="181"/>
      <c r="C14" s="192" t="str">
        <f>IF([3]MasterSheet!$A$1=1,[3]MasterSheet!C162,[3]MasterSheet!B162)</f>
        <v>Izvorni prihodi</v>
      </c>
      <c r="D14" s="193">
        <f>+D15+D19+D25+D35+D40</f>
        <v>119013684.62999998</v>
      </c>
      <c r="E14" s="194">
        <f t="shared" ref="E14:E77" si="0">+D14/$D$9*100</f>
        <v>5.5383537917073848</v>
      </c>
      <c r="F14" s="193">
        <f>+F15+F19+F25+F35+F40</f>
        <v>197388257.13999999</v>
      </c>
      <c r="G14" s="194">
        <f t="shared" ref="G14:G77" si="1">+F14/$F$9*100</f>
        <v>7.3638596209662373</v>
      </c>
      <c r="H14" s="193">
        <f>+H15+H19+H25+H35+H40</f>
        <v>259780310</v>
      </c>
      <c r="I14" s="194">
        <f>+H14/$H$9*100</f>
        <v>8.4191181617837696</v>
      </c>
      <c r="J14" s="193">
        <f>+J15+J19+J25+J35+J40</f>
        <v>183697794.28999999</v>
      </c>
      <c r="K14" s="194">
        <f>+J14/$J$9*100</f>
        <v>6.1622876313317674</v>
      </c>
      <c r="L14" s="193">
        <f>+L15+L19+L25+L35+L40</f>
        <v>173794350.21600002</v>
      </c>
      <c r="M14" s="194">
        <f>+L14/$L$9*100</f>
        <v>5.5614192069120012</v>
      </c>
      <c r="N14" s="193">
        <f>+N15+N19+N25+N35+N40</f>
        <v>155931969.95999998</v>
      </c>
      <c r="O14" s="194">
        <f>+N14/$N$9*100</f>
        <v>4.7758643173047473</v>
      </c>
      <c r="P14" s="193">
        <f>+P15+P19+P25+P35+P40</f>
        <v>178887181.78333333</v>
      </c>
      <c r="Q14" s="194">
        <f>+P14/$P$9*100</f>
        <v>5.6236146426700193</v>
      </c>
      <c r="R14" s="193">
        <f>+R15+R19+R25+R35+R40+R42</f>
        <v>188370952.56</v>
      </c>
      <c r="S14" s="194">
        <f>+R14/$R$9*100</f>
        <v>5.602943264723379</v>
      </c>
      <c r="T14" s="193">
        <f>+T15+T19+T25+T35+T40+T42</f>
        <v>196135429.69</v>
      </c>
      <c r="U14" s="194">
        <f>+T14/$T$9*100</f>
        <v>5.6720966392897418</v>
      </c>
      <c r="V14" s="193">
        <f>+V15+V19+V25+V35+V40+V42</f>
        <v>199105949.82799998</v>
      </c>
      <c r="W14" s="194">
        <f>+V14/$V$9*100</f>
        <v>5.4474952073324205</v>
      </c>
      <c r="X14" s="193">
        <f>+X15+X19+X25+X35+X40+X42</f>
        <v>197197453.69</v>
      </c>
      <c r="Y14" s="194">
        <f>+X14/$X$9*100</f>
        <v>4.9870379265085223</v>
      </c>
      <c r="Z14" s="193">
        <f>+Z15+Z19+Z25+Z35+Z40+Z42</f>
        <v>219122420.69000003</v>
      </c>
      <c r="AA14" s="194">
        <f>+Z14/$Z$9*100</f>
        <v>5.1722511670010629</v>
      </c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88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  <c r="CF14" s="188"/>
      <c r="CG14" s="188"/>
      <c r="CH14" s="188"/>
      <c r="CI14" s="188"/>
      <c r="CJ14" s="188"/>
      <c r="CK14" s="188"/>
      <c r="CL14" s="188"/>
      <c r="CM14" s="188"/>
      <c r="CN14" s="188"/>
      <c r="CO14" s="188"/>
      <c r="CP14" s="188"/>
      <c r="CQ14" s="188"/>
      <c r="CR14" s="188"/>
      <c r="CS14" s="188"/>
      <c r="CT14" s="188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</row>
    <row r="15" spans="1:114" ht="15" customHeight="1" thickTop="1">
      <c r="A15" s="181"/>
      <c r="B15" s="181"/>
      <c r="C15" s="197" t="str">
        <f>IF([3]MasterSheet!$A$1=1,[3]MasterSheet!C163,[3]MasterSheet!B163)</f>
        <v>Porezi</v>
      </c>
      <c r="D15" s="198">
        <f>SUM(D16:D18)</f>
        <v>55149934.989999995</v>
      </c>
      <c r="E15" s="199">
        <f t="shared" si="0"/>
        <v>2.5664263106705754</v>
      </c>
      <c r="F15" s="198">
        <f>SUM(F16:F18)</f>
        <v>74928953</v>
      </c>
      <c r="G15" s="199">
        <f t="shared" si="1"/>
        <v>2.7953349375116581</v>
      </c>
      <c r="H15" s="198">
        <f>SUM(H16:H18)</f>
        <v>94281841</v>
      </c>
      <c r="I15" s="199">
        <f t="shared" ref="I15:I77" si="2">+H15/$H$9*100</f>
        <v>3.0555432006740988</v>
      </c>
      <c r="J15" s="198">
        <f>SUM(J16:J18)</f>
        <v>83217161.069999993</v>
      </c>
      <c r="K15" s="199">
        <f t="shared" ref="K15:K77" si="3">+J15/$J$9*100</f>
        <v>2.7915854099295538</v>
      </c>
      <c r="L15" s="198">
        <f>SUM(L16:L18)</f>
        <v>81255562.169999987</v>
      </c>
      <c r="M15" s="199">
        <f t="shared" ref="M15:M77" si="4">+L15/$L$9*100</f>
        <v>2.6001779894399992</v>
      </c>
      <c r="N15" s="198">
        <f>SUM(N16:N18)</f>
        <v>90454134.650000006</v>
      </c>
      <c r="O15" s="199">
        <f t="shared" ref="O15:O77" si="5">+N15/$N$9*100</f>
        <v>2.770417600306279</v>
      </c>
      <c r="P15" s="198">
        <f>SUM(P16:P18)</f>
        <v>98546975.843333334</v>
      </c>
      <c r="Q15" s="199">
        <f t="shared" ref="Q15:Q77" si="6">+P15/$P$9*100</f>
        <v>3.0979872946662477</v>
      </c>
      <c r="R15" s="198">
        <f>SUM(R16:R18)</f>
        <v>107819306.34</v>
      </c>
      <c r="S15" s="199">
        <f t="shared" ref="S15:S78" si="7">+R15/$R$9*100</f>
        <v>3.2069989988102323</v>
      </c>
      <c r="T15" s="198">
        <v>116912935.66999999</v>
      </c>
      <c r="U15" s="199">
        <f t="shared" ref="U15:U78" si="8">+T15/$T$9*100</f>
        <v>3.381038655542381</v>
      </c>
      <c r="V15" s="200">
        <f>V16+V17+V18</f>
        <v>120035467.418</v>
      </c>
      <c r="W15" s="199">
        <f t="shared" ref="W15:W78" si="9">+V15/$V$9*100</f>
        <v>3.2841441154035569</v>
      </c>
      <c r="X15" s="198">
        <f>SUM(X16:X18)</f>
        <v>126225514.57000001</v>
      </c>
      <c r="Y15" s="199">
        <f t="shared" ref="Y15:Y78" si="10">+X15/$X$9*100</f>
        <v>3.1921884216782157</v>
      </c>
      <c r="Z15" s="198">
        <f>SUM(Z16:Z18)</f>
        <v>133196468.59</v>
      </c>
      <c r="AA15" s="199">
        <f t="shared" ref="AA15:AA78" si="11">+Z15/$Z$9*100</f>
        <v>3.1440214467130891</v>
      </c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195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188"/>
      <c r="CL15" s="188"/>
      <c r="CM15" s="188"/>
      <c r="CN15" s="188"/>
      <c r="CO15" s="188"/>
      <c r="CP15" s="188"/>
      <c r="CQ15" s="188"/>
      <c r="CR15" s="188"/>
      <c r="CS15" s="188"/>
      <c r="CT15" s="188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</row>
    <row r="16" spans="1:114" ht="15" customHeight="1">
      <c r="A16" s="181"/>
      <c r="B16" s="181"/>
      <c r="C16" s="203" t="str">
        <f>IF([3]MasterSheet!$A$1=1,[3]MasterSheet!C164,[3]MasterSheet!B164)</f>
        <v>Porez na dohodak fizičkih lica</v>
      </c>
      <c r="D16" s="204">
        <v>20525829.359999999</v>
      </c>
      <c r="E16" s="205">
        <f t="shared" si="0"/>
        <v>0.95517843361719956</v>
      </c>
      <c r="F16" s="204">
        <v>19429716.5</v>
      </c>
      <c r="G16" s="205">
        <f t="shared" si="1"/>
        <v>0.72485418765155751</v>
      </c>
      <c r="H16" s="204">
        <v>29186949.5</v>
      </c>
      <c r="I16" s="205">
        <f t="shared" si="2"/>
        <v>0.94590839707026186</v>
      </c>
      <c r="J16" s="204">
        <v>26380038.800000001</v>
      </c>
      <c r="K16" s="205">
        <f t="shared" si="3"/>
        <v>0.88493924186514605</v>
      </c>
      <c r="L16" s="204">
        <v>23372210.269999996</v>
      </c>
      <c r="M16" s="205">
        <f t="shared" si="4"/>
        <v>0.74791072863999986</v>
      </c>
      <c r="N16" s="204">
        <v>31587816.781999998</v>
      </c>
      <c r="O16" s="205">
        <f t="shared" si="5"/>
        <v>0.96746758903522201</v>
      </c>
      <c r="P16" s="204">
        <v>27420611.093333334</v>
      </c>
      <c r="Q16" s="206">
        <f t="shared" si="6"/>
        <v>0.86201229466624751</v>
      </c>
      <c r="R16" s="204">
        <v>28533236.52</v>
      </c>
      <c r="S16" s="206">
        <f t="shared" si="7"/>
        <v>0.84869829030339083</v>
      </c>
      <c r="T16" s="204">
        <v>32416791.079999998</v>
      </c>
      <c r="U16" s="206">
        <f t="shared" si="8"/>
        <v>0.93747046126261591</v>
      </c>
      <c r="V16" s="207">
        <v>30961599.59</v>
      </c>
      <c r="W16" s="206">
        <f t="shared" si="9"/>
        <v>0.84710258796169624</v>
      </c>
      <c r="X16" s="204">
        <v>36916505.5</v>
      </c>
      <c r="Y16" s="206">
        <f t="shared" si="10"/>
        <v>0.93360238480602908</v>
      </c>
      <c r="Z16" s="204">
        <v>33638773.960000001</v>
      </c>
      <c r="AA16" s="206">
        <f t="shared" si="11"/>
        <v>0.79402275368818598</v>
      </c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8"/>
      <c r="CM16" s="188"/>
      <c r="CN16" s="188"/>
      <c r="CO16" s="188"/>
      <c r="CP16" s="188"/>
      <c r="CQ16" s="188"/>
      <c r="CR16" s="188"/>
      <c r="CS16" s="188"/>
      <c r="CT16" s="188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</row>
    <row r="17" spans="1:114" ht="15" customHeight="1">
      <c r="A17" s="181"/>
      <c r="B17" s="181"/>
      <c r="C17" s="203" t="str">
        <f>IF([3]MasterSheet!$A$1=1,[3]MasterSheet!C166,[3]MasterSheet!B166)</f>
        <v>Porez na promet nepokretnosti</v>
      </c>
      <c r="D17" s="204">
        <v>17498111.469999999</v>
      </c>
      <c r="E17" s="205">
        <f t="shared" si="0"/>
        <v>0.81428225929545339</v>
      </c>
      <c r="F17" s="204">
        <v>22881452.5</v>
      </c>
      <c r="G17" s="205">
        <f t="shared" si="1"/>
        <v>0.85362628240999816</v>
      </c>
      <c r="H17" s="204">
        <v>25325384.5</v>
      </c>
      <c r="I17" s="205">
        <f t="shared" si="2"/>
        <v>0.82076045177599166</v>
      </c>
      <c r="J17" s="204">
        <v>14591081.619999999</v>
      </c>
      <c r="K17" s="205">
        <f t="shared" si="3"/>
        <v>0.48946935994632668</v>
      </c>
      <c r="L17" s="204">
        <v>13293351.899999999</v>
      </c>
      <c r="M17" s="205">
        <f t="shared" si="4"/>
        <v>0.4253872608</v>
      </c>
      <c r="N17" s="204">
        <v>14419589.217999998</v>
      </c>
      <c r="O17" s="205">
        <f t="shared" si="5"/>
        <v>0.44164132367534453</v>
      </c>
      <c r="P17" s="204">
        <v>12973044.599999998</v>
      </c>
      <c r="Q17" s="206">
        <f t="shared" si="6"/>
        <v>0.40782912920465253</v>
      </c>
      <c r="R17" s="204">
        <v>12690069.07</v>
      </c>
      <c r="S17" s="206">
        <f t="shared" si="7"/>
        <v>0.37745595092207018</v>
      </c>
      <c r="T17" s="204">
        <v>13399589.07</v>
      </c>
      <c r="U17" s="206">
        <f t="shared" si="8"/>
        <v>0.38750655224269065</v>
      </c>
      <c r="V17" s="207">
        <v>13076258.108000001</v>
      </c>
      <c r="W17" s="206">
        <f t="shared" si="9"/>
        <v>0.35776355972640222</v>
      </c>
      <c r="X17" s="204">
        <v>11897399.580000002</v>
      </c>
      <c r="Y17" s="206">
        <f t="shared" si="10"/>
        <v>0.30088006625866176</v>
      </c>
      <c r="Z17" s="204">
        <v>13649749.639999997</v>
      </c>
      <c r="AA17" s="206">
        <f t="shared" si="11"/>
        <v>0.32219401959164395</v>
      </c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208"/>
      <c r="CN17" s="208"/>
      <c r="CO17" s="188"/>
      <c r="CP17" s="188"/>
      <c r="CQ17" s="188"/>
      <c r="CR17" s="188"/>
      <c r="CS17" s="188"/>
      <c r="CT17" s="188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</row>
    <row r="18" spans="1:114" ht="15" customHeight="1">
      <c r="A18" s="181"/>
      <c r="B18" s="181"/>
      <c r="C18" s="203" t="str">
        <f>IF([3]MasterSheet!$A$1=1,[3]MasterSheet!C168,[3]MasterSheet!B168)</f>
        <v>Lokalni porezi</v>
      </c>
      <c r="D18" s="204">
        <v>17125994.16</v>
      </c>
      <c r="E18" s="205">
        <f t="shared" si="0"/>
        <v>0.79696561775792263</v>
      </c>
      <c r="F18" s="204">
        <v>32617784</v>
      </c>
      <c r="G18" s="205">
        <f t="shared" si="1"/>
        <v>1.2168544674501025</v>
      </c>
      <c r="H18" s="204">
        <v>39769507</v>
      </c>
      <c r="I18" s="205">
        <f t="shared" si="2"/>
        <v>1.2888743518278454</v>
      </c>
      <c r="J18" s="204">
        <v>42246040.649999999</v>
      </c>
      <c r="K18" s="205">
        <f t="shared" si="3"/>
        <v>1.4171768081180811</v>
      </c>
      <c r="L18" s="204">
        <v>44590000</v>
      </c>
      <c r="M18" s="205">
        <f t="shared" si="4"/>
        <v>1.4268799999999999</v>
      </c>
      <c r="N18" s="204">
        <v>44446728.650000006</v>
      </c>
      <c r="O18" s="205">
        <f t="shared" si="5"/>
        <v>1.3613086875957123</v>
      </c>
      <c r="P18" s="204">
        <v>58153320.149999999</v>
      </c>
      <c r="Q18" s="206">
        <f t="shared" si="6"/>
        <v>1.8281458707953475</v>
      </c>
      <c r="R18" s="204">
        <v>66596000.75</v>
      </c>
      <c r="S18" s="206">
        <f t="shared" si="7"/>
        <v>1.980844757584771</v>
      </c>
      <c r="T18" s="204">
        <v>71096555.519999996</v>
      </c>
      <c r="U18" s="206">
        <f t="shared" si="8"/>
        <v>2.0560616420370748</v>
      </c>
      <c r="V18" s="207">
        <v>75997609.719999999</v>
      </c>
      <c r="W18" s="206">
        <f t="shared" si="9"/>
        <v>2.0792779677154583</v>
      </c>
      <c r="X18" s="204">
        <v>77411609.49000001</v>
      </c>
      <c r="Y18" s="206">
        <f t="shared" si="10"/>
        <v>1.9577059706135251</v>
      </c>
      <c r="Z18" s="204">
        <v>85907944.99000001</v>
      </c>
      <c r="AA18" s="206">
        <f t="shared" si="11"/>
        <v>2.0278046734332591</v>
      </c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8"/>
      <c r="CJ18" s="188"/>
      <c r="CK18" s="188"/>
      <c r="CL18" s="188"/>
      <c r="CM18" s="208"/>
      <c r="CN18" s="208"/>
      <c r="CO18" s="188"/>
      <c r="CP18" s="188"/>
      <c r="CQ18" s="188"/>
      <c r="CR18" s="188"/>
      <c r="CS18" s="188"/>
      <c r="CT18" s="188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</row>
    <row r="19" spans="1:114" ht="15" customHeight="1">
      <c r="A19" s="181"/>
      <c r="B19" s="181"/>
      <c r="C19" s="209" t="str">
        <f>IF([3]MasterSheet!$A$1=1,[3]MasterSheet!C177,[3]MasterSheet!B177)</f>
        <v>Takse</v>
      </c>
      <c r="D19" s="210">
        <f>SUM(D20:D24)</f>
        <v>13516659.34</v>
      </c>
      <c r="E19" s="206">
        <f t="shared" si="0"/>
        <v>0.62900364558611388</v>
      </c>
      <c r="F19" s="210">
        <f>SUM(F20:F24)</f>
        <v>11714225.140000001</v>
      </c>
      <c r="G19" s="206">
        <f t="shared" si="1"/>
        <v>0.43701642007088232</v>
      </c>
      <c r="H19" s="210">
        <f>SUM(H20:H24)</f>
        <v>8914171</v>
      </c>
      <c r="I19" s="206">
        <f t="shared" si="2"/>
        <v>0.28889587114337573</v>
      </c>
      <c r="J19" s="210">
        <f>SUM(J20:J24)</f>
        <v>6511851.5600000005</v>
      </c>
      <c r="K19" s="206">
        <f t="shared" si="3"/>
        <v>0.21844520496477693</v>
      </c>
      <c r="L19" s="210">
        <f>SUM(L20:L24)</f>
        <v>5742344.5599999996</v>
      </c>
      <c r="M19" s="206">
        <f t="shared" si="4"/>
        <v>0.18375502591999998</v>
      </c>
      <c r="N19" s="210">
        <f>SUM(N20:N24)</f>
        <v>5969432.7699999996</v>
      </c>
      <c r="O19" s="206">
        <f t="shared" si="5"/>
        <v>0.18283101898928023</v>
      </c>
      <c r="P19" s="210">
        <f>SUM(P20:P24)</f>
        <v>5497737.2399999993</v>
      </c>
      <c r="Q19" s="206">
        <f t="shared" si="6"/>
        <v>0.17283046966362778</v>
      </c>
      <c r="R19" s="210">
        <v>6117329.8700000001</v>
      </c>
      <c r="S19" s="206">
        <f t="shared" si="7"/>
        <v>0.18195508239143368</v>
      </c>
      <c r="T19" s="210">
        <v>5746427.6000000006</v>
      </c>
      <c r="U19" s="206">
        <f t="shared" si="8"/>
        <v>0.16618258480580703</v>
      </c>
      <c r="V19" s="211">
        <v>5281653.3100000005</v>
      </c>
      <c r="W19" s="206">
        <f t="shared" si="9"/>
        <v>0.14450487852257185</v>
      </c>
      <c r="X19" s="210">
        <v>5940652.6299999999</v>
      </c>
      <c r="Y19" s="206">
        <f t="shared" si="10"/>
        <v>0.15023652394921855</v>
      </c>
      <c r="Z19" s="210">
        <v>6557602.5800000001</v>
      </c>
      <c r="AA19" s="206">
        <f t="shared" si="11"/>
        <v>0.15478821149533814</v>
      </c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8"/>
      <c r="CJ19" s="188"/>
      <c r="CK19" s="188"/>
      <c r="CL19" s="188"/>
      <c r="CM19" s="208"/>
      <c r="CN19" s="208"/>
      <c r="CO19" s="208"/>
      <c r="CP19" s="188"/>
      <c r="CQ19" s="188"/>
      <c r="CR19" s="188"/>
      <c r="CS19" s="188"/>
      <c r="CT19" s="188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</row>
    <row r="20" spans="1:114" ht="15" hidden="1" customHeight="1">
      <c r="A20" s="181"/>
      <c r="B20" s="181"/>
      <c r="C20" s="203" t="str">
        <f>IF([3]MasterSheet!$A$1=1,[3]MasterSheet!C178,[3]MasterSheet!B178)</f>
        <v>Administrativne takse</v>
      </c>
      <c r="D20" s="204">
        <v>1798181.75</v>
      </c>
      <c r="E20" s="205">
        <f t="shared" si="0"/>
        <v>8.3679173065289214E-2</v>
      </c>
      <c r="F20" s="204">
        <v>2404445.06</v>
      </c>
      <c r="G20" s="205">
        <f t="shared" si="1"/>
        <v>8.9701363924640926E-2</v>
      </c>
      <c r="H20" s="204">
        <v>2834596</v>
      </c>
      <c r="I20" s="205">
        <f t="shared" si="2"/>
        <v>9.1865309826289862E-2</v>
      </c>
      <c r="J20" s="204">
        <v>2581401.35</v>
      </c>
      <c r="K20" s="205">
        <f t="shared" si="3"/>
        <v>8.6595147601476019E-2</v>
      </c>
      <c r="L20" s="204">
        <v>2046739.64</v>
      </c>
      <c r="M20" s="205">
        <f t="shared" si="4"/>
        <v>6.5495668479999991E-2</v>
      </c>
      <c r="N20" s="204">
        <v>2101784.4299999997</v>
      </c>
      <c r="O20" s="205">
        <f t="shared" si="5"/>
        <v>6.4373183154670735E-2</v>
      </c>
      <c r="P20" s="204">
        <v>1596441.0999999996</v>
      </c>
      <c r="Q20" s="206">
        <f t="shared" si="6"/>
        <v>5.0186768311851607E-2</v>
      </c>
      <c r="R20" s="204">
        <v>1513336.1</v>
      </c>
      <c r="S20" s="206">
        <f t="shared" si="7"/>
        <v>4.5012971445568116E-2</v>
      </c>
      <c r="T20" s="204">
        <v>1456658.34</v>
      </c>
      <c r="U20" s="206">
        <f t="shared" si="8"/>
        <v>4.2125519534977875E-2</v>
      </c>
      <c r="V20" s="207">
        <v>2162818.5773392078</v>
      </c>
      <c r="W20" s="206">
        <f t="shared" si="9"/>
        <v>5.9174242882057665E-2</v>
      </c>
      <c r="X20" s="204">
        <v>1596441.0999999996</v>
      </c>
      <c r="Y20" s="206">
        <f t="shared" si="10"/>
        <v>4.0373301805674972E-2</v>
      </c>
      <c r="Z20" s="210">
        <f t="shared" ref="Z20:Z41" si="12">X20*1.015</f>
        <v>1620387.7164999994</v>
      </c>
      <c r="AA20" s="206">
        <f t="shared" si="11"/>
        <v>3.8248264286557289E-2</v>
      </c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188"/>
      <c r="CD20" s="188"/>
      <c r="CE20" s="188"/>
      <c r="CF20" s="188"/>
      <c r="CG20" s="188"/>
      <c r="CH20" s="188"/>
      <c r="CI20" s="188"/>
      <c r="CJ20" s="188"/>
      <c r="CK20" s="188"/>
      <c r="CL20" s="188"/>
      <c r="CM20" s="208"/>
      <c r="CN20" s="208"/>
      <c r="CO20" s="208"/>
      <c r="CP20" s="188"/>
      <c r="CQ20" s="188"/>
      <c r="CR20" s="188"/>
      <c r="CS20" s="188"/>
      <c r="CT20" s="188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</row>
    <row r="21" spans="1:114" ht="15" hidden="1" customHeight="1">
      <c r="A21" s="181"/>
      <c r="B21" s="181"/>
      <c r="C21" s="203" t="str">
        <f>IF([3]MasterSheet!$A$1=1,[3]MasterSheet!C179,[3]MasterSheet!B179)</f>
        <v>Sudske takse</v>
      </c>
      <c r="D21" s="204">
        <v>0</v>
      </c>
      <c r="E21" s="205">
        <f t="shared" si="0"/>
        <v>0</v>
      </c>
      <c r="F21" s="204">
        <v>0</v>
      </c>
      <c r="G21" s="205">
        <f t="shared" si="1"/>
        <v>0</v>
      </c>
      <c r="H21" s="204">
        <v>0</v>
      </c>
      <c r="I21" s="205">
        <f t="shared" si="2"/>
        <v>0</v>
      </c>
      <c r="J21" s="204">
        <v>0</v>
      </c>
      <c r="K21" s="205">
        <f t="shared" si="3"/>
        <v>0</v>
      </c>
      <c r="L21" s="204">
        <v>0</v>
      </c>
      <c r="M21" s="205">
        <f t="shared" si="4"/>
        <v>0</v>
      </c>
      <c r="N21" s="204">
        <v>0</v>
      </c>
      <c r="O21" s="205">
        <f t="shared" si="5"/>
        <v>0</v>
      </c>
      <c r="P21" s="204">
        <v>0</v>
      </c>
      <c r="Q21" s="206">
        <f t="shared" si="6"/>
        <v>0</v>
      </c>
      <c r="R21" s="204">
        <v>0</v>
      </c>
      <c r="S21" s="206">
        <f t="shared" si="7"/>
        <v>0</v>
      </c>
      <c r="T21" s="204">
        <v>0</v>
      </c>
      <c r="U21" s="206">
        <f t="shared" si="8"/>
        <v>0</v>
      </c>
      <c r="V21" s="207">
        <v>0</v>
      </c>
      <c r="W21" s="206">
        <f t="shared" si="9"/>
        <v>0</v>
      </c>
      <c r="X21" s="204">
        <v>0</v>
      </c>
      <c r="Y21" s="206">
        <f t="shared" si="10"/>
        <v>0</v>
      </c>
      <c r="Z21" s="210">
        <f t="shared" si="12"/>
        <v>0</v>
      </c>
      <c r="AA21" s="206">
        <f t="shared" si="11"/>
        <v>0</v>
      </c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188"/>
      <c r="BX21" s="188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8"/>
      <c r="CJ21" s="188"/>
      <c r="CK21" s="188"/>
      <c r="CL21" s="188"/>
      <c r="CM21" s="208"/>
      <c r="CN21" s="208"/>
      <c r="CO21" s="208"/>
      <c r="CP21" s="188"/>
      <c r="CQ21" s="188"/>
      <c r="CR21" s="188"/>
      <c r="CS21" s="188"/>
      <c r="CT21" s="188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</row>
    <row r="22" spans="1:114" ht="15" hidden="1" customHeight="1">
      <c r="A22" s="181"/>
      <c r="B22" s="181"/>
      <c r="C22" s="203" t="str">
        <f>IF([3]MasterSheet!$A$1=1,[3]MasterSheet!C180,[3]MasterSheet!B180)</f>
        <v>Boravišne takse</v>
      </c>
      <c r="D22" s="204">
        <v>1146766.42</v>
      </c>
      <c r="E22" s="205">
        <f t="shared" si="0"/>
        <v>5.3365276187817015E-2</v>
      </c>
      <c r="F22" s="204">
        <v>0</v>
      </c>
      <c r="G22" s="205">
        <f t="shared" si="1"/>
        <v>0</v>
      </c>
      <c r="H22" s="204">
        <v>0</v>
      </c>
      <c r="I22" s="205">
        <f t="shared" si="2"/>
        <v>0</v>
      </c>
      <c r="J22" s="204">
        <v>0</v>
      </c>
      <c r="K22" s="205">
        <f t="shared" si="3"/>
        <v>0</v>
      </c>
      <c r="L22" s="204">
        <v>0</v>
      </c>
      <c r="M22" s="205">
        <f t="shared" si="4"/>
        <v>0</v>
      </c>
      <c r="N22" s="204">
        <v>0</v>
      </c>
      <c r="O22" s="205">
        <f t="shared" si="5"/>
        <v>0</v>
      </c>
      <c r="P22" s="204">
        <v>0</v>
      </c>
      <c r="Q22" s="206">
        <f t="shared" si="6"/>
        <v>0</v>
      </c>
      <c r="R22" s="204">
        <v>0</v>
      </c>
      <c r="S22" s="206">
        <f t="shared" si="7"/>
        <v>0</v>
      </c>
      <c r="T22" s="204">
        <v>0</v>
      </c>
      <c r="U22" s="206">
        <f t="shared" si="8"/>
        <v>0</v>
      </c>
      <c r="V22" s="207">
        <v>0</v>
      </c>
      <c r="W22" s="206">
        <f t="shared" si="9"/>
        <v>0</v>
      </c>
      <c r="X22" s="204">
        <v>0</v>
      </c>
      <c r="Y22" s="206">
        <f t="shared" si="10"/>
        <v>0</v>
      </c>
      <c r="Z22" s="210">
        <f t="shared" si="12"/>
        <v>0</v>
      </c>
      <c r="AA22" s="206">
        <f t="shared" si="11"/>
        <v>0</v>
      </c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8"/>
      <c r="BB22" s="188"/>
      <c r="BC22" s="188"/>
      <c r="BD22" s="188"/>
      <c r="BE22" s="188"/>
      <c r="BF22" s="188"/>
      <c r="BG22" s="188"/>
      <c r="BH22" s="188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188"/>
      <c r="BX22" s="188"/>
      <c r="BY22" s="188"/>
      <c r="BZ22" s="188"/>
      <c r="CA22" s="188"/>
      <c r="CB22" s="188"/>
      <c r="CC22" s="188"/>
      <c r="CD22" s="188"/>
      <c r="CE22" s="188"/>
      <c r="CF22" s="188"/>
      <c r="CG22" s="188"/>
      <c r="CH22" s="188"/>
      <c r="CI22" s="188"/>
      <c r="CJ22" s="188"/>
      <c r="CK22" s="188"/>
      <c r="CL22" s="188"/>
      <c r="CM22" s="208"/>
      <c r="CN22" s="208"/>
      <c r="CO22" s="208"/>
      <c r="CP22" s="188"/>
      <c r="CQ22" s="188"/>
      <c r="CR22" s="188"/>
      <c r="CS22" s="188"/>
      <c r="CT22" s="188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</row>
    <row r="23" spans="1:114" ht="15" hidden="1" customHeight="1">
      <c r="A23" s="181"/>
      <c r="B23" s="181"/>
      <c r="C23" s="203" t="str">
        <f>IF([3]MasterSheet!$A$1=1,[3]MasterSheet!C181,[3]MasterSheet!B181)</f>
        <v>Lokalne komunalne takse</v>
      </c>
      <c r="D23" s="204">
        <v>10571711.17</v>
      </c>
      <c r="E23" s="205">
        <f t="shared" si="0"/>
        <v>0.49195919633300755</v>
      </c>
      <c r="F23" s="204">
        <v>9309780.0800000001</v>
      </c>
      <c r="G23" s="205">
        <f t="shared" si="1"/>
        <v>0.34731505614624136</v>
      </c>
      <c r="H23" s="204">
        <v>6079575</v>
      </c>
      <c r="I23" s="205">
        <f t="shared" si="2"/>
        <v>0.19703056131708582</v>
      </c>
      <c r="J23" s="204">
        <v>3633774.93</v>
      </c>
      <c r="K23" s="205">
        <f t="shared" si="3"/>
        <v>0.12189785072123449</v>
      </c>
      <c r="L23" s="204">
        <v>3448026.33</v>
      </c>
      <c r="M23" s="205">
        <f t="shared" si="4"/>
        <v>0.11033684256000001</v>
      </c>
      <c r="N23" s="204">
        <v>3619912.75</v>
      </c>
      <c r="O23" s="205">
        <f t="shared" si="5"/>
        <v>0.11087022205206738</v>
      </c>
      <c r="P23" s="204">
        <v>3653549.09</v>
      </c>
      <c r="Q23" s="206">
        <f t="shared" si="6"/>
        <v>0.1148553627790003</v>
      </c>
      <c r="R23" s="204">
        <v>4306483.08</v>
      </c>
      <c r="S23" s="206">
        <f t="shared" si="7"/>
        <v>0.12809289351576442</v>
      </c>
      <c r="T23" s="204">
        <v>3916137.5500000003</v>
      </c>
      <c r="U23" s="206">
        <f t="shared" si="8"/>
        <v>0.11325190288903671</v>
      </c>
      <c r="V23" s="207">
        <v>5032893.1300133904</v>
      </c>
      <c r="W23" s="206">
        <f t="shared" si="9"/>
        <v>0.13769885444633079</v>
      </c>
      <c r="X23" s="204">
        <v>3653549.09</v>
      </c>
      <c r="Y23" s="206">
        <f t="shared" si="10"/>
        <v>9.2396669111324659E-2</v>
      </c>
      <c r="Z23" s="210">
        <f t="shared" si="12"/>
        <v>3708352.3263499993</v>
      </c>
      <c r="AA23" s="206">
        <f t="shared" si="11"/>
        <v>8.7533396113537096E-2</v>
      </c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8"/>
      <c r="CJ23" s="188"/>
      <c r="CK23" s="188"/>
      <c r="CL23" s="188"/>
      <c r="CM23" s="208"/>
      <c r="CN23" s="208"/>
      <c r="CO23" s="208"/>
      <c r="CP23" s="188"/>
      <c r="CQ23" s="188"/>
      <c r="CR23" s="188"/>
      <c r="CS23" s="188"/>
      <c r="CT23" s="188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</row>
    <row r="24" spans="1:114" ht="15" hidden="1" customHeight="1">
      <c r="A24" s="181"/>
      <c r="B24" s="181"/>
      <c r="C24" s="203" t="str">
        <f>IF([3]MasterSheet!$A$1=1,[3]MasterSheet!C182,[3]MasterSheet!B182)</f>
        <v>Ostale takse</v>
      </c>
      <c r="D24" s="204">
        <v>0</v>
      </c>
      <c r="E24" s="205">
        <f t="shared" si="0"/>
        <v>0</v>
      </c>
      <c r="F24" s="204">
        <v>0</v>
      </c>
      <c r="G24" s="205">
        <f t="shared" si="1"/>
        <v>0</v>
      </c>
      <c r="H24" s="204">
        <v>0</v>
      </c>
      <c r="I24" s="205">
        <f t="shared" si="2"/>
        <v>0</v>
      </c>
      <c r="J24" s="204">
        <v>296675.28000000003</v>
      </c>
      <c r="K24" s="205">
        <f t="shared" si="3"/>
        <v>9.9522066420664225E-3</v>
      </c>
      <c r="L24" s="204">
        <v>247578.59</v>
      </c>
      <c r="M24" s="205">
        <f t="shared" si="4"/>
        <v>7.9225148799999985E-3</v>
      </c>
      <c r="N24" s="204">
        <v>247735.59</v>
      </c>
      <c r="O24" s="205">
        <f t="shared" si="5"/>
        <v>7.5876137825421136E-3</v>
      </c>
      <c r="P24" s="204">
        <v>247747.05000000002</v>
      </c>
      <c r="Q24" s="206">
        <f t="shared" si="6"/>
        <v>7.7883385727758568E-3</v>
      </c>
      <c r="R24" s="204">
        <v>277107.12</v>
      </c>
      <c r="S24" s="206">
        <f t="shared" si="7"/>
        <v>8.242329565734681E-3</v>
      </c>
      <c r="T24" s="204">
        <v>373631.71</v>
      </c>
      <c r="U24" s="206">
        <f t="shared" si="8"/>
        <v>1.0805162381792419E-2</v>
      </c>
      <c r="V24" s="207">
        <v>312120</v>
      </c>
      <c r="W24" s="206">
        <f t="shared" si="9"/>
        <v>8.5395348837209294E-3</v>
      </c>
      <c r="X24" s="204">
        <v>247747.05000000002</v>
      </c>
      <c r="Y24" s="206">
        <f t="shared" si="10"/>
        <v>6.2654152546659254E-3</v>
      </c>
      <c r="Z24" s="210">
        <f t="shared" si="12"/>
        <v>251463.25574999998</v>
      </c>
      <c r="AA24" s="206">
        <f t="shared" si="11"/>
        <v>5.9356368641567334E-3</v>
      </c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8"/>
      <c r="BU24" s="188"/>
      <c r="BV24" s="188"/>
      <c r="BW24" s="188"/>
      <c r="BX24" s="188"/>
      <c r="BY24" s="188"/>
      <c r="BZ24" s="188"/>
      <c r="CA24" s="188"/>
      <c r="CB24" s="188"/>
      <c r="CC24" s="188"/>
      <c r="CD24" s="188"/>
      <c r="CE24" s="188"/>
      <c r="CF24" s="188"/>
      <c r="CG24" s="188"/>
      <c r="CH24" s="188"/>
      <c r="CI24" s="188"/>
      <c r="CJ24" s="188"/>
      <c r="CK24" s="188"/>
      <c r="CL24" s="188"/>
      <c r="CM24" s="208"/>
      <c r="CN24" s="208"/>
      <c r="CO24" s="208"/>
      <c r="CP24" s="188"/>
      <c r="CQ24" s="188"/>
      <c r="CR24" s="188"/>
      <c r="CS24" s="188"/>
      <c r="CT24" s="188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</row>
    <row r="25" spans="1:114" ht="15" customHeight="1">
      <c r="A25" s="181"/>
      <c r="B25" s="181"/>
      <c r="C25" s="209" t="str">
        <f>IF([3]MasterSheet!$A$1=1,[3]MasterSheet!C183,[3]MasterSheet!B183)</f>
        <v>Naknade</v>
      </c>
      <c r="D25" s="210">
        <f>SUM(D26:D34)</f>
        <v>40119518.649999999</v>
      </c>
      <c r="E25" s="206">
        <f t="shared" si="0"/>
        <v>1.8669793219786865</v>
      </c>
      <c r="F25" s="210">
        <f>SUM(F26:F34)</f>
        <v>98081287</v>
      </c>
      <c r="G25" s="206">
        <f t="shared" si="1"/>
        <v>3.6590668531990298</v>
      </c>
      <c r="H25" s="210">
        <f>SUM(H26:H34)</f>
        <v>131770149</v>
      </c>
      <c r="I25" s="206">
        <f t="shared" si="2"/>
        <v>4.270487068965517</v>
      </c>
      <c r="J25" s="210">
        <f>SUM(J26:J34)</f>
        <v>77248621.400000006</v>
      </c>
      <c r="K25" s="206">
        <f t="shared" si="3"/>
        <v>2.5913660315330427</v>
      </c>
      <c r="L25" s="210">
        <f>SUM(L26:L34)</f>
        <v>74565413.390000015</v>
      </c>
      <c r="M25" s="206">
        <f t="shared" si="4"/>
        <v>2.3860932284800005</v>
      </c>
      <c r="N25" s="210">
        <f>SUM(N26:N34)</f>
        <v>46874546.219999984</v>
      </c>
      <c r="O25" s="206">
        <f t="shared" si="5"/>
        <v>1.4356675718223579</v>
      </c>
      <c r="P25" s="210">
        <f>SUM(P26:P34)</f>
        <v>61038752.68</v>
      </c>
      <c r="Q25" s="206">
        <f t="shared" si="6"/>
        <v>1.9188542181703867</v>
      </c>
      <c r="R25" s="210">
        <v>55001655.600000009</v>
      </c>
      <c r="S25" s="206">
        <f t="shared" si="7"/>
        <v>1.6359802379535993</v>
      </c>
      <c r="T25" s="210">
        <v>54511713.119999997</v>
      </c>
      <c r="U25" s="206">
        <f t="shared" si="8"/>
        <v>1.5764398368952253</v>
      </c>
      <c r="V25" s="211">
        <v>54060686.439999998</v>
      </c>
      <c r="W25" s="206">
        <f t="shared" si="9"/>
        <v>1.4790885482900136</v>
      </c>
      <c r="X25" s="210">
        <v>46265096.809999995</v>
      </c>
      <c r="Y25" s="206">
        <f t="shared" si="10"/>
        <v>1.1700241973091901</v>
      </c>
      <c r="Z25" s="210">
        <v>60804184.160000004</v>
      </c>
      <c r="AA25" s="206">
        <f t="shared" si="11"/>
        <v>1.4352457018765492</v>
      </c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8"/>
      <c r="BP25" s="188"/>
      <c r="BQ25" s="188"/>
      <c r="BR25" s="188"/>
      <c r="BS25" s="188"/>
      <c r="BT25" s="188"/>
      <c r="BU25" s="188"/>
      <c r="BV25" s="188"/>
      <c r="BW25" s="188"/>
      <c r="BX25" s="188"/>
      <c r="BY25" s="188"/>
      <c r="BZ25" s="188"/>
      <c r="CA25" s="188"/>
      <c r="CB25" s="188"/>
      <c r="CC25" s="188"/>
      <c r="CD25" s="188"/>
      <c r="CE25" s="188"/>
      <c r="CF25" s="188"/>
      <c r="CG25" s="188"/>
      <c r="CH25" s="188"/>
      <c r="CI25" s="188"/>
      <c r="CJ25" s="188"/>
      <c r="CK25" s="188"/>
      <c r="CL25" s="188"/>
      <c r="CM25" s="208"/>
      <c r="CN25" s="208"/>
      <c r="CO25" s="208"/>
      <c r="CP25" s="188"/>
      <c r="CQ25" s="188"/>
      <c r="CR25" s="188"/>
      <c r="CS25" s="188"/>
      <c r="CT25" s="188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</row>
    <row r="26" spans="1:114" ht="15" hidden="1" customHeight="1">
      <c r="A26" s="181"/>
      <c r="B26" s="181"/>
      <c r="C26" s="203" t="str">
        <f>IF([3]MasterSheet!$A$1=1,[3]MasterSheet!C184,[3]MasterSheet!B184)</f>
        <v>Naknade za korišćenje dobara od opšteg interesa</v>
      </c>
      <c r="D26" s="204">
        <v>2499957.5699999998</v>
      </c>
      <c r="E26" s="205">
        <f t="shared" si="0"/>
        <v>0.11633661733910373</v>
      </c>
      <c r="F26" s="204">
        <v>0</v>
      </c>
      <c r="G26" s="205">
        <f t="shared" si="1"/>
        <v>0</v>
      </c>
      <c r="H26" s="212">
        <v>0</v>
      </c>
      <c r="I26" s="205">
        <f t="shared" si="2"/>
        <v>0</v>
      </c>
      <c r="J26" s="204">
        <v>0</v>
      </c>
      <c r="K26" s="205">
        <f t="shared" si="3"/>
        <v>0</v>
      </c>
      <c r="L26" s="204">
        <v>0</v>
      </c>
      <c r="M26" s="205">
        <f t="shared" si="4"/>
        <v>0</v>
      </c>
      <c r="N26" s="204">
        <v>0</v>
      </c>
      <c r="O26" s="205">
        <f t="shared" si="5"/>
        <v>0</v>
      </c>
      <c r="P26" s="204">
        <v>0</v>
      </c>
      <c r="Q26" s="206">
        <f t="shared" si="6"/>
        <v>0</v>
      </c>
      <c r="R26" s="204">
        <v>0</v>
      </c>
      <c r="S26" s="206">
        <f t="shared" si="7"/>
        <v>0</v>
      </c>
      <c r="T26" s="204">
        <v>1634866.54</v>
      </c>
      <c r="U26" s="206">
        <f t="shared" si="8"/>
        <v>4.7279173486798345E-2</v>
      </c>
      <c r="V26" s="207">
        <v>0</v>
      </c>
      <c r="W26" s="206">
        <f t="shared" si="9"/>
        <v>0</v>
      </c>
      <c r="X26" s="204">
        <v>0</v>
      </c>
      <c r="Y26" s="206">
        <f t="shared" si="10"/>
        <v>0</v>
      </c>
      <c r="Z26" s="210">
        <f t="shared" si="12"/>
        <v>0</v>
      </c>
      <c r="AA26" s="206">
        <f t="shared" si="11"/>
        <v>0</v>
      </c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8"/>
      <c r="CC26" s="188"/>
      <c r="CD26" s="188"/>
      <c r="CE26" s="188"/>
      <c r="CF26" s="188"/>
      <c r="CG26" s="188"/>
      <c r="CH26" s="188"/>
      <c r="CI26" s="188"/>
      <c r="CJ26" s="188"/>
      <c r="CK26" s="188"/>
      <c r="CL26" s="188"/>
      <c r="CM26" s="208"/>
      <c r="CN26" s="208"/>
      <c r="CO26" s="208"/>
      <c r="CP26" s="188"/>
      <c r="CQ26" s="188"/>
      <c r="CR26" s="188"/>
      <c r="CS26" s="188"/>
      <c r="CT26" s="188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</row>
    <row r="27" spans="1:114" ht="15.75" hidden="1" customHeight="1">
      <c r="A27" s="181"/>
      <c r="B27" s="181"/>
      <c r="C27" s="203" t="str">
        <f>IF([3]MasterSheet!$A$1=1,[3]MasterSheet!C185,[3]MasterSheet!B185)</f>
        <v>Naknade za korišćenje prirodnih dobara</v>
      </c>
      <c r="D27" s="204">
        <v>0</v>
      </c>
      <c r="E27" s="205">
        <f t="shared" si="0"/>
        <v>0</v>
      </c>
      <c r="F27" s="204">
        <v>0</v>
      </c>
      <c r="G27" s="205">
        <f t="shared" si="1"/>
        <v>0</v>
      </c>
      <c r="H27" s="204">
        <v>29013631</v>
      </c>
      <c r="I27" s="205">
        <f t="shared" si="2"/>
        <v>0.94029138579206639</v>
      </c>
      <c r="J27" s="204">
        <v>2033139.1199999999</v>
      </c>
      <c r="K27" s="205">
        <f t="shared" si="3"/>
        <v>6.8203257967125133E-2</v>
      </c>
      <c r="L27" s="204">
        <v>3381571.57</v>
      </c>
      <c r="M27" s="205">
        <f t="shared" si="4"/>
        <v>0.10821029023999999</v>
      </c>
      <c r="N27" s="204">
        <v>3376410.9499999997</v>
      </c>
      <c r="O27" s="205">
        <f t="shared" si="5"/>
        <v>0.10341228024502297</v>
      </c>
      <c r="P27" s="204">
        <v>4490000</v>
      </c>
      <c r="Q27" s="206">
        <f t="shared" si="6"/>
        <v>0.14115058157812008</v>
      </c>
      <c r="R27" s="204">
        <v>9299146.75</v>
      </c>
      <c r="S27" s="206">
        <f t="shared" si="7"/>
        <v>0.27659567965496729</v>
      </c>
      <c r="T27" s="204">
        <v>8205861.5300000003</v>
      </c>
      <c r="U27" s="206">
        <f t="shared" si="8"/>
        <v>0.23730765869458345</v>
      </c>
      <c r="V27" s="207">
        <v>5136014.1321561541</v>
      </c>
      <c r="W27" s="206">
        <f t="shared" si="9"/>
        <v>0.14052022249401241</v>
      </c>
      <c r="X27" s="204">
        <v>4490000</v>
      </c>
      <c r="Y27" s="206">
        <f t="shared" si="10"/>
        <v>0.1135501492084366</v>
      </c>
      <c r="Z27" s="210">
        <f t="shared" si="12"/>
        <v>4557350</v>
      </c>
      <c r="AA27" s="206">
        <f t="shared" si="11"/>
        <v>0.10757346866517173</v>
      </c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8"/>
      <c r="BB27" s="188"/>
      <c r="BC27" s="188"/>
      <c r="BD27" s="188"/>
      <c r="BE27" s="188"/>
      <c r="BF27" s="188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188"/>
      <c r="BX27" s="188"/>
      <c r="BY27" s="188"/>
      <c r="BZ27" s="188"/>
      <c r="CA27" s="188"/>
      <c r="CB27" s="188"/>
      <c r="CC27" s="188"/>
      <c r="CD27" s="188"/>
      <c r="CE27" s="188"/>
      <c r="CF27" s="188"/>
      <c r="CG27" s="188"/>
      <c r="CH27" s="188"/>
      <c r="CI27" s="188"/>
      <c r="CJ27" s="188"/>
      <c r="CK27" s="188"/>
      <c r="CL27" s="188"/>
      <c r="CM27" s="208"/>
      <c r="CN27" s="208"/>
      <c r="CO27" s="208"/>
      <c r="CP27" s="188"/>
      <c r="CQ27" s="188"/>
      <c r="CR27" s="188"/>
      <c r="CS27" s="188"/>
      <c r="CT27" s="188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</row>
    <row r="28" spans="1:114" ht="15" hidden="1" customHeight="1">
      <c r="A28" s="181"/>
      <c r="B28" s="181"/>
      <c r="C28" s="203" t="str">
        <f>IF([3]MasterSheet!$A$1=1,[3]MasterSheet!C186,[3]MasterSheet!B186)</f>
        <v>Naknade za komunalno opremanje građevinskog zemljišta</v>
      </c>
      <c r="D28" s="204">
        <v>0</v>
      </c>
      <c r="E28" s="205">
        <f t="shared" si="0"/>
        <v>0</v>
      </c>
      <c r="F28" s="204">
        <v>72573841</v>
      </c>
      <c r="G28" s="205">
        <f t="shared" si="1"/>
        <v>2.7074740160417834</v>
      </c>
      <c r="H28" s="204">
        <v>93006312</v>
      </c>
      <c r="I28" s="205">
        <f t="shared" si="2"/>
        <v>3.0142050816696915</v>
      </c>
      <c r="J28" s="204">
        <v>0</v>
      </c>
      <c r="K28" s="205">
        <f t="shared" si="3"/>
        <v>0</v>
      </c>
      <c r="L28" s="204">
        <v>65560358.650000013</v>
      </c>
      <c r="M28" s="205">
        <f t="shared" si="4"/>
        <v>2.0979314768000004</v>
      </c>
      <c r="N28" s="204">
        <v>34650886.039999984</v>
      </c>
      <c r="O28" s="205">
        <f t="shared" si="5"/>
        <v>1.0612828802450225</v>
      </c>
      <c r="P28" s="204">
        <v>49545886.130000003</v>
      </c>
      <c r="Q28" s="206">
        <f t="shared" si="6"/>
        <v>1.5575569358692236</v>
      </c>
      <c r="R28" s="204">
        <v>37024035.200000003</v>
      </c>
      <c r="S28" s="206">
        <f t="shared" si="7"/>
        <v>1.1012503033908387</v>
      </c>
      <c r="T28" s="204">
        <v>38396294.159999996</v>
      </c>
      <c r="U28" s="206">
        <f t="shared" si="8"/>
        <v>1.1103934225975303</v>
      </c>
      <c r="V28" s="207">
        <v>33660000</v>
      </c>
      <c r="W28" s="206">
        <f t="shared" si="9"/>
        <v>0.92093023255813955</v>
      </c>
      <c r="X28" s="204">
        <v>49545886.130000003</v>
      </c>
      <c r="Y28" s="206">
        <f t="shared" si="10"/>
        <v>1.2529939337919176</v>
      </c>
      <c r="Z28" s="210">
        <f t="shared" si="12"/>
        <v>50289074.421949998</v>
      </c>
      <c r="AA28" s="206">
        <f t="shared" si="11"/>
        <v>1.1870429463460404</v>
      </c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8"/>
      <c r="BV28" s="188"/>
      <c r="BW28" s="188"/>
      <c r="BX28" s="188"/>
      <c r="BY28" s="188"/>
      <c r="BZ28" s="188"/>
      <c r="CA28" s="188"/>
      <c r="CB28" s="188"/>
      <c r="CC28" s="188"/>
      <c r="CD28" s="188"/>
      <c r="CE28" s="188"/>
      <c r="CF28" s="188"/>
      <c r="CG28" s="188"/>
      <c r="CH28" s="188"/>
      <c r="CI28" s="188"/>
      <c r="CJ28" s="188"/>
      <c r="CK28" s="188"/>
      <c r="CL28" s="188"/>
      <c r="CM28" s="208"/>
      <c r="CN28" s="208"/>
      <c r="CO28" s="208"/>
      <c r="CP28" s="188"/>
      <c r="CQ28" s="188"/>
      <c r="CR28" s="188"/>
      <c r="CS28" s="188"/>
      <c r="CT28" s="188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</row>
    <row r="29" spans="1:114" ht="15" hidden="1" customHeight="1">
      <c r="A29" s="181"/>
      <c r="B29" s="181"/>
      <c r="C29" s="203" t="str">
        <f>IF([3]MasterSheet!$A$1=1,[3]MasterSheet!C187,[3]MasterSheet!B187)</f>
        <v>Naknade za korišćenje građevinskog zemljišta</v>
      </c>
      <c r="D29" s="204">
        <v>7951809.7999999989</v>
      </c>
      <c r="E29" s="205">
        <f t="shared" si="0"/>
        <v>0.37004094187723946</v>
      </c>
      <c r="F29" s="204">
        <v>15575697</v>
      </c>
      <c r="G29" s="205">
        <f t="shared" si="1"/>
        <v>0.58107431449356461</v>
      </c>
      <c r="H29" s="204">
        <v>0</v>
      </c>
      <c r="I29" s="205">
        <f t="shared" si="2"/>
        <v>0</v>
      </c>
      <c r="J29" s="204">
        <v>66702761.950000003</v>
      </c>
      <c r="K29" s="205">
        <f t="shared" si="3"/>
        <v>2.2375968450184502</v>
      </c>
      <c r="L29" s="204">
        <v>0</v>
      </c>
      <c r="M29" s="205">
        <f t="shared" si="4"/>
        <v>0</v>
      </c>
      <c r="N29" s="204">
        <v>0</v>
      </c>
      <c r="O29" s="205">
        <f t="shared" si="5"/>
        <v>0</v>
      </c>
      <c r="P29" s="204">
        <v>0</v>
      </c>
      <c r="Q29" s="206">
        <f t="shared" si="6"/>
        <v>0</v>
      </c>
      <c r="R29" s="204">
        <v>0</v>
      </c>
      <c r="S29" s="206">
        <f t="shared" si="7"/>
        <v>0</v>
      </c>
      <c r="T29" s="204">
        <v>0</v>
      </c>
      <c r="U29" s="206">
        <f t="shared" si="8"/>
        <v>0</v>
      </c>
      <c r="V29" s="207">
        <v>0</v>
      </c>
      <c r="W29" s="206">
        <f t="shared" si="9"/>
        <v>0</v>
      </c>
      <c r="X29" s="204">
        <v>0</v>
      </c>
      <c r="Y29" s="206">
        <f t="shared" si="10"/>
        <v>0</v>
      </c>
      <c r="Z29" s="210">
        <f t="shared" si="12"/>
        <v>0</v>
      </c>
      <c r="AA29" s="206">
        <f t="shared" si="11"/>
        <v>0</v>
      </c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88"/>
      <c r="BV29" s="188"/>
      <c r="BW29" s="188"/>
      <c r="BX29" s="188"/>
      <c r="BY29" s="188"/>
      <c r="BZ29" s="188"/>
      <c r="CA29" s="188"/>
      <c r="CB29" s="188"/>
      <c r="CC29" s="188"/>
      <c r="CD29" s="188"/>
      <c r="CE29" s="188"/>
      <c r="CF29" s="188"/>
      <c r="CG29" s="188"/>
      <c r="CH29" s="188"/>
      <c r="CI29" s="188"/>
      <c r="CJ29" s="188"/>
      <c r="CK29" s="188"/>
      <c r="CL29" s="188"/>
      <c r="CM29" s="213"/>
      <c r="CN29" s="213"/>
      <c r="CO29" s="208"/>
      <c r="CP29" s="188"/>
      <c r="CQ29" s="188"/>
      <c r="CR29" s="188"/>
      <c r="CS29" s="188"/>
      <c r="CT29" s="188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</row>
    <row r="30" spans="1:114" ht="15" hidden="1" customHeight="1">
      <c r="A30" s="181"/>
      <c r="B30" s="181"/>
      <c r="C30" s="203" t="str">
        <f>IF([3]MasterSheet!$A$1=1,[3]MasterSheet!C188,[3]MasterSheet!B188)</f>
        <v>Ekološke naknade</v>
      </c>
      <c r="D30" s="204">
        <v>0</v>
      </c>
      <c r="E30" s="205">
        <f t="shared" si="0"/>
        <v>0</v>
      </c>
      <c r="F30" s="204">
        <v>0</v>
      </c>
      <c r="G30" s="205">
        <f t="shared" si="1"/>
        <v>0</v>
      </c>
      <c r="H30" s="204">
        <v>0</v>
      </c>
      <c r="I30" s="205">
        <f t="shared" si="2"/>
        <v>0</v>
      </c>
      <c r="J30" s="204">
        <v>0</v>
      </c>
      <c r="K30" s="205">
        <f t="shared" si="3"/>
        <v>0</v>
      </c>
      <c r="L30" s="204">
        <v>0</v>
      </c>
      <c r="M30" s="205">
        <f t="shared" si="4"/>
        <v>0</v>
      </c>
      <c r="N30" s="204">
        <v>0</v>
      </c>
      <c r="O30" s="205">
        <f t="shared" si="5"/>
        <v>0</v>
      </c>
      <c r="P30" s="204">
        <v>0</v>
      </c>
      <c r="Q30" s="206">
        <f t="shared" si="6"/>
        <v>0</v>
      </c>
      <c r="R30" s="204">
        <v>0</v>
      </c>
      <c r="S30" s="206">
        <f t="shared" si="7"/>
        <v>0</v>
      </c>
      <c r="T30" s="204">
        <v>1738569.8299999998</v>
      </c>
      <c r="U30" s="206">
        <f t="shared" si="8"/>
        <v>5.0278198617658115E-2</v>
      </c>
      <c r="V30" s="207">
        <v>0</v>
      </c>
      <c r="W30" s="206">
        <f t="shared" si="9"/>
        <v>0</v>
      </c>
      <c r="X30" s="204">
        <v>0</v>
      </c>
      <c r="Y30" s="206">
        <f t="shared" si="10"/>
        <v>0</v>
      </c>
      <c r="Z30" s="210">
        <f t="shared" si="12"/>
        <v>0</v>
      </c>
      <c r="AA30" s="206">
        <f t="shared" si="11"/>
        <v>0</v>
      </c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Q30" s="188"/>
      <c r="BR30" s="188"/>
      <c r="BS30" s="188"/>
      <c r="BT30" s="188"/>
      <c r="BU30" s="188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88"/>
      <c r="CG30" s="188"/>
      <c r="CH30" s="188"/>
      <c r="CI30" s="188"/>
      <c r="CJ30" s="188"/>
      <c r="CK30" s="188"/>
      <c r="CL30" s="188"/>
      <c r="CM30" s="188"/>
      <c r="CN30" s="188"/>
      <c r="CO30" s="188"/>
      <c r="CP30" s="188"/>
      <c r="CQ30" s="188"/>
      <c r="CR30" s="188"/>
      <c r="CS30" s="188"/>
      <c r="CT30" s="188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</row>
    <row r="31" spans="1:114" ht="15" hidden="1" customHeight="1">
      <c r="A31" s="181"/>
      <c r="B31" s="181"/>
      <c r="C31" s="203" t="str">
        <f>IF([3]MasterSheet!$A$1=1,[3]MasterSheet!C189,[3]MasterSheet!B189)</f>
        <v>Naknade za priređivanje igara na sreću</v>
      </c>
      <c r="D31" s="204">
        <v>0</v>
      </c>
      <c r="E31" s="205">
        <f t="shared" si="0"/>
        <v>0</v>
      </c>
      <c r="F31" s="204">
        <v>0</v>
      </c>
      <c r="G31" s="205">
        <f t="shared" si="1"/>
        <v>0</v>
      </c>
      <c r="H31" s="204">
        <v>0</v>
      </c>
      <c r="I31" s="205">
        <f t="shared" si="2"/>
        <v>0</v>
      </c>
      <c r="J31" s="204">
        <v>0</v>
      </c>
      <c r="K31" s="205">
        <f t="shared" si="3"/>
        <v>0</v>
      </c>
      <c r="L31" s="204">
        <v>0</v>
      </c>
      <c r="M31" s="205">
        <f t="shared" si="4"/>
        <v>0</v>
      </c>
      <c r="N31" s="204">
        <v>0</v>
      </c>
      <c r="O31" s="205">
        <f t="shared" si="5"/>
        <v>0</v>
      </c>
      <c r="P31" s="204">
        <v>0</v>
      </c>
      <c r="Q31" s="206">
        <f t="shared" si="6"/>
        <v>0</v>
      </c>
      <c r="R31" s="204">
        <v>0</v>
      </c>
      <c r="S31" s="206">
        <f t="shared" si="7"/>
        <v>0</v>
      </c>
      <c r="T31" s="204">
        <v>0</v>
      </c>
      <c r="U31" s="206">
        <f t="shared" si="8"/>
        <v>0</v>
      </c>
      <c r="V31" s="207">
        <v>0</v>
      </c>
      <c r="W31" s="206">
        <f t="shared" si="9"/>
        <v>0</v>
      </c>
      <c r="X31" s="204">
        <v>0</v>
      </c>
      <c r="Y31" s="206">
        <f t="shared" si="10"/>
        <v>0</v>
      </c>
      <c r="Z31" s="210">
        <f t="shared" si="12"/>
        <v>0</v>
      </c>
      <c r="AA31" s="206">
        <f t="shared" si="11"/>
        <v>0</v>
      </c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8"/>
      <c r="BR31" s="188"/>
      <c r="BS31" s="188"/>
      <c r="BT31" s="188"/>
      <c r="BU31" s="188"/>
      <c r="BV31" s="188"/>
      <c r="BW31" s="188"/>
      <c r="BX31" s="188"/>
      <c r="BY31" s="188"/>
      <c r="BZ31" s="188"/>
      <c r="CA31" s="188"/>
      <c r="CB31" s="188"/>
      <c r="CC31" s="188"/>
      <c r="CD31" s="188"/>
      <c r="CE31" s="188"/>
      <c r="CF31" s="188"/>
      <c r="CG31" s="188"/>
      <c r="CH31" s="188"/>
      <c r="CI31" s="188"/>
      <c r="CJ31" s="188"/>
      <c r="CK31" s="188"/>
      <c r="CL31" s="188"/>
      <c r="CM31" s="188"/>
      <c r="CN31" s="188"/>
      <c r="CO31" s="188"/>
      <c r="CP31" s="188"/>
      <c r="CQ31" s="188"/>
      <c r="CR31" s="188"/>
      <c r="CS31" s="188"/>
      <c r="CT31" s="188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</row>
    <row r="32" spans="1:114" ht="15" hidden="1" customHeight="1">
      <c r="A32" s="181"/>
      <c r="B32" s="181"/>
      <c r="C32" s="203" t="str">
        <f>IF([3]MasterSheet!$A$1=1,[3]MasterSheet!C190,[3]MasterSheet!B190)</f>
        <v>Naknade za lokalne puteve</v>
      </c>
      <c r="D32" s="204">
        <v>3161456.88</v>
      </c>
      <c r="E32" s="205">
        <f t="shared" si="0"/>
        <v>0.14711977662990366</v>
      </c>
      <c r="F32" s="204">
        <v>5000456</v>
      </c>
      <c r="G32" s="205">
        <f t="shared" si="1"/>
        <v>0.18654937511658273</v>
      </c>
      <c r="H32" s="204">
        <v>5318027</v>
      </c>
      <c r="I32" s="205">
        <f t="shared" si="2"/>
        <v>0.17234985092040445</v>
      </c>
      <c r="J32" s="212">
        <v>6749085.1299999999</v>
      </c>
      <c r="K32" s="205">
        <f t="shared" si="3"/>
        <v>0.22640339248574301</v>
      </c>
      <c r="L32" s="204">
        <v>3852171.86</v>
      </c>
      <c r="M32" s="205">
        <f t="shared" si="4"/>
        <v>0.12326949951999999</v>
      </c>
      <c r="N32" s="204">
        <v>2924398.53</v>
      </c>
      <c r="O32" s="205">
        <f t="shared" si="5"/>
        <v>8.9568101990811638E-2</v>
      </c>
      <c r="P32" s="204">
        <v>2629995.87</v>
      </c>
      <c r="Q32" s="206">
        <f t="shared" si="6"/>
        <v>8.2678273184533177E-2</v>
      </c>
      <c r="R32" s="204">
        <v>2857504.52</v>
      </c>
      <c r="S32" s="206">
        <f t="shared" si="7"/>
        <v>8.4994185603807254E-2</v>
      </c>
      <c r="T32" s="204">
        <v>0</v>
      </c>
      <c r="U32" s="206">
        <f t="shared" si="8"/>
        <v>0</v>
      </c>
      <c r="V32" s="207">
        <v>4067962.9071326288</v>
      </c>
      <c r="W32" s="206">
        <f t="shared" si="9"/>
        <v>0.11129857475055073</v>
      </c>
      <c r="X32" s="204">
        <v>2629995.87</v>
      </c>
      <c r="Y32" s="206">
        <f t="shared" si="10"/>
        <v>6.6511452885539432E-2</v>
      </c>
      <c r="Z32" s="210">
        <f t="shared" si="12"/>
        <v>2669445.8080499996</v>
      </c>
      <c r="AA32" s="206">
        <f t="shared" si="11"/>
        <v>6.3010641049215138E-2</v>
      </c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88"/>
      <c r="BU32" s="188"/>
      <c r="BV32" s="188"/>
      <c r="BW32" s="188"/>
      <c r="BX32" s="188"/>
      <c r="BY32" s="188"/>
      <c r="BZ32" s="188"/>
      <c r="CA32" s="188"/>
      <c r="CB32" s="188"/>
      <c r="CC32" s="188"/>
      <c r="CD32" s="188"/>
      <c r="CE32" s="188"/>
      <c r="CF32" s="188"/>
      <c r="CG32" s="188"/>
      <c r="CH32" s="188"/>
      <c r="CI32" s="188"/>
      <c r="CJ32" s="188"/>
      <c r="CK32" s="188"/>
      <c r="CL32" s="188"/>
      <c r="CM32" s="214"/>
      <c r="CN32" s="214"/>
      <c r="CO32" s="214"/>
      <c r="CP32" s="214"/>
      <c r="CQ32" s="214"/>
      <c r="CR32" s="215"/>
      <c r="CS32" s="188"/>
      <c r="CT32" s="188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</row>
    <row r="33" spans="1:114" ht="15" hidden="1" customHeight="1">
      <c r="A33" s="181"/>
      <c r="B33" s="181"/>
      <c r="C33" s="203" t="str">
        <f>IF([3]MasterSheet!$A$1=1,[3]MasterSheet!C191,[3]MasterSheet!B191)</f>
        <v>Naknada za puteve</v>
      </c>
      <c r="D33" s="204">
        <v>0</v>
      </c>
      <c r="E33" s="205">
        <f t="shared" si="0"/>
        <v>0</v>
      </c>
      <c r="F33" s="204">
        <v>0</v>
      </c>
      <c r="G33" s="205">
        <f t="shared" si="1"/>
        <v>0</v>
      </c>
      <c r="H33" s="204">
        <v>0</v>
      </c>
      <c r="I33" s="205">
        <f t="shared" si="2"/>
        <v>0</v>
      </c>
      <c r="J33" s="204">
        <v>0</v>
      </c>
      <c r="K33" s="205">
        <f t="shared" si="3"/>
        <v>0</v>
      </c>
      <c r="L33" s="204">
        <v>0</v>
      </c>
      <c r="M33" s="205">
        <f t="shared" si="4"/>
        <v>0</v>
      </c>
      <c r="N33" s="204">
        <v>0</v>
      </c>
      <c r="O33" s="205">
        <f t="shared" si="5"/>
        <v>0</v>
      </c>
      <c r="P33" s="204">
        <v>0</v>
      </c>
      <c r="Q33" s="206">
        <f t="shared" si="6"/>
        <v>0</v>
      </c>
      <c r="R33" s="204">
        <v>0</v>
      </c>
      <c r="S33" s="206">
        <f t="shared" si="7"/>
        <v>0</v>
      </c>
      <c r="T33" s="204">
        <v>4536121.0600000005</v>
      </c>
      <c r="U33" s="206">
        <f t="shared" si="8"/>
        <v>0.13118138349865527</v>
      </c>
      <c r="V33" s="207">
        <v>0</v>
      </c>
      <c r="W33" s="206">
        <f t="shared" si="9"/>
        <v>0</v>
      </c>
      <c r="X33" s="204">
        <v>0</v>
      </c>
      <c r="Y33" s="206">
        <f t="shared" si="10"/>
        <v>0</v>
      </c>
      <c r="Z33" s="210">
        <f t="shared" si="12"/>
        <v>0</v>
      </c>
      <c r="AA33" s="206">
        <f t="shared" si="11"/>
        <v>0</v>
      </c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8"/>
      <c r="CG33" s="188"/>
      <c r="CH33" s="188"/>
      <c r="CI33" s="188"/>
      <c r="CJ33" s="188"/>
      <c r="CK33" s="188"/>
      <c r="CL33" s="188"/>
      <c r="CM33" s="214"/>
      <c r="CN33" s="214"/>
      <c r="CO33" s="216"/>
      <c r="CP33" s="216"/>
      <c r="CQ33" s="217"/>
      <c r="CR33" s="215"/>
      <c r="CS33" s="188"/>
      <c r="CT33" s="188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</row>
    <row r="34" spans="1:114" ht="15" hidden="1" customHeight="1">
      <c r="A34" s="181"/>
      <c r="B34" s="181"/>
      <c r="C34" s="203" t="str">
        <f>IF([3]MasterSheet!$A$1=1,[3]MasterSheet!C192,[3]MasterSheet!B192)</f>
        <v>Ostale naknade</v>
      </c>
      <c r="D34" s="204">
        <v>26506294.399999999</v>
      </c>
      <c r="E34" s="205">
        <f t="shared" si="0"/>
        <v>1.2334819861324398</v>
      </c>
      <c r="F34" s="204">
        <v>4931293</v>
      </c>
      <c r="G34" s="205">
        <f t="shared" si="1"/>
        <v>0.18396914754709942</v>
      </c>
      <c r="H34" s="204">
        <v>4432179</v>
      </c>
      <c r="I34" s="205">
        <f t="shared" si="2"/>
        <v>0.14364075058335493</v>
      </c>
      <c r="J34" s="204">
        <v>1763635.2</v>
      </c>
      <c r="K34" s="205">
        <f t="shared" si="3"/>
        <v>5.9162536061724245E-2</v>
      </c>
      <c r="L34" s="204">
        <v>1771311.31</v>
      </c>
      <c r="M34" s="205">
        <f t="shared" si="4"/>
        <v>5.668196192000001E-2</v>
      </c>
      <c r="N34" s="204">
        <v>5922850.6999999993</v>
      </c>
      <c r="O34" s="205">
        <f t="shared" si="5"/>
        <v>0.18140430934150076</v>
      </c>
      <c r="P34" s="204">
        <v>4372870.68</v>
      </c>
      <c r="Q34" s="206">
        <f t="shared" si="6"/>
        <v>0.13746842753850991</v>
      </c>
      <c r="R34" s="204">
        <v>5747283.9499999993</v>
      </c>
      <c r="S34" s="206">
        <f t="shared" si="7"/>
        <v>0.17094836258179652</v>
      </c>
      <c r="T34" s="204">
        <v>4536121.0600000005</v>
      </c>
      <c r="U34" s="206">
        <f t="shared" si="8"/>
        <v>0.13118138349865527</v>
      </c>
      <c r="V34" s="207">
        <v>3761911.0038222536</v>
      </c>
      <c r="W34" s="206">
        <f t="shared" si="9"/>
        <v>0.10292506166408354</v>
      </c>
      <c r="X34" s="204">
        <v>4372870.68</v>
      </c>
      <c r="Y34" s="206">
        <f t="shared" si="10"/>
        <v>0.11058799959536696</v>
      </c>
      <c r="Z34" s="210">
        <f t="shared" si="12"/>
        <v>4438463.740199999</v>
      </c>
      <c r="AA34" s="206">
        <f t="shared" si="11"/>
        <v>0.10476723097368108</v>
      </c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8"/>
      <c r="BQ34" s="188"/>
      <c r="BR34" s="188"/>
      <c r="BS34" s="188"/>
      <c r="BT34" s="188"/>
      <c r="BU34" s="188"/>
      <c r="BV34" s="188"/>
      <c r="BW34" s="188"/>
      <c r="BX34" s="188"/>
      <c r="BY34" s="188"/>
      <c r="BZ34" s="188"/>
      <c r="CA34" s="188"/>
      <c r="CB34" s="188"/>
      <c r="CC34" s="188"/>
      <c r="CD34" s="188"/>
      <c r="CE34" s="188"/>
      <c r="CF34" s="188"/>
      <c r="CG34" s="188"/>
      <c r="CH34" s="188"/>
      <c r="CI34" s="188"/>
      <c r="CJ34" s="188"/>
      <c r="CK34" s="188"/>
      <c r="CL34" s="188"/>
      <c r="CM34" s="188"/>
      <c r="CN34" s="188"/>
      <c r="CO34" s="218"/>
      <c r="CP34" s="218"/>
      <c r="CQ34" s="218"/>
      <c r="CR34" s="215"/>
      <c r="CS34" s="188"/>
      <c r="CT34" s="188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</row>
    <row r="35" spans="1:114" ht="15" customHeight="1">
      <c r="A35" s="181"/>
      <c r="B35" s="181"/>
      <c r="C35" s="209" t="str">
        <f>IF([3]MasterSheet!$A$1=1,[3]MasterSheet!C193,[3]MasterSheet!B193)</f>
        <v>Ostali prihodi</v>
      </c>
      <c r="D35" s="210">
        <f>SUM(D36:D39)</f>
        <v>7447067.6299999999</v>
      </c>
      <c r="E35" s="206">
        <f t="shared" si="0"/>
        <v>0.34655254455768064</v>
      </c>
      <c r="F35" s="210">
        <f>SUM(F36:F39)</f>
        <v>12663792</v>
      </c>
      <c r="G35" s="206">
        <f t="shared" si="1"/>
        <v>0.47244141018466707</v>
      </c>
      <c r="H35" s="210">
        <f>SUM(H36:H39)</f>
        <v>24814149</v>
      </c>
      <c r="I35" s="206">
        <f t="shared" si="2"/>
        <v>0.8041920210007778</v>
      </c>
      <c r="J35" s="210">
        <f>SUM(J36:J39)</f>
        <v>16720160.26</v>
      </c>
      <c r="K35" s="206">
        <f t="shared" si="3"/>
        <v>0.56089098490439449</v>
      </c>
      <c r="L35" s="210">
        <f>SUM(L36:L39)</f>
        <v>12231030.096000001</v>
      </c>
      <c r="M35" s="206">
        <f t="shared" si="4"/>
        <v>0.39139296307200006</v>
      </c>
      <c r="N35" s="210">
        <f>SUM(N36:N39)</f>
        <v>12633856.32</v>
      </c>
      <c r="O35" s="206">
        <f t="shared" si="5"/>
        <v>0.38694812618683</v>
      </c>
      <c r="P35" s="210">
        <f>SUM(P36:P39)</f>
        <v>13803716.02</v>
      </c>
      <c r="Q35" s="206">
        <f t="shared" si="6"/>
        <v>0.43394266016975791</v>
      </c>
      <c r="R35" s="210">
        <v>16330291.689999999</v>
      </c>
      <c r="S35" s="206">
        <f t="shared" si="7"/>
        <v>0.48573146014277213</v>
      </c>
      <c r="T35" s="210">
        <v>15100005.68</v>
      </c>
      <c r="U35" s="206">
        <f t="shared" si="8"/>
        <v>0.43668138696896958</v>
      </c>
      <c r="V35" s="211">
        <v>12492829.039999999</v>
      </c>
      <c r="W35" s="206">
        <f t="shared" si="9"/>
        <v>0.34180106812585498</v>
      </c>
      <c r="X35" s="210">
        <v>13023079.540000001</v>
      </c>
      <c r="Y35" s="206">
        <f t="shared" si="10"/>
        <v>0.32934802336755853</v>
      </c>
      <c r="Z35" s="210">
        <v>13379064.710000001</v>
      </c>
      <c r="AA35" s="206">
        <f t="shared" si="11"/>
        <v>0.3158046668240293</v>
      </c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8"/>
      <c r="BQ35" s="188"/>
      <c r="BR35" s="188"/>
      <c r="BS35" s="188"/>
      <c r="BT35" s="188"/>
      <c r="BU35" s="188"/>
      <c r="BV35" s="188"/>
      <c r="BW35" s="188"/>
      <c r="BX35" s="188"/>
      <c r="BY35" s="188"/>
      <c r="BZ35" s="188"/>
      <c r="CA35" s="188"/>
      <c r="CB35" s="188"/>
      <c r="CC35" s="188"/>
      <c r="CD35" s="188"/>
      <c r="CE35" s="188"/>
      <c r="CF35" s="188"/>
      <c r="CG35" s="188"/>
      <c r="CH35" s="188"/>
      <c r="CI35" s="188"/>
      <c r="CJ35" s="188"/>
      <c r="CK35" s="188"/>
      <c r="CL35" s="188"/>
      <c r="CM35" s="188"/>
      <c r="CN35" s="188"/>
      <c r="CO35" s="218"/>
      <c r="CP35" s="218"/>
      <c r="CQ35" s="218"/>
      <c r="CR35" s="215"/>
      <c r="CS35" s="188"/>
      <c r="CT35" s="188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</row>
    <row r="36" spans="1:114" ht="15" hidden="1" customHeight="1">
      <c r="A36" s="181"/>
      <c r="B36" s="181"/>
      <c r="C36" s="203" t="str">
        <f>IF([3]MasterSheet!$A$1=1,[3]MasterSheet!C194,[3]MasterSheet!B194)</f>
        <v>Prihodi od kapitala</v>
      </c>
      <c r="D36" s="204">
        <v>0</v>
      </c>
      <c r="E36" s="205">
        <f t="shared" si="0"/>
        <v>0</v>
      </c>
      <c r="F36" s="204">
        <v>0</v>
      </c>
      <c r="G36" s="205">
        <f t="shared" si="1"/>
        <v>0</v>
      </c>
      <c r="H36" s="204">
        <v>0</v>
      </c>
      <c r="I36" s="205">
        <f t="shared" si="2"/>
        <v>0</v>
      </c>
      <c r="J36" s="204">
        <v>0</v>
      </c>
      <c r="K36" s="205">
        <f t="shared" si="3"/>
        <v>0</v>
      </c>
      <c r="L36" s="204">
        <v>0</v>
      </c>
      <c r="M36" s="205">
        <f t="shared" si="4"/>
        <v>0</v>
      </c>
      <c r="N36" s="204">
        <v>227956.88</v>
      </c>
      <c r="O36" s="205">
        <f t="shared" si="5"/>
        <v>6.9818339969372131E-3</v>
      </c>
      <c r="P36" s="204">
        <v>284541.62999999995</v>
      </c>
      <c r="Q36" s="206">
        <f t="shared" si="6"/>
        <v>8.9450370952530635E-3</v>
      </c>
      <c r="R36" s="204">
        <v>1798608.69</v>
      </c>
      <c r="S36" s="206">
        <f t="shared" si="7"/>
        <v>5.3498176383105292E-2</v>
      </c>
      <c r="T36" s="204">
        <v>2149960.3200000003</v>
      </c>
      <c r="U36" s="206">
        <f t="shared" si="8"/>
        <v>6.2175317967552574E-2</v>
      </c>
      <c r="V36" s="207">
        <v>1273080</v>
      </c>
      <c r="W36" s="206">
        <f t="shared" si="9"/>
        <v>3.4831190150478794E-2</v>
      </c>
      <c r="X36" s="204">
        <v>284541.62999999995</v>
      </c>
      <c r="Y36" s="206">
        <f t="shared" si="10"/>
        <v>7.1959341965505018E-3</v>
      </c>
      <c r="Z36" s="210">
        <f t="shared" si="12"/>
        <v>288809.75444999989</v>
      </c>
      <c r="AA36" s="206">
        <f t="shared" si="11"/>
        <v>6.8171782001652283E-3</v>
      </c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  <c r="CH36" s="188"/>
      <c r="CI36" s="188"/>
      <c r="CJ36" s="188"/>
      <c r="CK36" s="188"/>
      <c r="CL36" s="219"/>
      <c r="CM36" s="219"/>
      <c r="CN36" s="219"/>
      <c r="CO36" s="218"/>
      <c r="CP36" s="218"/>
      <c r="CQ36" s="218"/>
      <c r="CR36" s="215"/>
      <c r="CS36" s="188"/>
      <c r="CT36" s="188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</row>
    <row r="37" spans="1:114" ht="15" hidden="1" customHeight="1">
      <c r="A37" s="181"/>
      <c r="B37" s="181"/>
      <c r="C37" s="203" t="str">
        <f>IF([3]MasterSheet!$A$1=1,[3]MasterSheet!C195,[3]MasterSheet!B195)</f>
        <v>Novčane kazne i oduzete imovinske koristi</v>
      </c>
      <c r="D37" s="204">
        <v>281254.96999999997</v>
      </c>
      <c r="E37" s="205">
        <f t="shared" si="0"/>
        <v>1.3088322862860066E-2</v>
      </c>
      <c r="F37" s="204">
        <v>0</v>
      </c>
      <c r="G37" s="205">
        <f t="shared" si="1"/>
        <v>0</v>
      </c>
      <c r="H37" s="204">
        <v>0</v>
      </c>
      <c r="I37" s="205">
        <f t="shared" si="2"/>
        <v>0</v>
      </c>
      <c r="J37" s="204">
        <v>392915.63</v>
      </c>
      <c r="K37" s="205">
        <f t="shared" si="3"/>
        <v>1.3180665213015768E-2</v>
      </c>
      <c r="L37" s="204">
        <v>0</v>
      </c>
      <c r="M37" s="205">
        <f t="shared" si="4"/>
        <v>0</v>
      </c>
      <c r="N37" s="204">
        <v>404453.77</v>
      </c>
      <c r="O37" s="205">
        <f t="shared" si="5"/>
        <v>1.2387558039816234E-2</v>
      </c>
      <c r="P37" s="204">
        <v>346643.42</v>
      </c>
      <c r="Q37" s="206">
        <f t="shared" si="6"/>
        <v>1.0897309651053127E-2</v>
      </c>
      <c r="R37" s="204">
        <v>604377.29</v>
      </c>
      <c r="S37" s="206">
        <f t="shared" si="7"/>
        <v>1.7976718917311126E-2</v>
      </c>
      <c r="T37" s="204">
        <v>923082.52999999991</v>
      </c>
      <c r="U37" s="206">
        <f t="shared" si="8"/>
        <v>2.6694887937765692E-2</v>
      </c>
      <c r="V37" s="207">
        <v>530450</v>
      </c>
      <c r="W37" s="206">
        <f t="shared" si="9"/>
        <v>1.4512995896032832E-2</v>
      </c>
      <c r="X37" s="204">
        <v>346643.42</v>
      </c>
      <c r="Y37" s="206">
        <f t="shared" si="10"/>
        <v>8.7664614839917058E-3</v>
      </c>
      <c r="Z37" s="210">
        <f t="shared" si="12"/>
        <v>351843.07129999995</v>
      </c>
      <c r="AA37" s="206">
        <f t="shared" si="11"/>
        <v>8.3050412203469828E-3</v>
      </c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8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88"/>
      <c r="BQ37" s="188"/>
      <c r="BR37" s="188"/>
      <c r="BS37" s="188"/>
      <c r="BT37" s="188"/>
      <c r="BU37" s="188"/>
      <c r="BV37" s="188"/>
      <c r="BW37" s="188"/>
      <c r="BX37" s="188"/>
      <c r="BY37" s="188"/>
      <c r="BZ37" s="188"/>
      <c r="CA37" s="188"/>
      <c r="CB37" s="188"/>
      <c r="CC37" s="188"/>
      <c r="CD37" s="188"/>
      <c r="CE37" s="188"/>
      <c r="CF37" s="188"/>
      <c r="CG37" s="188"/>
      <c r="CH37" s="188"/>
      <c r="CI37" s="188"/>
      <c r="CJ37" s="188"/>
      <c r="CK37" s="188"/>
      <c r="CL37" s="219"/>
      <c r="CM37" s="219"/>
      <c r="CN37" s="219"/>
      <c r="CO37" s="218"/>
      <c r="CP37" s="218"/>
      <c r="CQ37" s="218"/>
      <c r="CR37" s="215"/>
      <c r="CS37" s="188"/>
      <c r="CT37" s="188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</row>
    <row r="38" spans="1:114" ht="15" hidden="1" customHeight="1">
      <c r="A38" s="181"/>
      <c r="B38" s="181"/>
      <c r="C38" s="203" t="str">
        <f>IF([3]MasterSheet!$A$1=1,[3]MasterSheet!C196,[3]MasterSheet!B196)</f>
        <v>Prihodi koje organi ostvaruju vršenjem svoje djelatnosti</v>
      </c>
      <c r="D38" s="204">
        <v>3468097.74</v>
      </c>
      <c r="E38" s="205">
        <f t="shared" si="0"/>
        <v>0.16138944297082228</v>
      </c>
      <c r="F38" s="204">
        <v>12663792</v>
      </c>
      <c r="G38" s="205">
        <f t="shared" si="1"/>
        <v>0.47244141018466707</v>
      </c>
      <c r="H38" s="204">
        <v>24814149</v>
      </c>
      <c r="I38" s="205">
        <f t="shared" si="2"/>
        <v>0.8041920210007778</v>
      </c>
      <c r="J38" s="204">
        <v>4234645.05</v>
      </c>
      <c r="K38" s="205">
        <f t="shared" si="3"/>
        <v>0.14205451358604496</v>
      </c>
      <c r="L38" s="204">
        <v>0</v>
      </c>
      <c r="M38" s="205">
        <f t="shared" si="4"/>
        <v>0</v>
      </c>
      <c r="N38" s="204">
        <v>4757313.25</v>
      </c>
      <c r="O38" s="205">
        <f t="shared" si="5"/>
        <v>0.14570637825421134</v>
      </c>
      <c r="P38" s="204">
        <v>4971901.540000001</v>
      </c>
      <c r="Q38" s="206">
        <f t="shared" si="6"/>
        <v>0.15629995410248351</v>
      </c>
      <c r="R38" s="204">
        <v>6806974.21</v>
      </c>
      <c r="S38" s="206">
        <f t="shared" si="7"/>
        <v>0.20246800148721</v>
      </c>
      <c r="T38" s="204">
        <v>3480800.8699999996</v>
      </c>
      <c r="U38" s="206">
        <f t="shared" si="8"/>
        <v>0.10066227681540818</v>
      </c>
      <c r="V38" s="207">
        <v>4045005.9676615684</v>
      </c>
      <c r="W38" s="206">
        <f t="shared" si="9"/>
        <v>0.11067047791139721</v>
      </c>
      <c r="X38" s="204">
        <v>4971901.540000001</v>
      </c>
      <c r="Y38" s="206">
        <f t="shared" si="10"/>
        <v>0.12573722978099239</v>
      </c>
      <c r="Z38" s="210">
        <f t="shared" si="12"/>
        <v>5046480.0631000008</v>
      </c>
      <c r="AA38" s="206">
        <f t="shared" si="11"/>
        <v>0.11911908563908889</v>
      </c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188"/>
      <c r="BR38" s="188"/>
      <c r="BS38" s="188"/>
      <c r="BT38" s="188"/>
      <c r="BU38" s="188"/>
      <c r="BV38" s="188"/>
      <c r="BW38" s="188"/>
      <c r="BX38" s="188"/>
      <c r="BY38" s="188"/>
      <c r="BZ38" s="188"/>
      <c r="CA38" s="188"/>
      <c r="CB38" s="188"/>
      <c r="CC38" s="188"/>
      <c r="CD38" s="188"/>
      <c r="CE38" s="188"/>
      <c r="CF38" s="188"/>
      <c r="CG38" s="188"/>
      <c r="CH38" s="188"/>
      <c r="CI38" s="188"/>
      <c r="CJ38" s="188"/>
      <c r="CK38" s="188"/>
      <c r="CL38" s="188"/>
      <c r="CM38" s="188"/>
      <c r="CN38" s="188"/>
      <c r="CO38" s="218"/>
      <c r="CP38" s="218"/>
      <c r="CQ38" s="218"/>
      <c r="CR38" s="215"/>
      <c r="CS38" s="188"/>
      <c r="CT38" s="188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</row>
    <row r="39" spans="1:114" ht="12.75" hidden="1" customHeight="1">
      <c r="A39" s="181"/>
      <c r="B39" s="181"/>
      <c r="C39" s="203" t="str">
        <f>IF([3]MasterSheet!$A$1=1,[3]MasterSheet!C197,[3]MasterSheet!B197)</f>
        <v>Ostali prihodi</v>
      </c>
      <c r="D39" s="204">
        <v>3697714.92</v>
      </c>
      <c r="E39" s="205">
        <f t="shared" si="0"/>
        <v>0.17207477872399832</v>
      </c>
      <c r="F39" s="204">
        <v>0</v>
      </c>
      <c r="G39" s="205">
        <f t="shared" si="1"/>
        <v>0</v>
      </c>
      <c r="H39" s="204">
        <v>0</v>
      </c>
      <c r="I39" s="205">
        <f t="shared" si="2"/>
        <v>0</v>
      </c>
      <c r="J39" s="204">
        <v>12092599.58</v>
      </c>
      <c r="K39" s="205">
        <f t="shared" si="3"/>
        <v>0.4056558061053338</v>
      </c>
      <c r="L39" s="204">
        <v>12231030.096000001</v>
      </c>
      <c r="M39" s="205">
        <f t="shared" si="4"/>
        <v>0.39139296307200006</v>
      </c>
      <c r="N39" s="204">
        <v>7244132.419999999</v>
      </c>
      <c r="O39" s="205">
        <f t="shared" si="5"/>
        <v>0.22187235589586521</v>
      </c>
      <c r="P39" s="204">
        <v>8200629.4299999997</v>
      </c>
      <c r="Q39" s="206">
        <f t="shared" si="6"/>
        <v>0.25780035932096823</v>
      </c>
      <c r="R39" s="204">
        <v>7423081.3600000003</v>
      </c>
      <c r="S39" s="206">
        <f t="shared" si="7"/>
        <v>0.22079361570493755</v>
      </c>
      <c r="T39" s="204">
        <v>8546161.959999999</v>
      </c>
      <c r="U39" s="206">
        <f t="shared" si="8"/>
        <v>0.2471489042482431</v>
      </c>
      <c r="V39" s="207">
        <v>8916162.4280776307</v>
      </c>
      <c r="W39" s="206">
        <f t="shared" si="9"/>
        <v>0.24394425247818416</v>
      </c>
      <c r="X39" s="204">
        <v>8200629.4299999997</v>
      </c>
      <c r="Y39" s="206">
        <f t="shared" si="10"/>
        <v>0.20739035531839564</v>
      </c>
      <c r="Z39" s="210">
        <f t="shared" si="12"/>
        <v>8323638.8714499986</v>
      </c>
      <c r="AA39" s="206">
        <f t="shared" si="11"/>
        <v>0.19647442160863918</v>
      </c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8"/>
      <c r="BB39" s="188"/>
      <c r="BC39" s="188"/>
      <c r="BD39" s="188"/>
      <c r="BE39" s="188"/>
      <c r="BF39" s="188"/>
      <c r="BG39" s="188"/>
      <c r="BH39" s="188"/>
      <c r="BI39" s="188"/>
      <c r="BJ39" s="188"/>
      <c r="BK39" s="188"/>
      <c r="BL39" s="188"/>
      <c r="BM39" s="188"/>
      <c r="BN39" s="188"/>
      <c r="BO39" s="188"/>
      <c r="BP39" s="188"/>
      <c r="BQ39" s="188"/>
      <c r="BR39" s="188"/>
      <c r="BS39" s="188"/>
      <c r="BT39" s="188"/>
      <c r="BU39" s="188"/>
      <c r="BV39" s="188"/>
      <c r="BW39" s="188"/>
      <c r="BX39" s="188"/>
      <c r="BY39" s="188"/>
      <c r="BZ39" s="188"/>
      <c r="CA39" s="188"/>
      <c r="CB39" s="188"/>
      <c r="CC39" s="188"/>
      <c r="CD39" s="188"/>
      <c r="CE39" s="188"/>
      <c r="CF39" s="188"/>
      <c r="CG39" s="188"/>
      <c r="CH39" s="188"/>
      <c r="CI39" s="188"/>
      <c r="CJ39" s="188"/>
      <c r="CK39" s="188"/>
      <c r="CL39" s="188"/>
      <c r="CM39" s="220"/>
      <c r="CN39" s="220"/>
      <c r="CO39" s="221"/>
      <c r="CP39" s="221"/>
      <c r="CQ39" s="221"/>
      <c r="CR39" s="215"/>
      <c r="CS39" s="188"/>
      <c r="CT39" s="188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</row>
    <row r="40" spans="1:114" ht="15" customHeight="1">
      <c r="A40" s="181"/>
      <c r="B40" s="181"/>
      <c r="C40" s="209" t="str">
        <f>IF([3]MasterSheet!$A$1=1,[3]MasterSheet!C198,[3]MasterSheet!B198)</f>
        <v xml:space="preserve">Primici od otplate kredita </v>
      </c>
      <c r="D40" s="210">
        <v>2780504.02</v>
      </c>
      <c r="E40" s="206">
        <f t="shared" si="0"/>
        <v>0.12939196891432825</v>
      </c>
      <c r="F40" s="210">
        <v>0</v>
      </c>
      <c r="G40" s="206">
        <f t="shared" si="1"/>
        <v>0</v>
      </c>
      <c r="H40" s="210">
        <v>0</v>
      </c>
      <c r="I40" s="206">
        <f t="shared" si="2"/>
        <v>0</v>
      </c>
      <c r="J40" s="210">
        <v>0</v>
      </c>
      <c r="K40" s="206">
        <f t="shared" si="3"/>
        <v>0</v>
      </c>
      <c r="L40" s="210">
        <v>0</v>
      </c>
      <c r="M40" s="206">
        <f t="shared" si="4"/>
        <v>0</v>
      </c>
      <c r="N40" s="210">
        <v>0</v>
      </c>
      <c r="O40" s="206">
        <f t="shared" si="5"/>
        <v>0</v>
      </c>
      <c r="P40" s="210">
        <v>0</v>
      </c>
      <c r="Q40" s="206">
        <f t="shared" si="6"/>
        <v>0</v>
      </c>
      <c r="R40" s="210">
        <v>0</v>
      </c>
      <c r="S40" s="206">
        <f t="shared" si="7"/>
        <v>0</v>
      </c>
      <c r="T40" s="210">
        <v>113989.07</v>
      </c>
      <c r="U40" s="206">
        <f t="shared" si="8"/>
        <v>3.2964825472107354E-3</v>
      </c>
      <c r="V40" s="211">
        <v>301707.61</v>
      </c>
      <c r="W40" s="206">
        <f t="shared" si="9"/>
        <v>8.2546541723666194E-3</v>
      </c>
      <c r="X40" s="210">
        <v>0</v>
      </c>
      <c r="Y40" s="206">
        <f t="shared" si="10"/>
        <v>0</v>
      </c>
      <c r="Z40" s="210">
        <f t="shared" si="12"/>
        <v>0</v>
      </c>
      <c r="AA40" s="206">
        <f t="shared" si="11"/>
        <v>0</v>
      </c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8"/>
      <c r="BB40" s="188"/>
      <c r="BC40" s="188"/>
      <c r="BD40" s="188"/>
      <c r="BE40" s="188"/>
      <c r="BF40" s="188"/>
      <c r="BG40" s="188"/>
      <c r="BH40" s="188"/>
      <c r="BI40" s="188"/>
      <c r="BJ40" s="188"/>
      <c r="BK40" s="188"/>
      <c r="BL40" s="188"/>
      <c r="BM40" s="188"/>
      <c r="BN40" s="188"/>
      <c r="BO40" s="188"/>
      <c r="BP40" s="188"/>
      <c r="BQ40" s="188"/>
      <c r="BR40" s="188"/>
      <c r="BS40" s="188"/>
      <c r="BT40" s="188"/>
      <c r="BU40" s="188"/>
      <c r="BV40" s="188"/>
      <c r="BW40" s="188"/>
      <c r="BX40" s="188"/>
      <c r="BY40" s="188"/>
      <c r="BZ40" s="188"/>
      <c r="CA40" s="188"/>
      <c r="CB40" s="188"/>
      <c r="CC40" s="188"/>
      <c r="CD40" s="188"/>
      <c r="CE40" s="188"/>
      <c r="CF40" s="188"/>
      <c r="CG40" s="188"/>
      <c r="CH40" s="188"/>
      <c r="CI40" s="188"/>
      <c r="CJ40" s="188"/>
      <c r="CK40" s="188"/>
      <c r="CL40" s="188"/>
      <c r="CM40" s="188"/>
      <c r="CN40" s="188"/>
      <c r="CO40" s="188"/>
      <c r="CP40" s="188"/>
      <c r="CQ40" s="188"/>
      <c r="CR40" s="188"/>
      <c r="CS40" s="188"/>
      <c r="CT40" s="188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</row>
    <row r="41" spans="1:114" ht="15" hidden="1" customHeight="1" thickTop="1" thickBot="1">
      <c r="A41" s="181"/>
      <c r="B41" s="181"/>
      <c r="C41" s="222" t="str">
        <f>IF([3]MasterSheet!$A$1=1,[3]MasterSheet!C199,[3]MasterSheet!B199)</f>
        <v>Donacije</v>
      </c>
      <c r="D41" s="223">
        <v>0</v>
      </c>
      <c r="E41" s="224">
        <f t="shared" si="0"/>
        <v>0</v>
      </c>
      <c r="F41" s="223">
        <v>0</v>
      </c>
      <c r="G41" s="224">
        <f t="shared" si="1"/>
        <v>0</v>
      </c>
      <c r="H41" s="223">
        <v>0</v>
      </c>
      <c r="I41" s="224">
        <f t="shared" si="2"/>
        <v>0</v>
      </c>
      <c r="J41" s="223">
        <v>0</v>
      </c>
      <c r="K41" s="224">
        <f t="shared" si="3"/>
        <v>0</v>
      </c>
      <c r="L41" s="223">
        <v>0</v>
      </c>
      <c r="M41" s="224">
        <f t="shared" si="4"/>
        <v>0</v>
      </c>
      <c r="N41" s="225">
        <v>0</v>
      </c>
      <c r="O41" s="226">
        <f t="shared" si="5"/>
        <v>0</v>
      </c>
      <c r="P41" s="225"/>
      <c r="Q41" s="206">
        <f t="shared" si="6"/>
        <v>0</v>
      </c>
      <c r="R41" s="223"/>
      <c r="S41" s="206">
        <f t="shared" si="7"/>
        <v>0</v>
      </c>
      <c r="T41" s="198">
        <v>3750358.55</v>
      </c>
      <c r="U41" s="206">
        <f t="shared" si="8"/>
        <v>0.10845769253014835</v>
      </c>
      <c r="V41" s="227"/>
      <c r="W41" s="206">
        <f t="shared" si="9"/>
        <v>0</v>
      </c>
      <c r="X41" s="225"/>
      <c r="Y41" s="206">
        <f t="shared" si="10"/>
        <v>0</v>
      </c>
      <c r="Z41" s="210">
        <f t="shared" si="12"/>
        <v>0</v>
      </c>
      <c r="AA41" s="206">
        <f t="shared" si="11"/>
        <v>0</v>
      </c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  <c r="BR41" s="188"/>
      <c r="BS41" s="188"/>
      <c r="BT41" s="188"/>
      <c r="BU41" s="188"/>
      <c r="BV41" s="188"/>
      <c r="BW41" s="188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  <c r="CO41" s="188"/>
      <c r="CP41" s="218"/>
      <c r="CQ41" s="188"/>
      <c r="CR41" s="188"/>
      <c r="CS41" s="188"/>
      <c r="CT41" s="188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</row>
    <row r="42" spans="1:114" ht="13.5" thickBot="1">
      <c r="A42" s="181"/>
      <c r="B42" s="181"/>
      <c r="C42" s="228" t="str">
        <f>IF([3]MasterSheet!$A$1=1,[3]MasterSheet!C247,[3]MasterSheet!B247)</f>
        <v>Donacije</v>
      </c>
      <c r="D42" s="229">
        <v>1053772.6200000001</v>
      </c>
      <c r="E42" s="206">
        <f>+D42/$D$9*100</f>
        <v>4.9037769091162933E-2</v>
      </c>
      <c r="F42" s="229">
        <v>1560565.85</v>
      </c>
      <c r="G42" s="206">
        <f>+F42/$F$9*100</f>
        <v>5.8219207237455703E-2</v>
      </c>
      <c r="H42" s="229">
        <v>1980484</v>
      </c>
      <c r="I42" s="206">
        <f>+H42/$H$9*100</f>
        <v>6.4184729064039409E-2</v>
      </c>
      <c r="J42" s="229">
        <v>5542134.3700000001</v>
      </c>
      <c r="K42" s="206">
        <f>+J42/$J$9*100</f>
        <v>0.18591527574639383</v>
      </c>
      <c r="L42" s="229">
        <v>3075774.67</v>
      </c>
      <c r="M42" s="206">
        <f>+L42/$L$9*100</f>
        <v>9.8424789439999993E-2</v>
      </c>
      <c r="N42" s="210">
        <v>4244191.55</v>
      </c>
      <c r="O42" s="230">
        <f>+N42/$N$9*100</f>
        <v>0.12999055283307809</v>
      </c>
      <c r="P42" s="210">
        <v>2880000</v>
      </c>
      <c r="Q42" s="231">
        <f t="shared" si="6"/>
        <v>9.0537566802892169E-2</v>
      </c>
      <c r="R42" s="210">
        <v>3102369.06</v>
      </c>
      <c r="S42" s="231">
        <f t="shared" si="7"/>
        <v>9.227748542534206E-2</v>
      </c>
      <c r="T42" s="232">
        <v>3750358.55</v>
      </c>
      <c r="U42" s="231">
        <f t="shared" si="8"/>
        <v>0.10845769253014835</v>
      </c>
      <c r="V42" s="211">
        <v>6933606.0099999998</v>
      </c>
      <c r="W42" s="231">
        <f t="shared" si="9"/>
        <v>0.18970194281805747</v>
      </c>
      <c r="X42" s="210">
        <v>5743110.1400000006</v>
      </c>
      <c r="Y42" s="231">
        <f t="shared" si="10"/>
        <v>0.14524076020433971</v>
      </c>
      <c r="Z42" s="210">
        <v>5185100.6500000004</v>
      </c>
      <c r="AA42" s="231">
        <f t="shared" si="11"/>
        <v>0.12239114009205714</v>
      </c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</row>
    <row r="43" spans="1:114" ht="15" customHeight="1" thickTop="1" thickBot="1">
      <c r="A43" s="181"/>
      <c r="B43" s="181"/>
      <c r="C43" s="233" t="str">
        <f>IF([3]MasterSheet!$A$1=1,[3]MasterSheet!C200,[3]MasterSheet!B200)</f>
        <v>Izdaci</v>
      </c>
      <c r="D43" s="234">
        <f>+D45+D59+D65+D71+D72+D73+D74+D75+D76</f>
        <v>122152514.3198</v>
      </c>
      <c r="E43" s="194">
        <f>+E45+E59+E65+E71+E72+E73+E74++E76+E75</f>
        <v>5.9731703038670947</v>
      </c>
      <c r="F43" s="234">
        <f>+F45+F59+F65+F71+F72+F73+F74+F75+F76</f>
        <v>212706333.96000001</v>
      </c>
      <c r="G43" s="194">
        <f>+G45+G59+G65+G71+G72+G73+G74++G76+G75</f>
        <v>8.4925855978362232</v>
      </c>
      <c r="H43" s="234">
        <f>+H45+H59+H65+H71+H72+H73+H74+H75+H76</f>
        <v>296315420.74999994</v>
      </c>
      <c r="I43" s="194">
        <f>+I45+I59+I65+I71+I72+I73+I74++I76+I75</f>
        <v>10.092114938184142</v>
      </c>
      <c r="J43" s="234">
        <f>+J45+J59+J65+J71+J72+J73+J74+J75+J76</f>
        <v>222677512.22999999</v>
      </c>
      <c r="K43" s="194">
        <f>+K45+K59+K65+K71+K72+K73+K74++K76+K75</f>
        <v>8.4362322848037579</v>
      </c>
      <c r="L43" s="234">
        <f>+L45+L59+L65+L71+L72+L73+L74+L75+L76</f>
        <v>181752118.82999998</v>
      </c>
      <c r="M43" s="194">
        <f>+M45+M59+M65+M71+M72+M73+M74++M76+M75</f>
        <v>5.9922927641600001</v>
      </c>
      <c r="N43" s="234">
        <f>+N45+N59+N65+N71+N72+N73+N74+N75+N76</f>
        <v>143503088.81999999</v>
      </c>
      <c r="O43" s="194">
        <f>+O45+O59+O65+O71+O72+O73+O74++O76+O75</f>
        <v>5.659724342725883</v>
      </c>
      <c r="P43" s="234">
        <f>+P45+P59+P65+P71+P72+P73+P74+P75+P76</f>
        <v>160307833.25000006</v>
      </c>
      <c r="Q43" s="194">
        <f t="shared" si="6"/>
        <v>5.0395420701037423</v>
      </c>
      <c r="R43" s="234">
        <f>+R45+R59+R65+R71+R72+R73+R74+R75</f>
        <v>146458479.02000001</v>
      </c>
      <c r="S43" s="194">
        <f t="shared" si="7"/>
        <v>4.3562902742415233</v>
      </c>
      <c r="T43" s="234">
        <f>+T45+T59+T65+T71+T72+T73+T74+T75</f>
        <v>194068543.23249999</v>
      </c>
      <c r="U43" s="194">
        <f t="shared" si="8"/>
        <v>5.6123237581335488</v>
      </c>
      <c r="V43" s="234">
        <f>+V45+V59+V65+V71+V72+V73+V74+V75</f>
        <v>210595268.31300002</v>
      </c>
      <c r="W43" s="194">
        <f t="shared" si="9"/>
        <v>5.7618404463201101</v>
      </c>
      <c r="X43" s="234">
        <f>+X45+X59+X65+X71+X72+X73+X74+X75</f>
        <v>204446762.20000002</v>
      </c>
      <c r="Y43" s="194">
        <f t="shared" si="10"/>
        <v>5.170369789085024</v>
      </c>
      <c r="Z43" s="234">
        <f>+Z45+Z59+Z65+Z71+Z72+Z73+Z74+Z75</f>
        <v>209326250.91999993</v>
      </c>
      <c r="AA43" s="194">
        <f t="shared" si="11"/>
        <v>4.9410185511625144</v>
      </c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8"/>
      <c r="BB43" s="188"/>
      <c r="BC43" s="188"/>
      <c r="BD43" s="188"/>
      <c r="BE43" s="188"/>
      <c r="BF43" s="188"/>
      <c r="BG43" s="188"/>
      <c r="BH43" s="188"/>
      <c r="BI43" s="188"/>
      <c r="BJ43" s="188"/>
      <c r="BK43" s="188"/>
      <c r="BL43" s="188"/>
      <c r="BM43" s="188"/>
      <c r="BN43" s="188"/>
      <c r="BO43" s="188"/>
      <c r="BP43" s="188"/>
      <c r="BQ43" s="188"/>
      <c r="BR43" s="188"/>
      <c r="BS43" s="188"/>
      <c r="BT43" s="188"/>
      <c r="BU43" s="188"/>
      <c r="BV43" s="188"/>
      <c r="BW43" s="188"/>
      <c r="BX43" s="188"/>
      <c r="BY43" s="188"/>
      <c r="BZ43" s="188"/>
      <c r="CA43" s="188"/>
      <c r="CB43" s="188"/>
      <c r="CC43" s="188"/>
      <c r="CD43" s="188"/>
      <c r="CE43" s="188"/>
      <c r="CF43" s="188"/>
      <c r="CG43" s="188"/>
      <c r="CH43" s="188"/>
      <c r="CI43" s="188"/>
      <c r="CJ43" s="188"/>
      <c r="CK43" s="188"/>
      <c r="CL43" s="188"/>
      <c r="CM43" s="188"/>
      <c r="CN43" s="188"/>
      <c r="CO43" s="188"/>
      <c r="CP43" s="188"/>
      <c r="CQ43" s="188"/>
      <c r="CR43" s="188"/>
      <c r="CS43" s="188"/>
      <c r="CT43" s="188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</row>
    <row r="44" spans="1:114" ht="15" customHeight="1" thickTop="1" thickBot="1">
      <c r="A44" s="181"/>
      <c r="B44" s="181"/>
      <c r="C44" s="235" t="str">
        <f>IF([3]MasterSheet!$A$1=1,[3]MasterSheet!C201,[3]MasterSheet!B201)</f>
        <v>Tekuća potrošnja lokalne samouprave</v>
      </c>
      <c r="D44" s="236">
        <f>+D43-D71</f>
        <v>65241030.659800008</v>
      </c>
      <c r="E44" s="194">
        <f t="shared" si="0"/>
        <v>3.0360198548001307</v>
      </c>
      <c r="F44" s="236">
        <f>+F43-F71</f>
        <v>107804185.53000002</v>
      </c>
      <c r="G44" s="194">
        <f t="shared" si="1"/>
        <v>4.0217939015109128</v>
      </c>
      <c r="H44" s="236">
        <f>+H43-H71</f>
        <v>129914311.70999998</v>
      </c>
      <c r="I44" s="194">
        <f t="shared" si="2"/>
        <v>4.2103419662302297</v>
      </c>
      <c r="J44" s="236">
        <f>+J43-J71</f>
        <v>110342352.22999999</v>
      </c>
      <c r="K44" s="194">
        <f t="shared" si="3"/>
        <v>3.7015213763837638</v>
      </c>
      <c r="L44" s="236">
        <f>+L43-L71</f>
        <v>98602118.829999983</v>
      </c>
      <c r="M44" s="194">
        <f t="shared" si="4"/>
        <v>3.1552678025599996</v>
      </c>
      <c r="N44" s="193">
        <f>+N43-N71</f>
        <v>92033414.329999983</v>
      </c>
      <c r="O44" s="237">
        <f t="shared" si="5"/>
        <v>2.8187875751914238</v>
      </c>
      <c r="P44" s="193">
        <f>+P43-P71</f>
        <v>111991128.18000007</v>
      </c>
      <c r="Q44" s="194">
        <f t="shared" si="6"/>
        <v>3.5206264753222278</v>
      </c>
      <c r="R44" s="193">
        <f>+R43-R71</f>
        <v>99290936.840000004</v>
      </c>
      <c r="S44" s="194">
        <f t="shared" si="7"/>
        <v>2.9533294717430101</v>
      </c>
      <c r="T44" s="193">
        <f>T43-T71</f>
        <v>144687887.4425</v>
      </c>
      <c r="U44" s="194">
        <f t="shared" si="8"/>
        <v>4.1842704370427137</v>
      </c>
      <c r="V44" s="238">
        <f>V43-V71</f>
        <v>170462425.41300002</v>
      </c>
      <c r="W44" s="194">
        <f t="shared" si="9"/>
        <v>4.6638146487824903</v>
      </c>
      <c r="X44" s="193">
        <f>+X43-X71</f>
        <v>163410936.36000001</v>
      </c>
      <c r="Y44" s="194">
        <f t="shared" si="10"/>
        <v>4.1325915826210116</v>
      </c>
      <c r="Z44" s="193">
        <f>+Z43-Z71</f>
        <v>163202414.80999994</v>
      </c>
      <c r="AA44" s="194">
        <f t="shared" si="11"/>
        <v>3.8522935161099956</v>
      </c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8"/>
      <c r="BB44" s="188"/>
      <c r="BC44" s="188"/>
      <c r="BD44" s="188"/>
      <c r="BE44" s="188"/>
      <c r="BF44" s="188"/>
      <c r="BG44" s="188"/>
      <c r="BH44" s="188"/>
      <c r="BI44" s="188"/>
      <c r="BJ44" s="188"/>
      <c r="BK44" s="188"/>
      <c r="BL44" s="188"/>
      <c r="BM44" s="188"/>
      <c r="BN44" s="188"/>
      <c r="BO44" s="188"/>
      <c r="BP44" s="188"/>
      <c r="BQ44" s="188"/>
      <c r="BR44" s="188"/>
      <c r="BS44" s="188"/>
      <c r="BT44" s="188"/>
      <c r="BU44" s="188"/>
      <c r="BV44" s="188"/>
      <c r="BW44" s="188"/>
      <c r="BX44" s="188"/>
      <c r="BY44" s="188"/>
      <c r="BZ44" s="188"/>
      <c r="CA44" s="188"/>
      <c r="CB44" s="188"/>
      <c r="CC44" s="188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  <c r="CO44" s="188"/>
      <c r="CP44" s="188"/>
      <c r="CQ44" s="188"/>
      <c r="CR44" s="188"/>
      <c r="CS44" s="188"/>
      <c r="CT44" s="188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</row>
    <row r="45" spans="1:114" ht="15" customHeight="1" thickTop="1">
      <c r="A45" s="181"/>
      <c r="B45" s="181"/>
      <c r="C45" s="239" t="str">
        <f>IF([3]MasterSheet!$A$1=1,[3]MasterSheet!C202,[3]MasterSheet!B202)</f>
        <v>Tekući izdaci</v>
      </c>
      <c r="D45" s="198">
        <f>+D46+D52+D53+D55+D56+D57+D58+D54</f>
        <v>49256706.21980001</v>
      </c>
      <c r="E45" s="199">
        <f t="shared" si="0"/>
        <v>2.2921823360696174</v>
      </c>
      <c r="F45" s="198">
        <f>+F46+F52+F53+F55+F56+F57+F58+F54</f>
        <v>71093291.460000008</v>
      </c>
      <c r="G45" s="199">
        <f t="shared" si="1"/>
        <v>2.6522399350867381</v>
      </c>
      <c r="H45" s="198">
        <f>+H46+H52+H53+H55+H56+H57+H58+H54</f>
        <v>85302697.710000008</v>
      </c>
      <c r="I45" s="199">
        <f t="shared" si="2"/>
        <v>2.7645416680710402</v>
      </c>
      <c r="J45" s="198">
        <f>+J46+J52+J53+J55+J56+J57+J58+J54</f>
        <v>75125141.88000001</v>
      </c>
      <c r="K45" s="199">
        <f t="shared" si="3"/>
        <v>2.5201322334786989</v>
      </c>
      <c r="L45" s="198">
        <f>+L46+L52+L53+L55+L56+L57+L58+L54</f>
        <v>64610000</v>
      </c>
      <c r="M45" s="199">
        <f t="shared" si="4"/>
        <v>2.06752</v>
      </c>
      <c r="N45" s="198">
        <f>+N46+N52+N53+N55+N56+N57+N58+N54</f>
        <v>65516340.920000002</v>
      </c>
      <c r="O45" s="199">
        <f t="shared" si="5"/>
        <v>2.0066260618683005</v>
      </c>
      <c r="P45" s="198">
        <f>+P46+P52+P53+P55+P56+P57+P58+P54</f>
        <v>62674225.200000018</v>
      </c>
      <c r="Q45" s="199">
        <f t="shared" si="6"/>
        <v>1.9702680037723992</v>
      </c>
      <c r="R45" s="198">
        <f>+R46+R52+R53+R55+R56+R57+R58+R54</f>
        <v>63224762.610000007</v>
      </c>
      <c r="S45" s="199">
        <f t="shared" si="7"/>
        <v>1.8805699765020822</v>
      </c>
      <c r="T45" s="198">
        <f>+T46+T52+T53+T55+T56+T57+T58+T54</f>
        <v>64292739.54999999</v>
      </c>
      <c r="U45" s="199">
        <f t="shared" si="8"/>
        <v>1.8593001402585378</v>
      </c>
      <c r="V45" s="200">
        <f>+V46+V52+V53+V55+V56+V57+V58+V54</f>
        <v>81103981.883000001</v>
      </c>
      <c r="W45" s="199">
        <f t="shared" si="9"/>
        <v>2.2189871924213409</v>
      </c>
      <c r="X45" s="198">
        <f>+X46+X52+X53+X55+X56+X57+X58+X54</f>
        <v>78974895.13000001</v>
      </c>
      <c r="Y45" s="199">
        <f t="shared" si="10"/>
        <v>1.9972407852410099</v>
      </c>
      <c r="Z45" s="198">
        <f>+Z46+Z52+Z53+Z55+Z56+Z57+Z58+Z54</f>
        <v>80236963.439999968</v>
      </c>
      <c r="AA45" s="199">
        <f t="shared" si="11"/>
        <v>1.8939446108816234</v>
      </c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8"/>
      <c r="BB45" s="188"/>
      <c r="BC45" s="188"/>
      <c r="BD45" s="188"/>
      <c r="BE45" s="188"/>
      <c r="BF45" s="188"/>
      <c r="BG45" s="188"/>
      <c r="BH45" s="188"/>
      <c r="BI45" s="188"/>
      <c r="BJ45" s="188"/>
      <c r="BK45" s="188"/>
      <c r="BL45" s="188"/>
      <c r="BM45" s="188"/>
      <c r="BN45" s="188"/>
      <c r="BO45" s="188"/>
      <c r="BP45" s="188"/>
      <c r="BQ45" s="188"/>
      <c r="BR45" s="188"/>
      <c r="BS45" s="188"/>
      <c r="BT45" s="188"/>
      <c r="BU45" s="188"/>
      <c r="BV45" s="188"/>
      <c r="BW45" s="188"/>
      <c r="BX45" s="188"/>
      <c r="BY45" s="188"/>
      <c r="BZ45" s="188"/>
      <c r="CA45" s="188"/>
      <c r="CB45" s="188"/>
      <c r="CC45" s="188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  <c r="CO45" s="188"/>
      <c r="CP45" s="188"/>
      <c r="CQ45" s="188"/>
      <c r="CR45" s="188"/>
      <c r="CS45" s="188"/>
      <c r="CT45" s="188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</row>
    <row r="46" spans="1:114" ht="15" customHeight="1">
      <c r="A46" s="181"/>
      <c r="B46" s="181"/>
      <c r="C46" s="228" t="str">
        <f>IF([3]MasterSheet!$A$1=1,[3]MasterSheet!C203,[3]MasterSheet!B203)</f>
        <v>Bruto zarade i doprinosi na teret poslodavca</v>
      </c>
      <c r="D46" s="210">
        <f>SUM(D47:D51)</f>
        <v>22909978.369800005</v>
      </c>
      <c r="E46" s="206">
        <f t="shared" si="0"/>
        <v>1.0661258490297363</v>
      </c>
      <c r="F46" s="210">
        <f>SUM(F47:F51)</f>
        <v>31729442.970000006</v>
      </c>
      <c r="G46" s="206">
        <f t="shared" si="1"/>
        <v>1.1837135970900954</v>
      </c>
      <c r="H46" s="210">
        <f>SUM(H47:H51)</f>
        <v>42092200.68</v>
      </c>
      <c r="I46" s="206">
        <f t="shared" si="2"/>
        <v>1.3641496201711174</v>
      </c>
      <c r="J46" s="210">
        <v>40532718.950000003</v>
      </c>
      <c r="K46" s="206">
        <f t="shared" si="3"/>
        <v>1.3597020781616909</v>
      </c>
      <c r="L46" s="210">
        <v>32760000</v>
      </c>
      <c r="M46" s="206">
        <f t="shared" si="4"/>
        <v>1.0483199999999999</v>
      </c>
      <c r="N46" s="210">
        <f>+SUM(N47:N51)</f>
        <v>32685526.710000005</v>
      </c>
      <c r="O46" s="206">
        <f t="shared" si="5"/>
        <v>1.0010881075038285</v>
      </c>
      <c r="P46" s="210">
        <f>+SUM(P47:P51)</f>
        <v>33099260.940000013</v>
      </c>
      <c r="Q46" s="206">
        <f t="shared" si="6"/>
        <v>1.0405300515561149</v>
      </c>
      <c r="R46" s="210">
        <f>+SUM(R47:R51)</f>
        <v>36040618.039999999</v>
      </c>
      <c r="S46" s="206">
        <f t="shared" si="7"/>
        <v>1.0719993468173705</v>
      </c>
      <c r="T46" s="210">
        <v>36835921.669999994</v>
      </c>
      <c r="U46" s="206">
        <f t="shared" si="8"/>
        <v>1.0652685638682435</v>
      </c>
      <c r="V46" s="211">
        <v>46614673.850000001</v>
      </c>
      <c r="W46" s="206">
        <f t="shared" si="9"/>
        <v>1.2753672735978112</v>
      </c>
      <c r="X46" s="210">
        <v>45098519.069999993</v>
      </c>
      <c r="Y46" s="206">
        <f t="shared" si="10"/>
        <v>1.1405219531131454</v>
      </c>
      <c r="Z46" s="210">
        <v>46744798.819999985</v>
      </c>
      <c r="AA46" s="206">
        <f t="shared" si="11"/>
        <v>1.1033824812935202</v>
      </c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8"/>
      <c r="BB46" s="188"/>
      <c r="BC46" s="188"/>
      <c r="BD46" s="188"/>
      <c r="BE46" s="188"/>
      <c r="BF46" s="188"/>
      <c r="BG46" s="188"/>
      <c r="BH46" s="188"/>
      <c r="BI46" s="188"/>
      <c r="BJ46" s="188"/>
      <c r="BK46" s="188"/>
      <c r="BL46" s="188"/>
      <c r="BM46" s="188"/>
      <c r="BN46" s="188"/>
      <c r="BO46" s="188"/>
      <c r="BP46" s="188"/>
      <c r="BQ46" s="188"/>
      <c r="BR46" s="188"/>
      <c r="BS46" s="188"/>
      <c r="BT46" s="188"/>
      <c r="BU46" s="188"/>
      <c r="BV46" s="188"/>
      <c r="BW46" s="188"/>
      <c r="BX46" s="188"/>
      <c r="BY46" s="188"/>
      <c r="BZ46" s="188"/>
      <c r="CA46" s="188"/>
      <c r="CB46" s="188"/>
      <c r="CC46" s="188"/>
      <c r="CD46" s="188"/>
      <c r="CE46" s="188"/>
      <c r="CF46" s="188"/>
      <c r="CG46" s="188"/>
      <c r="CH46" s="188"/>
      <c r="CI46" s="188"/>
      <c r="CJ46" s="188"/>
      <c r="CK46" s="188"/>
      <c r="CL46" s="188"/>
      <c r="CM46" s="188"/>
      <c r="CN46" s="188"/>
      <c r="CO46" s="188"/>
      <c r="CP46" s="188"/>
      <c r="CQ46" s="188"/>
      <c r="CR46" s="188"/>
      <c r="CS46" s="188"/>
      <c r="CT46" s="188"/>
      <c r="CU46" s="189"/>
      <c r="CV46" s="189"/>
      <c r="CW46" s="189"/>
      <c r="CX46" s="189"/>
      <c r="CY46" s="189"/>
      <c r="CZ46" s="189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</row>
    <row r="47" spans="1:114" ht="15" hidden="1" customHeight="1">
      <c r="A47" s="181"/>
      <c r="B47" s="181"/>
      <c r="C47" s="240" t="str">
        <f>IF([3]MasterSheet!$A$1=1,[3]MasterSheet!C204,[3]MasterSheet!B204)</f>
        <v>Neto zarade</v>
      </c>
      <c r="D47" s="204">
        <v>12842648.100000005</v>
      </c>
      <c r="E47" s="205">
        <f t="shared" si="0"/>
        <v>0.59763823816836548</v>
      </c>
      <c r="F47" s="204">
        <v>18387273.760000002</v>
      </c>
      <c r="G47" s="205">
        <f t="shared" si="1"/>
        <v>0.68596432605857127</v>
      </c>
      <c r="H47" s="204">
        <v>25908326.689999998</v>
      </c>
      <c r="I47" s="205">
        <f t="shared" si="2"/>
        <v>0.83965279653876057</v>
      </c>
      <c r="J47" s="204">
        <v>26800913.310000006</v>
      </c>
      <c r="K47" s="205">
        <f t="shared" si="3"/>
        <v>0.89905780979537087</v>
      </c>
      <c r="L47" s="204">
        <v>24533511.050000001</v>
      </c>
      <c r="M47" s="205">
        <f t="shared" si="4"/>
        <v>0.78507235360000005</v>
      </c>
      <c r="N47" s="204">
        <v>26607131.840000004</v>
      </c>
      <c r="O47" s="205">
        <f t="shared" si="5"/>
        <v>0.8149198113323125</v>
      </c>
      <c r="P47" s="204">
        <v>25572694.79000001</v>
      </c>
      <c r="Q47" s="206">
        <f t="shared" si="6"/>
        <v>0.80391998711097179</v>
      </c>
      <c r="R47" s="204">
        <v>25093925.329999998</v>
      </c>
      <c r="S47" s="206">
        <f t="shared" si="7"/>
        <v>0.74639873081499097</v>
      </c>
      <c r="T47" s="204">
        <v>24202511.635679998</v>
      </c>
      <c r="U47" s="206">
        <f t="shared" si="8"/>
        <v>0.69991936249399922</v>
      </c>
      <c r="V47" s="207">
        <v>24565549.310215194</v>
      </c>
      <c r="W47" s="206">
        <f t="shared" si="9"/>
        <v>0.67210805226306958</v>
      </c>
      <c r="X47" s="204">
        <v>25572694.79000001</v>
      </c>
      <c r="Y47" s="206">
        <f t="shared" si="10"/>
        <v>0.64672234054928968</v>
      </c>
      <c r="Z47" s="210">
        <f t="shared" ref="Z47:Z51" si="13">X47*1.015</f>
        <v>25956285.211850006</v>
      </c>
      <c r="AA47" s="206">
        <f t="shared" si="11"/>
        <v>0.6126822899055826</v>
      </c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88"/>
      <c r="BM47" s="188"/>
      <c r="BN47" s="188"/>
      <c r="BO47" s="188"/>
      <c r="BP47" s="188"/>
      <c r="BQ47" s="188"/>
      <c r="BR47" s="188"/>
      <c r="BS47" s="188"/>
      <c r="BT47" s="188"/>
      <c r="BU47" s="188"/>
      <c r="BV47" s="188"/>
      <c r="BW47" s="188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88"/>
      <c r="CI47" s="188"/>
      <c r="CJ47" s="188"/>
      <c r="CK47" s="188"/>
      <c r="CL47" s="188"/>
      <c r="CM47" s="188"/>
      <c r="CN47" s="188"/>
      <c r="CO47" s="188"/>
      <c r="CP47" s="188"/>
      <c r="CQ47" s="188"/>
      <c r="CR47" s="188"/>
      <c r="CS47" s="188"/>
      <c r="CT47" s="188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</row>
    <row r="48" spans="1:114" ht="15" hidden="1" customHeight="1">
      <c r="A48" s="181"/>
      <c r="B48" s="181"/>
      <c r="C48" s="240" t="str">
        <f>IF([3]MasterSheet!$A$1=1,[3]MasterSheet!C205,[3]MasterSheet!B205)</f>
        <v>Porez na zarade</v>
      </c>
      <c r="D48" s="204">
        <v>2843884.07</v>
      </c>
      <c r="E48" s="205">
        <f t="shared" si="0"/>
        <v>0.13234138722136907</v>
      </c>
      <c r="F48" s="204">
        <v>3358772.28</v>
      </c>
      <c r="G48" s="205">
        <f t="shared" si="1"/>
        <v>0.12530394627867933</v>
      </c>
      <c r="H48" s="204">
        <v>4278566.0199999996</v>
      </c>
      <c r="I48" s="205">
        <f t="shared" si="2"/>
        <v>0.13866236777288046</v>
      </c>
      <c r="J48" s="204">
        <v>3236690.7800000003</v>
      </c>
      <c r="K48" s="205">
        <f t="shared" si="3"/>
        <v>0.10857734921167395</v>
      </c>
      <c r="L48" s="204">
        <v>1696555</v>
      </c>
      <c r="M48" s="205">
        <f t="shared" si="4"/>
        <v>5.4289759999999999E-2</v>
      </c>
      <c r="N48" s="204">
        <v>1280341.3400000001</v>
      </c>
      <c r="O48" s="205">
        <f t="shared" si="5"/>
        <v>3.9214129862174582E-2</v>
      </c>
      <c r="P48" s="204">
        <v>1523568.7499999998</v>
      </c>
      <c r="Q48" s="206">
        <f t="shared" si="6"/>
        <v>4.789590537566802E-2</v>
      </c>
      <c r="R48" s="204">
        <v>2345281.56</v>
      </c>
      <c r="S48" s="206">
        <f t="shared" si="7"/>
        <v>6.9758523497917904E-2</v>
      </c>
      <c r="T48" s="204">
        <v>1466600.5179000001</v>
      </c>
      <c r="U48" s="206">
        <f t="shared" si="8"/>
        <v>4.2413040223835283E-2</v>
      </c>
      <c r="V48" s="207">
        <v>1488599.5256685</v>
      </c>
      <c r="W48" s="206">
        <f t="shared" si="9"/>
        <v>4.0727757200232563E-2</v>
      </c>
      <c r="X48" s="204">
        <v>1523568.7499999998</v>
      </c>
      <c r="Y48" s="206">
        <f t="shared" si="10"/>
        <v>3.8530391735369984E-2</v>
      </c>
      <c r="Z48" s="210">
        <f t="shared" si="13"/>
        <v>1546422.2812499995</v>
      </c>
      <c r="AA48" s="206">
        <f t="shared" si="11"/>
        <v>3.6502355275581252E-2</v>
      </c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  <c r="BR48" s="188"/>
      <c r="BS48" s="188"/>
      <c r="BT48" s="188"/>
      <c r="BU48" s="188"/>
      <c r="BV48" s="188"/>
      <c r="BW48" s="188"/>
      <c r="BX48" s="188"/>
      <c r="BY48" s="188"/>
      <c r="BZ48" s="188"/>
      <c r="CA48" s="188"/>
      <c r="CB48" s="188"/>
      <c r="CC48" s="188"/>
      <c r="CD48" s="188"/>
      <c r="CE48" s="188"/>
      <c r="CF48" s="188"/>
      <c r="CG48" s="188"/>
      <c r="CH48" s="188"/>
      <c r="CI48" s="188"/>
      <c r="CJ48" s="188"/>
      <c r="CK48" s="188"/>
      <c r="CL48" s="188"/>
      <c r="CM48" s="188"/>
      <c r="CN48" s="188"/>
      <c r="CO48" s="188"/>
      <c r="CP48" s="241"/>
      <c r="CQ48" s="188"/>
      <c r="CR48" s="188"/>
      <c r="CS48" s="188"/>
      <c r="CT48" s="188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89"/>
      <c r="DF48" s="189"/>
      <c r="DG48" s="189"/>
      <c r="DH48" s="189"/>
      <c r="DI48" s="189"/>
      <c r="DJ48" s="189"/>
    </row>
    <row r="49" spans="1:114" ht="15" hidden="1" customHeight="1">
      <c r="A49" s="181"/>
      <c r="B49" s="181"/>
      <c r="C49" s="240" t="str">
        <f>IF([3]MasterSheet!$A$1=1,[3]MasterSheet!C206,[3]MasterSheet!B206)</f>
        <v>Doprinosi na teret zaposlenog</v>
      </c>
      <c r="D49" s="204">
        <v>3661666.71</v>
      </c>
      <c r="E49" s="205">
        <f t="shared" si="0"/>
        <v>0.17039725952813067</v>
      </c>
      <c r="F49" s="204">
        <v>5065861.34</v>
      </c>
      <c r="G49" s="205">
        <f t="shared" si="1"/>
        <v>0.18898941764596155</v>
      </c>
      <c r="H49" s="204">
        <v>6100934.6499999994</v>
      </c>
      <c r="I49" s="205">
        <f t="shared" si="2"/>
        <v>0.19772279783510496</v>
      </c>
      <c r="J49" s="204">
        <v>5593740.4699999997</v>
      </c>
      <c r="K49" s="205">
        <f t="shared" si="3"/>
        <v>0.18764644313988593</v>
      </c>
      <c r="L49" s="204">
        <v>4285996.53</v>
      </c>
      <c r="M49" s="205">
        <f t="shared" si="4"/>
        <v>0.13715188896000002</v>
      </c>
      <c r="N49" s="204">
        <v>3067317.62</v>
      </c>
      <c r="O49" s="205">
        <f t="shared" si="5"/>
        <v>9.3945409494640128E-2</v>
      </c>
      <c r="P49" s="204">
        <v>3904382.58</v>
      </c>
      <c r="Q49" s="206">
        <f t="shared" si="6"/>
        <v>0.12274072870166615</v>
      </c>
      <c r="R49" s="204">
        <v>5572315.9400000004</v>
      </c>
      <c r="S49" s="206">
        <f t="shared" si="7"/>
        <v>0.1657440791195717</v>
      </c>
      <c r="T49" s="204">
        <v>3520622.6124300002</v>
      </c>
      <c r="U49" s="206">
        <f t="shared" si="8"/>
        <v>0.10181389318459182</v>
      </c>
      <c r="V49" s="207">
        <v>3573431.9516164497</v>
      </c>
      <c r="W49" s="206">
        <f t="shared" si="9"/>
        <v>9.7768316049697657E-2</v>
      </c>
      <c r="X49" s="204">
        <v>3904382.58</v>
      </c>
      <c r="Y49" s="206">
        <f t="shared" si="10"/>
        <v>9.8740139092610396E-2</v>
      </c>
      <c r="Z49" s="210">
        <f t="shared" si="13"/>
        <v>3962948.3186999997</v>
      </c>
      <c r="AA49" s="206">
        <f t="shared" si="11"/>
        <v>9.3542979315472674E-2</v>
      </c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8"/>
      <c r="BR49" s="188"/>
      <c r="BS49" s="188"/>
      <c r="BT49" s="188"/>
      <c r="BU49" s="188"/>
      <c r="BV49" s="188"/>
      <c r="BW49" s="188"/>
      <c r="BX49" s="188"/>
      <c r="BY49" s="188"/>
      <c r="BZ49" s="188"/>
      <c r="CA49" s="188"/>
      <c r="CB49" s="188"/>
      <c r="CC49" s="188"/>
      <c r="CD49" s="188"/>
      <c r="CE49" s="188"/>
      <c r="CF49" s="188"/>
      <c r="CG49" s="188"/>
      <c r="CH49" s="188"/>
      <c r="CI49" s="188"/>
      <c r="CJ49" s="188"/>
      <c r="CK49" s="188"/>
      <c r="CL49" s="188"/>
      <c r="CM49" s="188"/>
      <c r="CN49" s="188"/>
      <c r="CO49" s="188"/>
      <c r="CP49" s="188"/>
      <c r="CQ49" s="188"/>
      <c r="CR49" s="188"/>
      <c r="CS49" s="188"/>
      <c r="CT49" s="188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</row>
    <row r="50" spans="1:114" ht="15" hidden="1" customHeight="1">
      <c r="A50" s="181"/>
      <c r="B50" s="181"/>
      <c r="C50" s="240" t="str">
        <f>IF([3]MasterSheet!$A$1=1,[3]MasterSheet!C207,[3]MasterSheet!B207)</f>
        <v>Doprinosi na teret poslodavca</v>
      </c>
      <c r="D50" s="204">
        <v>3186770.2497999999</v>
      </c>
      <c r="E50" s="205">
        <f t="shared" si="0"/>
        <v>0.14829774534878309</v>
      </c>
      <c r="F50" s="204">
        <v>4443188.17</v>
      </c>
      <c r="G50" s="205">
        <f t="shared" si="1"/>
        <v>0.16575967804514083</v>
      </c>
      <c r="H50" s="204">
        <v>5198468.1100000003</v>
      </c>
      <c r="I50" s="205">
        <f t="shared" si="2"/>
        <v>0.16847511375421312</v>
      </c>
      <c r="J50" s="204">
        <v>4473356.59</v>
      </c>
      <c r="K50" s="205">
        <f t="shared" si="3"/>
        <v>0.15006228077826231</v>
      </c>
      <c r="L50" s="204">
        <v>1970557.62</v>
      </c>
      <c r="M50" s="205">
        <f t="shared" si="4"/>
        <v>6.3057843840000002E-2</v>
      </c>
      <c r="N50" s="204">
        <v>1525124.6500000001</v>
      </c>
      <c r="O50" s="205">
        <f t="shared" si="5"/>
        <v>4.6711321592649319E-2</v>
      </c>
      <c r="P50" s="204">
        <v>1867935.3099999996</v>
      </c>
      <c r="Q50" s="206">
        <f t="shared" si="6"/>
        <v>5.8721638164099324E-2</v>
      </c>
      <c r="R50" s="204">
        <v>2698145.06</v>
      </c>
      <c r="S50" s="206">
        <f t="shared" si="7"/>
        <v>8.0254165972635336E-2</v>
      </c>
      <c r="T50" s="204">
        <v>1688949.3070800002</v>
      </c>
      <c r="U50" s="206">
        <f t="shared" si="8"/>
        <v>4.8843208510367567E-2</v>
      </c>
      <c r="V50" s="207">
        <v>1714283.5466862</v>
      </c>
      <c r="W50" s="206">
        <f t="shared" si="9"/>
        <v>4.6902422617953486E-2</v>
      </c>
      <c r="X50" s="204">
        <v>1867935.3099999996</v>
      </c>
      <c r="Y50" s="206">
        <f t="shared" si="10"/>
        <v>4.7239272419199826E-2</v>
      </c>
      <c r="Z50" s="210">
        <f t="shared" si="13"/>
        <v>1895954.3396499995</v>
      </c>
      <c r="AA50" s="206">
        <f t="shared" si="11"/>
        <v>4.4752846445178796E-2</v>
      </c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8"/>
      <c r="BR50" s="188"/>
      <c r="BS50" s="188"/>
      <c r="BT50" s="188"/>
      <c r="BU50" s="188"/>
      <c r="BV50" s="188"/>
      <c r="BW50" s="188"/>
      <c r="BX50" s="188"/>
      <c r="BY50" s="188"/>
      <c r="BZ50" s="188"/>
      <c r="CA50" s="188"/>
      <c r="CB50" s="188"/>
      <c r="CC50" s="188"/>
      <c r="CD50" s="188"/>
      <c r="CE50" s="188"/>
      <c r="CF50" s="188"/>
      <c r="CG50" s="188"/>
      <c r="CH50" s="188"/>
      <c r="CI50" s="188"/>
      <c r="CJ50" s="188"/>
      <c r="CK50" s="188"/>
      <c r="CL50" s="188"/>
      <c r="CM50" s="188"/>
      <c r="CN50" s="188"/>
      <c r="CO50" s="188"/>
      <c r="CP50" s="188"/>
      <c r="CQ50" s="188"/>
      <c r="CR50" s="188"/>
      <c r="CS50" s="188"/>
      <c r="CT50" s="188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</row>
    <row r="51" spans="1:114" ht="15" hidden="1" customHeight="1">
      <c r="A51" s="183"/>
      <c r="B51" s="183"/>
      <c r="C51" s="240" t="str">
        <f>IF([3]MasterSheet!$A$1=1,[3]MasterSheet!C208,[3]MasterSheet!B208)</f>
        <v>Prirez na porez</v>
      </c>
      <c r="D51" s="204">
        <v>375009.24</v>
      </c>
      <c r="E51" s="205">
        <f t="shared" si="0"/>
        <v>1.7451218763088094E-2</v>
      </c>
      <c r="F51" s="204">
        <v>474347.42</v>
      </c>
      <c r="G51" s="205">
        <f t="shared" si="1"/>
        <v>1.7696229061742213E-2</v>
      </c>
      <c r="H51" s="204">
        <v>605905.21</v>
      </c>
      <c r="I51" s="205">
        <f t="shared" si="2"/>
        <v>1.9636544270158152E-2</v>
      </c>
      <c r="J51" s="204">
        <v>428017.8</v>
      </c>
      <c r="K51" s="205">
        <f t="shared" si="3"/>
        <v>1.4358195236497819E-2</v>
      </c>
      <c r="L51" s="204">
        <v>274277.59999999998</v>
      </c>
      <c r="M51" s="205">
        <f t="shared" si="4"/>
        <v>8.7768831999999984E-3</v>
      </c>
      <c r="N51" s="204">
        <v>205611.25999999998</v>
      </c>
      <c r="O51" s="205">
        <f t="shared" si="5"/>
        <v>6.2974352220520665E-3</v>
      </c>
      <c r="P51" s="204">
        <v>230679.51</v>
      </c>
      <c r="Q51" s="206">
        <f t="shared" si="6"/>
        <v>7.2517922037095258E-3</v>
      </c>
      <c r="R51" s="204">
        <v>330950.15000000002</v>
      </c>
      <c r="S51" s="206">
        <f t="shared" si="7"/>
        <v>9.8438474122546117E-3</v>
      </c>
      <c r="T51" s="204">
        <v>262311.82613999996</v>
      </c>
      <c r="U51" s="206">
        <f t="shared" si="8"/>
        <v>7.5858707926776351E-3</v>
      </c>
      <c r="V51" s="207">
        <v>266246.50353209995</v>
      </c>
      <c r="W51" s="206">
        <f t="shared" si="9"/>
        <v>7.2844460610697664E-3</v>
      </c>
      <c r="X51" s="204">
        <v>230679.51</v>
      </c>
      <c r="Y51" s="206">
        <f t="shared" si="10"/>
        <v>5.8337845834808564E-3</v>
      </c>
      <c r="Z51" s="210">
        <f t="shared" si="13"/>
        <v>234139.70264999999</v>
      </c>
      <c r="AA51" s="206">
        <f t="shared" si="11"/>
        <v>5.526724953381329E-3</v>
      </c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8"/>
      <c r="BQ51" s="188"/>
      <c r="BR51" s="188"/>
      <c r="BS51" s="188"/>
      <c r="BT51" s="188"/>
      <c r="BU51" s="188"/>
      <c r="BV51" s="188"/>
      <c r="BW51" s="188"/>
      <c r="BX51" s="188"/>
      <c r="BY51" s="188"/>
      <c r="BZ51" s="188"/>
      <c r="CA51" s="188"/>
      <c r="CB51" s="188"/>
      <c r="CC51" s="188"/>
      <c r="CD51" s="188"/>
      <c r="CE51" s="188"/>
      <c r="CF51" s="188"/>
      <c r="CG51" s="188"/>
      <c r="CH51" s="188"/>
      <c r="CI51" s="188"/>
      <c r="CJ51" s="188"/>
      <c r="CK51" s="188"/>
      <c r="CL51" s="188"/>
      <c r="CM51" s="188"/>
      <c r="CN51" s="188"/>
      <c r="CO51" s="188"/>
      <c r="CP51" s="188"/>
      <c r="CQ51" s="188"/>
      <c r="CR51" s="188"/>
      <c r="CS51" s="188"/>
      <c r="CT51" s="188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</row>
    <row r="52" spans="1:114" ht="15" customHeight="1">
      <c r="A52" s="183"/>
      <c r="B52" s="183"/>
      <c r="C52" s="228" t="str">
        <f>IF([3]MasterSheet!$A$1=1,[3]MasterSheet!C209,[3]MasterSheet!B209)</f>
        <v>Ostala lična primanja</v>
      </c>
      <c r="D52" s="210">
        <v>4368113.9400000004</v>
      </c>
      <c r="E52" s="206">
        <f t="shared" si="0"/>
        <v>0.20327208990646378</v>
      </c>
      <c r="F52" s="210">
        <v>6156084.9900000002</v>
      </c>
      <c r="G52" s="206">
        <f t="shared" si="1"/>
        <v>0.22966181645215447</v>
      </c>
      <c r="H52" s="210">
        <v>7324615.1400000006</v>
      </c>
      <c r="I52" s="206">
        <f t="shared" si="2"/>
        <v>0.237380578817734</v>
      </c>
      <c r="J52" s="210">
        <v>6026649.0199999996</v>
      </c>
      <c r="K52" s="206">
        <f t="shared" si="3"/>
        <v>0.20216870244884264</v>
      </c>
      <c r="L52" s="210">
        <v>5720000</v>
      </c>
      <c r="M52" s="206">
        <f t="shared" si="4"/>
        <v>0.18304000000000001</v>
      </c>
      <c r="N52" s="210">
        <v>7347314.0199999996</v>
      </c>
      <c r="O52" s="206">
        <f t="shared" si="5"/>
        <v>0.22503258866768758</v>
      </c>
      <c r="P52" s="210">
        <v>2935022.82</v>
      </c>
      <c r="Q52" s="206">
        <f t="shared" si="6"/>
        <v>9.2267300220056581E-2</v>
      </c>
      <c r="R52" s="210">
        <v>2483676.67</v>
      </c>
      <c r="S52" s="206">
        <f t="shared" si="7"/>
        <v>7.3874975312314087E-2</v>
      </c>
      <c r="T52" s="210">
        <v>2308248.6</v>
      </c>
      <c r="U52" s="206">
        <f t="shared" si="8"/>
        <v>6.67529020503774E-2</v>
      </c>
      <c r="V52" s="211">
        <v>5051688.9400000004</v>
      </c>
      <c r="W52" s="206">
        <f t="shared" si="9"/>
        <v>0.13821310369357048</v>
      </c>
      <c r="X52" s="210">
        <v>4422209.4800000004</v>
      </c>
      <c r="Y52" s="206">
        <f t="shared" si="10"/>
        <v>0.11183575641090487</v>
      </c>
      <c r="Z52" s="210">
        <v>3227794.9600000004</v>
      </c>
      <c r="AA52" s="206">
        <f t="shared" si="11"/>
        <v>7.6190132420630247E-2</v>
      </c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8"/>
      <c r="BR52" s="188"/>
      <c r="BS52" s="188"/>
      <c r="BT52" s="188"/>
      <c r="BU52" s="188"/>
      <c r="BV52" s="188"/>
      <c r="BW52" s="188"/>
      <c r="BX52" s="188"/>
      <c r="BY52" s="188"/>
      <c r="BZ52" s="188"/>
      <c r="CA52" s="188"/>
      <c r="CB52" s="188"/>
      <c r="CC52" s="188"/>
      <c r="CD52" s="188"/>
      <c r="CE52" s="188"/>
      <c r="CF52" s="188"/>
      <c r="CG52" s="188"/>
      <c r="CH52" s="188"/>
      <c r="CI52" s="188"/>
      <c r="CJ52" s="188"/>
      <c r="CK52" s="188"/>
      <c r="CL52" s="188"/>
      <c r="CM52" s="188"/>
      <c r="CN52" s="188"/>
      <c r="CO52" s="188"/>
      <c r="CP52" s="188"/>
      <c r="CQ52" s="188"/>
      <c r="CR52" s="188"/>
      <c r="CS52" s="188"/>
      <c r="CT52" s="188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</row>
    <row r="53" spans="1:114" ht="15" customHeight="1">
      <c r="A53" s="183"/>
      <c r="B53" s="183"/>
      <c r="C53" s="228" t="str">
        <f>IF([3]MasterSheet!$A$1=1,[3]MasterSheet!C210,[3]MasterSheet!B210)</f>
        <v>Rashodi za materijal i usluge</v>
      </c>
      <c r="D53" s="210">
        <v>14680010.780000001</v>
      </c>
      <c r="E53" s="206">
        <f t="shared" si="0"/>
        <v>0.6831407129228908</v>
      </c>
      <c r="F53" s="210">
        <v>21387573.460000001</v>
      </c>
      <c r="G53" s="206">
        <f t="shared" si="1"/>
        <v>0.7978949248274575</v>
      </c>
      <c r="H53" s="210">
        <v>23827708.100000005</v>
      </c>
      <c r="I53" s="206">
        <f t="shared" si="2"/>
        <v>0.77222284482758641</v>
      </c>
      <c r="J53" s="210">
        <v>19998061.219999999</v>
      </c>
      <c r="K53" s="206">
        <f t="shared" si="3"/>
        <v>0.67085076216034878</v>
      </c>
      <c r="L53" s="210">
        <v>17840000</v>
      </c>
      <c r="M53" s="206">
        <f t="shared" si="4"/>
        <v>0.57088000000000005</v>
      </c>
      <c r="N53" s="210">
        <v>15836529.350000001</v>
      </c>
      <c r="O53" s="206">
        <f t="shared" si="5"/>
        <v>0.48503918376722821</v>
      </c>
      <c r="P53" s="210">
        <v>16836563.879999999</v>
      </c>
      <c r="Q53" s="206">
        <f t="shared" si="6"/>
        <v>0.52928525243634073</v>
      </c>
      <c r="R53" s="210">
        <v>15003900.02</v>
      </c>
      <c r="S53" s="206">
        <f t="shared" si="7"/>
        <v>0.44627900118976804</v>
      </c>
      <c r="T53" s="210">
        <v>14404200.050000001</v>
      </c>
      <c r="U53" s="206">
        <f t="shared" si="8"/>
        <v>0.41655918476532</v>
      </c>
      <c r="V53" s="211">
        <v>16570787.253</v>
      </c>
      <c r="W53" s="206">
        <f t="shared" si="9"/>
        <v>0.45337311225718202</v>
      </c>
      <c r="X53" s="210">
        <v>15302758.889999999</v>
      </c>
      <c r="Y53" s="206">
        <f t="shared" si="10"/>
        <v>0.38700012366597542</v>
      </c>
      <c r="Z53" s="210">
        <v>14756484.77</v>
      </c>
      <c r="AA53" s="206">
        <f t="shared" si="11"/>
        <v>0.34831782768794994</v>
      </c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8"/>
      <c r="BQ53" s="188"/>
      <c r="BR53" s="188"/>
      <c r="BS53" s="188"/>
      <c r="BT53" s="188"/>
      <c r="BU53" s="188"/>
      <c r="BV53" s="188"/>
      <c r="BW53" s="188"/>
      <c r="BX53" s="188"/>
      <c r="BY53" s="188"/>
      <c r="BZ53" s="188"/>
      <c r="CA53" s="188"/>
      <c r="CB53" s="188"/>
      <c r="CC53" s="188"/>
      <c r="CD53" s="188"/>
      <c r="CE53" s="188"/>
      <c r="CF53" s="188"/>
      <c r="CG53" s="188"/>
      <c r="CH53" s="188"/>
      <c r="CI53" s="188"/>
      <c r="CJ53" s="188"/>
      <c r="CK53" s="188"/>
      <c r="CL53" s="188"/>
      <c r="CM53" s="188"/>
      <c r="CN53" s="188"/>
      <c r="CO53" s="188"/>
      <c r="CP53" s="188"/>
      <c r="CQ53" s="188"/>
      <c r="CR53" s="188"/>
      <c r="CS53" s="188"/>
      <c r="CT53" s="188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</row>
    <row r="54" spans="1:114" ht="15" customHeight="1">
      <c r="A54" s="181"/>
      <c r="B54" s="181"/>
      <c r="C54" s="228" t="str">
        <f>IF([3]MasterSheet!$A$1=1,[3]MasterSheet!C211,[3]MasterSheet!B211)</f>
        <v>Tekuće održavanje</v>
      </c>
      <c r="D54" s="210">
        <v>4644683.17</v>
      </c>
      <c r="E54" s="206">
        <f t="shared" si="0"/>
        <v>0.21614235981199684</v>
      </c>
      <c r="F54" s="210">
        <v>7490889.2599999998</v>
      </c>
      <c r="G54" s="206">
        <f t="shared" si="1"/>
        <v>0.27945865547472487</v>
      </c>
      <c r="H54" s="210">
        <v>7868618.580000001</v>
      </c>
      <c r="I54" s="206">
        <f t="shared" si="2"/>
        <v>0.25501097290640395</v>
      </c>
      <c r="J54" s="210">
        <v>4862089.4800000004</v>
      </c>
      <c r="K54" s="206">
        <f t="shared" si="3"/>
        <v>0.16310263267359948</v>
      </c>
      <c r="L54" s="210">
        <v>4840000</v>
      </c>
      <c r="M54" s="206">
        <f t="shared" si="4"/>
        <v>0.15487999999999999</v>
      </c>
      <c r="N54" s="210">
        <v>4621732.5999999996</v>
      </c>
      <c r="O54" s="206">
        <f t="shared" si="5"/>
        <v>0.1415538315467075</v>
      </c>
      <c r="P54" s="210">
        <v>5028758.51</v>
      </c>
      <c r="Q54" s="206">
        <f t="shared" si="6"/>
        <v>0.15808734706067273</v>
      </c>
      <c r="R54" s="210">
        <v>3852982.72</v>
      </c>
      <c r="S54" s="206">
        <f t="shared" si="7"/>
        <v>0.11460388816180846</v>
      </c>
      <c r="T54" s="210">
        <v>3951278.9599999995</v>
      </c>
      <c r="U54" s="206">
        <f t="shared" si="8"/>
        <v>0.11426816738482892</v>
      </c>
      <c r="V54" s="211">
        <v>4761373.5799999982</v>
      </c>
      <c r="W54" s="206">
        <f t="shared" si="9"/>
        <v>0.13027013898768805</v>
      </c>
      <c r="X54" s="210">
        <v>5731511.8699999982</v>
      </c>
      <c r="Y54" s="206">
        <f t="shared" si="10"/>
        <v>0.14494744499519494</v>
      </c>
      <c r="Z54" s="210">
        <v>6171266.3400000017</v>
      </c>
      <c r="AA54" s="206">
        <f t="shared" si="11"/>
        <v>0.14566898005429013</v>
      </c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8"/>
      <c r="BQ54" s="188"/>
      <c r="BR54" s="188"/>
      <c r="BS54" s="188"/>
      <c r="BT54" s="188"/>
      <c r="BU54" s="188"/>
      <c r="BV54" s="188"/>
      <c r="BW54" s="188"/>
      <c r="BX54" s="188"/>
      <c r="BY54" s="188"/>
      <c r="BZ54" s="188"/>
      <c r="CA54" s="188"/>
      <c r="CB54" s="188"/>
      <c r="CC54" s="188"/>
      <c r="CD54" s="188"/>
      <c r="CE54" s="188"/>
      <c r="CF54" s="188"/>
      <c r="CG54" s="188"/>
      <c r="CH54" s="188"/>
      <c r="CI54" s="188"/>
      <c r="CJ54" s="188"/>
      <c r="CK54" s="188"/>
      <c r="CL54" s="188"/>
      <c r="CM54" s="188"/>
      <c r="CN54" s="188"/>
      <c r="CO54" s="188"/>
      <c r="CP54" s="188"/>
      <c r="CQ54" s="188"/>
      <c r="CR54" s="188"/>
      <c r="CS54" s="188"/>
      <c r="CT54" s="188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</row>
    <row r="55" spans="1:114" ht="15" customHeight="1">
      <c r="A55" s="181"/>
      <c r="B55" s="181"/>
      <c r="C55" s="228" t="str">
        <f>IF([3]MasterSheet!$A$1=1,[3]MasterSheet!C212,[3]MasterSheet!B212)</f>
        <v>Kamate</v>
      </c>
      <c r="D55" s="210">
        <v>455669.44</v>
      </c>
      <c r="E55" s="206">
        <f t="shared" si="0"/>
        <v>2.1204776397226489E-2</v>
      </c>
      <c r="F55" s="210">
        <v>836173.69</v>
      </c>
      <c r="G55" s="206">
        <f t="shared" si="1"/>
        <v>3.1194690915873902E-2</v>
      </c>
      <c r="H55" s="210">
        <v>1273698.22</v>
      </c>
      <c r="I55" s="206">
        <f t="shared" si="2"/>
        <v>4.1278785973554576E-2</v>
      </c>
      <c r="J55" s="210">
        <v>1010709.4</v>
      </c>
      <c r="K55" s="206">
        <f t="shared" si="3"/>
        <v>3.3905045286816503E-2</v>
      </c>
      <c r="L55" s="210">
        <v>1150000</v>
      </c>
      <c r="M55" s="206">
        <f t="shared" si="4"/>
        <v>3.6799999999999999E-2</v>
      </c>
      <c r="N55" s="210">
        <v>2510915.6800000002</v>
      </c>
      <c r="O55" s="206">
        <f t="shared" si="5"/>
        <v>7.6904002450229714E-2</v>
      </c>
      <c r="P55" s="210">
        <v>2860462.2</v>
      </c>
      <c r="Q55" s="206">
        <f t="shared" si="6"/>
        <v>8.9923363722099969E-2</v>
      </c>
      <c r="R55" s="210">
        <v>3347292.06</v>
      </c>
      <c r="S55" s="206">
        <f t="shared" si="7"/>
        <v>9.9562524092801905E-2</v>
      </c>
      <c r="T55" s="210">
        <v>3385393.0399999996</v>
      </c>
      <c r="U55" s="206">
        <f t="shared" si="8"/>
        <v>9.7903150467046465E-2</v>
      </c>
      <c r="V55" s="211">
        <v>4442822.2999999989</v>
      </c>
      <c r="W55" s="206">
        <f t="shared" si="9"/>
        <v>0.12155464569083443</v>
      </c>
      <c r="X55" s="210">
        <v>4099927.0799999996</v>
      </c>
      <c r="Y55" s="206">
        <f t="shared" si="10"/>
        <v>0.10368537453846544</v>
      </c>
      <c r="Z55" s="210">
        <v>3808674.2700000005</v>
      </c>
      <c r="AA55" s="206">
        <f t="shared" si="11"/>
        <v>8.9901434438805633E-2</v>
      </c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  <c r="BR55" s="188"/>
      <c r="BS55" s="188"/>
      <c r="BT55" s="188"/>
      <c r="BU55" s="188"/>
      <c r="BV55" s="188"/>
      <c r="BW55" s="188"/>
      <c r="BX55" s="188"/>
      <c r="BY55" s="188"/>
      <c r="BZ55" s="188"/>
      <c r="CA55" s="188"/>
      <c r="CB55" s="188"/>
      <c r="CC55" s="188"/>
      <c r="CD55" s="188"/>
      <c r="CE55" s="188"/>
      <c r="CF55" s="188"/>
      <c r="CG55" s="188"/>
      <c r="CH55" s="188"/>
      <c r="CI55" s="188"/>
      <c r="CJ55" s="188"/>
      <c r="CK55" s="188"/>
      <c r="CL55" s="188"/>
      <c r="CM55" s="188"/>
      <c r="CN55" s="188"/>
      <c r="CO55" s="188"/>
      <c r="CP55" s="188"/>
      <c r="CQ55" s="188"/>
      <c r="CR55" s="188"/>
      <c r="CS55" s="188"/>
      <c r="CT55" s="188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</row>
    <row r="56" spans="1:114" ht="15" customHeight="1">
      <c r="A56" s="181"/>
      <c r="B56" s="181"/>
      <c r="C56" s="228" t="str">
        <f>IF([3]MasterSheet!$A$1=1,[3]MasterSheet!C213,[3]MasterSheet!B213)</f>
        <v>Renta</v>
      </c>
      <c r="D56" s="210">
        <v>422746.26</v>
      </c>
      <c r="E56" s="206">
        <f t="shared" si="0"/>
        <v>1.9672681837219042E-2</v>
      </c>
      <c r="F56" s="210">
        <v>681936.29</v>
      </c>
      <c r="G56" s="206">
        <f t="shared" si="1"/>
        <v>2.5440637567617982E-2</v>
      </c>
      <c r="H56" s="210">
        <v>813077.09</v>
      </c>
      <c r="I56" s="206">
        <f t="shared" si="2"/>
        <v>2.6350696460980035E-2</v>
      </c>
      <c r="J56" s="210">
        <v>729952.59</v>
      </c>
      <c r="K56" s="206">
        <f t="shared" si="3"/>
        <v>2.4486836296544783E-2</v>
      </c>
      <c r="L56" s="210">
        <v>570000</v>
      </c>
      <c r="M56" s="206">
        <f t="shared" si="4"/>
        <v>1.8239999999999999E-2</v>
      </c>
      <c r="N56" s="210">
        <v>330969.98</v>
      </c>
      <c r="O56" s="206">
        <f t="shared" si="5"/>
        <v>1.0136905972434915E-2</v>
      </c>
      <c r="P56" s="210">
        <v>317175.2</v>
      </c>
      <c r="Q56" s="206">
        <f t="shared" si="6"/>
        <v>9.9709273813266275E-3</v>
      </c>
      <c r="R56" s="210">
        <v>435777.18</v>
      </c>
      <c r="S56" s="206">
        <f t="shared" si="7"/>
        <v>1.2961843545508627E-2</v>
      </c>
      <c r="T56" s="210">
        <v>455172.39</v>
      </c>
      <c r="U56" s="206">
        <f t="shared" si="8"/>
        <v>1.3163260649527169E-2</v>
      </c>
      <c r="V56" s="211">
        <v>583055.70000000007</v>
      </c>
      <c r="W56" s="206">
        <f t="shared" si="9"/>
        <v>1.5952276333789331E-2</v>
      </c>
      <c r="X56" s="210">
        <v>505241.3600000001</v>
      </c>
      <c r="Y56" s="206">
        <f t="shared" si="10"/>
        <v>1.277733447979364E-2</v>
      </c>
      <c r="Z56" s="210">
        <v>583911.56999999995</v>
      </c>
      <c r="AA56" s="206">
        <f t="shared" si="11"/>
        <v>1.3782876667060073E-2</v>
      </c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188"/>
      <c r="BP56" s="188"/>
      <c r="BQ56" s="188"/>
      <c r="BR56" s="188"/>
      <c r="BS56" s="188"/>
      <c r="BT56" s="188"/>
      <c r="BU56" s="188"/>
      <c r="BV56" s="188"/>
      <c r="BW56" s="188"/>
      <c r="BX56" s="188"/>
      <c r="BY56" s="188"/>
      <c r="BZ56" s="188"/>
      <c r="CA56" s="188"/>
      <c r="CB56" s="188"/>
      <c r="CC56" s="188"/>
      <c r="CD56" s="188"/>
      <c r="CE56" s="188"/>
      <c r="CF56" s="188"/>
      <c r="CG56" s="188"/>
      <c r="CH56" s="188"/>
      <c r="CI56" s="188"/>
      <c r="CJ56" s="188"/>
      <c r="CK56" s="188"/>
      <c r="CL56" s="188"/>
      <c r="CM56" s="188"/>
      <c r="CN56" s="188"/>
      <c r="CO56" s="188"/>
      <c r="CP56" s="188"/>
      <c r="CQ56" s="188"/>
      <c r="CR56" s="188"/>
      <c r="CS56" s="188"/>
      <c r="CT56" s="188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</row>
    <row r="57" spans="1:114" ht="15" customHeight="1">
      <c r="A57" s="181"/>
      <c r="B57" s="181"/>
      <c r="C57" s="228" t="str">
        <f>IF([3]MasterSheet!$A$1=1,[3]MasterSheet!C214,[3]MasterSheet!B214)</f>
        <v>Subvencije</v>
      </c>
      <c r="D57" s="210">
        <v>535086.44999999995</v>
      </c>
      <c r="E57" s="206">
        <f t="shared" si="0"/>
        <v>2.4900481641770205E-2</v>
      </c>
      <c r="F57" s="210">
        <v>797354.68</v>
      </c>
      <c r="G57" s="206">
        <f t="shared" si="1"/>
        <v>2.974649058011565E-2</v>
      </c>
      <c r="H57" s="210">
        <v>1570180</v>
      </c>
      <c r="I57" s="206">
        <f t="shared" si="2"/>
        <v>5.0887347679543685E-2</v>
      </c>
      <c r="J57" s="210">
        <v>1131782.23</v>
      </c>
      <c r="K57" s="206">
        <f t="shared" si="3"/>
        <v>3.7966529017108348E-2</v>
      </c>
      <c r="L57" s="210">
        <v>750000</v>
      </c>
      <c r="M57" s="206">
        <f t="shared" si="4"/>
        <v>2.4E-2</v>
      </c>
      <c r="N57" s="210">
        <v>952860</v>
      </c>
      <c r="O57" s="206">
        <f t="shared" si="5"/>
        <v>2.9184073506891273E-2</v>
      </c>
      <c r="P57" s="210">
        <v>754203.5</v>
      </c>
      <c r="Q57" s="206">
        <f t="shared" si="6"/>
        <v>2.3709635334800378E-2</v>
      </c>
      <c r="R57" s="210">
        <v>758994.65</v>
      </c>
      <c r="S57" s="206">
        <f t="shared" si="7"/>
        <v>2.2575688578227244E-2</v>
      </c>
      <c r="T57" s="210">
        <v>417432.82999999996</v>
      </c>
      <c r="U57" s="206">
        <f t="shared" si="8"/>
        <v>1.2071859510107289E-2</v>
      </c>
      <c r="V57" s="211">
        <v>667323.80999999994</v>
      </c>
      <c r="W57" s="206">
        <f t="shared" si="9"/>
        <v>1.8257833378932966E-2</v>
      </c>
      <c r="X57" s="210">
        <v>725330.73</v>
      </c>
      <c r="Y57" s="206">
        <f t="shared" si="10"/>
        <v>1.8343299023822771E-2</v>
      </c>
      <c r="Z57" s="210">
        <v>1213207.69</v>
      </c>
      <c r="AA57" s="206">
        <f t="shared" si="11"/>
        <v>2.8637027971202642E-2</v>
      </c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8"/>
      <c r="BQ57" s="188"/>
      <c r="BR57" s="188"/>
      <c r="BS57" s="188"/>
      <c r="BT57" s="188"/>
      <c r="BU57" s="188"/>
      <c r="BV57" s="188"/>
      <c r="BW57" s="188"/>
      <c r="BX57" s="188"/>
      <c r="BY57" s="188"/>
      <c r="BZ57" s="188"/>
      <c r="CA57" s="188"/>
      <c r="CB57" s="188"/>
      <c r="CC57" s="188"/>
      <c r="CD57" s="188"/>
      <c r="CE57" s="188"/>
      <c r="CF57" s="188"/>
      <c r="CG57" s="188"/>
      <c r="CH57" s="188"/>
      <c r="CI57" s="188"/>
      <c r="CJ57" s="188"/>
      <c r="CK57" s="188"/>
      <c r="CL57" s="188"/>
      <c r="CM57" s="188"/>
      <c r="CN57" s="188"/>
      <c r="CO57" s="188"/>
      <c r="CP57" s="188"/>
      <c r="CQ57" s="188"/>
      <c r="CR57" s="188"/>
      <c r="CS57" s="188"/>
      <c r="CT57" s="188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</row>
    <row r="58" spans="1:114" ht="15" customHeight="1">
      <c r="A58" s="181"/>
      <c r="B58" s="181"/>
      <c r="C58" s="228" t="str">
        <f>IF([3]MasterSheet!$A$1=1,[3]MasterSheet!C215,[3]MasterSheet!B215)</f>
        <v>Ostali izdaci</v>
      </c>
      <c r="D58" s="210">
        <v>1240417.81</v>
      </c>
      <c r="E58" s="206">
        <f t="shared" si="0"/>
        <v>5.772338452231375E-2</v>
      </c>
      <c r="F58" s="210">
        <v>2013836.12</v>
      </c>
      <c r="G58" s="206">
        <f t="shared" si="1"/>
        <v>7.5129122178698007E-2</v>
      </c>
      <c r="H58" s="210">
        <v>532599.9</v>
      </c>
      <c r="I58" s="206">
        <f t="shared" si="2"/>
        <v>1.7260821234119782E-2</v>
      </c>
      <c r="J58" s="210">
        <v>833178.99</v>
      </c>
      <c r="K58" s="206">
        <f t="shared" si="3"/>
        <v>2.7949647433747064E-2</v>
      </c>
      <c r="L58" s="210">
        <v>980000</v>
      </c>
      <c r="M58" s="206">
        <f t="shared" si="4"/>
        <v>3.1359999999999999E-2</v>
      </c>
      <c r="N58" s="210">
        <v>1230492.5799999998</v>
      </c>
      <c r="O58" s="206">
        <f t="shared" si="5"/>
        <v>3.7687368453292493E-2</v>
      </c>
      <c r="P58" s="210">
        <v>842778.14999999991</v>
      </c>
      <c r="Q58" s="206">
        <f t="shared" si="6"/>
        <v>2.6494126060987108E-2</v>
      </c>
      <c r="R58" s="210">
        <v>1301521.27</v>
      </c>
      <c r="S58" s="206">
        <f t="shared" si="7"/>
        <v>3.8712708804283166E-2</v>
      </c>
      <c r="T58" s="210">
        <v>2535092.0100000002</v>
      </c>
      <c r="U58" s="206">
        <f t="shared" si="8"/>
        <v>7.3313051563087428E-2</v>
      </c>
      <c r="V58" s="211">
        <v>2412256.4500000002</v>
      </c>
      <c r="W58" s="206">
        <f t="shared" si="9"/>
        <v>6.5998808481532154E-2</v>
      </c>
      <c r="X58" s="210">
        <v>3089396.65</v>
      </c>
      <c r="Y58" s="206">
        <f t="shared" si="10"/>
        <v>7.8129499013706943E-2</v>
      </c>
      <c r="Z58" s="210">
        <v>3730825.0199999991</v>
      </c>
      <c r="AA58" s="206">
        <f t="shared" si="11"/>
        <v>8.8063850348164732E-2</v>
      </c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88"/>
      <c r="BL58" s="188"/>
      <c r="BM58" s="188"/>
      <c r="BN58" s="188"/>
      <c r="BO58" s="188"/>
      <c r="BP58" s="188"/>
      <c r="BQ58" s="188"/>
      <c r="BR58" s="188"/>
      <c r="BS58" s="188"/>
      <c r="BT58" s="188"/>
      <c r="BU58" s="188"/>
      <c r="BV58" s="188"/>
      <c r="BW58" s="188"/>
      <c r="BX58" s="188"/>
      <c r="BY58" s="188"/>
      <c r="BZ58" s="188"/>
      <c r="CA58" s="188"/>
      <c r="CB58" s="188"/>
      <c r="CC58" s="188"/>
      <c r="CD58" s="188"/>
      <c r="CE58" s="188"/>
      <c r="CF58" s="188"/>
      <c r="CG58" s="188"/>
      <c r="CH58" s="188"/>
      <c r="CI58" s="188"/>
      <c r="CJ58" s="188"/>
      <c r="CK58" s="188"/>
      <c r="CL58" s="188"/>
      <c r="CM58" s="188"/>
      <c r="CN58" s="188"/>
      <c r="CO58" s="188"/>
      <c r="CP58" s="188"/>
      <c r="CQ58" s="188"/>
      <c r="CR58" s="188"/>
      <c r="CS58" s="188"/>
      <c r="CT58" s="188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</row>
    <row r="59" spans="1:114" ht="15" customHeight="1">
      <c r="A59" s="181"/>
      <c r="B59" s="181"/>
      <c r="C59" s="228" t="str">
        <f>IF([3]MasterSheet!$A$1=1,[3]MasterSheet!C216,[3]MasterSheet!B216)</f>
        <v>Transferi za socijalnu zaštitu</v>
      </c>
      <c r="D59" s="210">
        <f>SUM(D60:D64)</f>
        <v>285178.90000000002</v>
      </c>
      <c r="E59" s="206">
        <f t="shared" si="0"/>
        <v>1.3270924659127928E-2</v>
      </c>
      <c r="F59" s="210">
        <f>SUM(F60:F64)</f>
        <v>267122.38</v>
      </c>
      <c r="G59" s="206">
        <f t="shared" si="1"/>
        <v>9.9653937698190639E-3</v>
      </c>
      <c r="H59" s="210">
        <f>SUM(H60:H64)</f>
        <v>3877000.1</v>
      </c>
      <c r="I59" s="206">
        <f t="shared" si="2"/>
        <v>0.125648175395385</v>
      </c>
      <c r="J59" s="210">
        <f>SUM(J60:J64)</f>
        <v>604891.49</v>
      </c>
      <c r="K59" s="206">
        <f t="shared" si="3"/>
        <v>2.0291562898356257E-2</v>
      </c>
      <c r="L59" s="210">
        <f>SUM(L60:L64)</f>
        <v>440000</v>
      </c>
      <c r="M59" s="206">
        <f t="shared" si="4"/>
        <v>1.4080000000000001E-2</v>
      </c>
      <c r="N59" s="210">
        <f>SUM(N60:N64)</f>
        <v>761932.83999999985</v>
      </c>
      <c r="O59" s="206">
        <f t="shared" si="5"/>
        <v>2.3336381010719748E-2</v>
      </c>
      <c r="P59" s="210">
        <f>SUM(P60:P64)</f>
        <v>453275.36</v>
      </c>
      <c r="Q59" s="206">
        <f t="shared" si="6"/>
        <v>1.4249461175730902E-2</v>
      </c>
      <c r="R59" s="210">
        <v>436472.52</v>
      </c>
      <c r="S59" s="206">
        <f t="shared" si="7"/>
        <v>1.2982525877453896E-2</v>
      </c>
      <c r="T59" s="210">
        <v>604518.25249999994</v>
      </c>
      <c r="U59" s="206">
        <f t="shared" si="8"/>
        <v>1.7482236400705627E-2</v>
      </c>
      <c r="V59" s="211">
        <v>817712.74</v>
      </c>
      <c r="W59" s="206">
        <f t="shared" si="9"/>
        <v>2.2372441586867305E-2</v>
      </c>
      <c r="X59" s="210">
        <f>SUM(X60:X64)</f>
        <v>1094549.17</v>
      </c>
      <c r="Y59" s="206">
        <f t="shared" si="10"/>
        <v>2.7680672955338624E-2</v>
      </c>
      <c r="Z59" s="210">
        <f>SUM(Z60:Z64)</f>
        <v>812521.76</v>
      </c>
      <c r="AA59" s="206">
        <f t="shared" si="11"/>
        <v>1.9179080845037177E-2</v>
      </c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  <c r="BK59" s="188"/>
      <c r="BL59" s="188"/>
      <c r="BM59" s="188"/>
      <c r="BN59" s="188"/>
      <c r="BO59" s="188"/>
      <c r="BP59" s="188"/>
      <c r="BQ59" s="188"/>
      <c r="BR59" s="188"/>
      <c r="BS59" s="188"/>
      <c r="BT59" s="188"/>
      <c r="BU59" s="188"/>
      <c r="BV59" s="188"/>
      <c r="BW59" s="188"/>
      <c r="BX59" s="188"/>
      <c r="BY59" s="188"/>
      <c r="BZ59" s="188"/>
      <c r="CA59" s="188"/>
      <c r="CB59" s="188"/>
      <c r="CC59" s="188"/>
      <c r="CD59" s="188"/>
      <c r="CE59" s="188"/>
      <c r="CF59" s="188"/>
      <c r="CG59" s="188"/>
      <c r="CH59" s="188"/>
      <c r="CI59" s="188"/>
      <c r="CJ59" s="188"/>
      <c r="CK59" s="188"/>
      <c r="CL59" s="188"/>
      <c r="CM59" s="188"/>
      <c r="CN59" s="188"/>
      <c r="CO59" s="188"/>
      <c r="CP59" s="188"/>
      <c r="CQ59" s="188"/>
      <c r="CR59" s="188"/>
      <c r="CS59" s="188"/>
      <c r="CT59" s="188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</row>
    <row r="60" spans="1:114" ht="15" customHeight="1">
      <c r="A60" s="181"/>
      <c r="B60" s="181"/>
      <c r="C60" s="240" t="str">
        <f>IF([3]MasterSheet!$A$1=1,[3]MasterSheet!C217,[3]MasterSheet!B217)</f>
        <v>Prava iz oblasti socijalne zaštite</v>
      </c>
      <c r="D60" s="204">
        <v>254133.9</v>
      </c>
      <c r="E60" s="205">
        <f t="shared" si="0"/>
        <v>1.182623202568756E-2</v>
      </c>
      <c r="F60" s="204">
        <v>195543.38</v>
      </c>
      <c r="G60" s="205">
        <f t="shared" si="1"/>
        <v>7.2950337623577692E-3</v>
      </c>
      <c r="H60" s="204">
        <v>3801208.7</v>
      </c>
      <c r="I60" s="205">
        <f t="shared" si="2"/>
        <v>0.12319188164376459</v>
      </c>
      <c r="J60" s="204">
        <v>549056.49</v>
      </c>
      <c r="K60" s="205">
        <f t="shared" si="3"/>
        <v>1.8418533713518953E-2</v>
      </c>
      <c r="L60" s="204">
        <v>0</v>
      </c>
      <c r="M60" s="205">
        <f t="shared" si="4"/>
        <v>0</v>
      </c>
      <c r="N60" s="204">
        <v>761932.83999999985</v>
      </c>
      <c r="O60" s="205">
        <f t="shared" si="5"/>
        <v>2.3336381010719748E-2</v>
      </c>
      <c r="P60" s="204">
        <v>453275.36</v>
      </c>
      <c r="Q60" s="206">
        <f t="shared" si="6"/>
        <v>1.4249461175730902E-2</v>
      </c>
      <c r="R60" s="204">
        <v>436472.52</v>
      </c>
      <c r="S60" s="206">
        <f t="shared" si="7"/>
        <v>1.2982525877453896E-2</v>
      </c>
      <c r="T60" s="204">
        <v>604518.25249999994</v>
      </c>
      <c r="U60" s="206">
        <f t="shared" si="8"/>
        <v>1.7482236400705627E-2</v>
      </c>
      <c r="V60" s="242">
        <v>817712.74</v>
      </c>
      <c r="W60" s="243">
        <f>+V60/$V$9*100</f>
        <v>2.2372441586867305E-2</v>
      </c>
      <c r="X60" s="204">
        <v>1094549.17</v>
      </c>
      <c r="Y60" s="206">
        <f t="shared" si="10"/>
        <v>2.7680672955338624E-2</v>
      </c>
      <c r="Z60" s="204">
        <v>812521.76</v>
      </c>
      <c r="AA60" s="206">
        <f t="shared" si="11"/>
        <v>1.9179080845037177E-2</v>
      </c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  <c r="BK60" s="188"/>
      <c r="BL60" s="188"/>
      <c r="BM60" s="188"/>
      <c r="BN60" s="188"/>
      <c r="BO60" s="188"/>
      <c r="BP60" s="188"/>
      <c r="BQ60" s="188"/>
      <c r="BR60" s="188"/>
      <c r="BS60" s="188"/>
      <c r="BT60" s="188"/>
      <c r="BU60" s="188"/>
      <c r="BV60" s="188"/>
      <c r="BW60" s="188"/>
      <c r="BX60" s="188"/>
      <c r="BY60" s="188"/>
      <c r="BZ60" s="188"/>
      <c r="CA60" s="188"/>
      <c r="CB60" s="188"/>
      <c r="CC60" s="188"/>
      <c r="CD60" s="188"/>
      <c r="CE60" s="188"/>
      <c r="CF60" s="188"/>
      <c r="CG60" s="188"/>
      <c r="CH60" s="188"/>
      <c r="CI60" s="188"/>
      <c r="CJ60" s="188"/>
      <c r="CK60" s="188"/>
      <c r="CL60" s="188"/>
      <c r="CM60" s="188"/>
      <c r="CN60" s="188"/>
      <c r="CO60" s="188"/>
      <c r="CP60" s="188"/>
      <c r="CQ60" s="188"/>
      <c r="CR60" s="188"/>
      <c r="CS60" s="188"/>
      <c r="CT60" s="188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</row>
    <row r="61" spans="1:114" ht="15" hidden="1" customHeight="1">
      <c r="A61" s="181"/>
      <c r="B61" s="181"/>
      <c r="C61" s="240" t="str">
        <f>IF([3]MasterSheet!$A$1=1,[3]MasterSheet!C218,[3]MasterSheet!B218)</f>
        <v>Sredstva za tehnološke viškove</v>
      </c>
      <c r="D61" s="204">
        <v>31045</v>
      </c>
      <c r="E61" s="205">
        <f t="shared" si="0"/>
        <v>1.4446926334403649E-3</v>
      </c>
      <c r="F61" s="204">
        <v>71579</v>
      </c>
      <c r="G61" s="205">
        <f t="shared" si="1"/>
        <v>2.6703600074612947E-3</v>
      </c>
      <c r="H61" s="204">
        <v>75791.399999999994</v>
      </c>
      <c r="I61" s="205">
        <f t="shared" si="2"/>
        <v>2.4562937516204304E-3</v>
      </c>
      <c r="J61" s="204">
        <v>55835</v>
      </c>
      <c r="K61" s="205">
        <f t="shared" si="3"/>
        <v>1.873029184837303E-3</v>
      </c>
      <c r="L61" s="204">
        <v>440000</v>
      </c>
      <c r="M61" s="205">
        <f t="shared" si="4"/>
        <v>1.4080000000000001E-2</v>
      </c>
      <c r="N61" s="204">
        <v>0</v>
      </c>
      <c r="O61" s="205">
        <f t="shared" si="5"/>
        <v>0</v>
      </c>
      <c r="P61" s="204">
        <v>0</v>
      </c>
      <c r="Q61" s="206">
        <f t="shared" si="6"/>
        <v>0</v>
      </c>
      <c r="R61" s="204">
        <v>0</v>
      </c>
      <c r="S61" s="206">
        <f t="shared" si="7"/>
        <v>0</v>
      </c>
      <c r="T61" s="204">
        <v>0</v>
      </c>
      <c r="U61" s="206">
        <f t="shared" si="8"/>
        <v>0</v>
      </c>
      <c r="V61" s="207">
        <v>0</v>
      </c>
      <c r="W61" s="206">
        <f t="shared" si="9"/>
        <v>0</v>
      </c>
      <c r="X61" s="204">
        <v>0</v>
      </c>
      <c r="Y61" s="206">
        <f t="shared" si="10"/>
        <v>0</v>
      </c>
      <c r="Z61" s="204">
        <f t="shared" ref="Z61:Z64" si="14">X61*1.015</f>
        <v>0</v>
      </c>
      <c r="AA61" s="206">
        <f t="shared" si="11"/>
        <v>0</v>
      </c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  <c r="BK61" s="188"/>
      <c r="BL61" s="188"/>
      <c r="BM61" s="188"/>
      <c r="BN61" s="188"/>
      <c r="BO61" s="188"/>
      <c r="BP61" s="188"/>
      <c r="BQ61" s="188"/>
      <c r="BR61" s="188"/>
      <c r="BS61" s="188"/>
      <c r="BT61" s="188"/>
      <c r="BU61" s="188"/>
      <c r="BV61" s="188"/>
      <c r="BW61" s="188"/>
      <c r="BX61" s="188"/>
      <c r="BY61" s="188"/>
      <c r="BZ61" s="188"/>
      <c r="CA61" s="188"/>
      <c r="CB61" s="188"/>
      <c r="CC61" s="188"/>
      <c r="CD61" s="188"/>
      <c r="CE61" s="188"/>
      <c r="CF61" s="188"/>
      <c r="CG61" s="188"/>
      <c r="CH61" s="188"/>
      <c r="CI61" s="188"/>
      <c r="CJ61" s="188"/>
      <c r="CK61" s="188"/>
      <c r="CL61" s="188"/>
      <c r="CM61" s="188"/>
      <c r="CN61" s="188"/>
      <c r="CO61" s="188"/>
      <c r="CP61" s="188"/>
      <c r="CQ61" s="188"/>
      <c r="CR61" s="188"/>
      <c r="CS61" s="188"/>
      <c r="CT61" s="188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</row>
    <row r="62" spans="1:114" ht="15" hidden="1" customHeight="1">
      <c r="A62" s="181"/>
      <c r="B62" s="181"/>
      <c r="C62" s="240" t="str">
        <f>IF([3]MasterSheet!$A$1=1,[3]MasterSheet!C219,[3]MasterSheet!B219)</f>
        <v>Prava iz oblasti penzijskog i invalidskog osiguranja</v>
      </c>
      <c r="D62" s="204">
        <v>0</v>
      </c>
      <c r="E62" s="206">
        <f t="shared" si="0"/>
        <v>0</v>
      </c>
      <c r="F62" s="204">
        <v>0</v>
      </c>
      <c r="G62" s="206">
        <f t="shared" si="1"/>
        <v>0</v>
      </c>
      <c r="H62" s="204">
        <v>0</v>
      </c>
      <c r="I62" s="206">
        <f t="shared" si="2"/>
        <v>0</v>
      </c>
      <c r="J62" s="204">
        <v>0</v>
      </c>
      <c r="K62" s="206">
        <f t="shared" si="3"/>
        <v>0</v>
      </c>
      <c r="L62" s="204">
        <v>0</v>
      </c>
      <c r="M62" s="206">
        <f t="shared" si="4"/>
        <v>0</v>
      </c>
      <c r="N62" s="204">
        <v>0</v>
      </c>
      <c r="O62" s="206">
        <f t="shared" si="5"/>
        <v>0</v>
      </c>
      <c r="P62" s="204">
        <v>0</v>
      </c>
      <c r="Q62" s="206">
        <f t="shared" si="6"/>
        <v>0</v>
      </c>
      <c r="R62" s="204">
        <v>0</v>
      </c>
      <c r="S62" s="206">
        <f t="shared" si="7"/>
        <v>0</v>
      </c>
      <c r="T62" s="204">
        <v>0</v>
      </c>
      <c r="U62" s="206">
        <f t="shared" si="8"/>
        <v>0</v>
      </c>
      <c r="V62" s="207">
        <v>0</v>
      </c>
      <c r="W62" s="206">
        <f t="shared" si="9"/>
        <v>0</v>
      </c>
      <c r="X62" s="204">
        <v>0</v>
      </c>
      <c r="Y62" s="206">
        <f t="shared" si="10"/>
        <v>0</v>
      </c>
      <c r="Z62" s="204">
        <f t="shared" si="14"/>
        <v>0</v>
      </c>
      <c r="AA62" s="206">
        <f t="shared" si="11"/>
        <v>0</v>
      </c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  <c r="BR62" s="188"/>
      <c r="BS62" s="188"/>
      <c r="BT62" s="188"/>
      <c r="BU62" s="188"/>
      <c r="BV62" s="188"/>
      <c r="BW62" s="188"/>
      <c r="BX62" s="188"/>
      <c r="BY62" s="188"/>
      <c r="BZ62" s="188"/>
      <c r="CA62" s="188"/>
      <c r="CB62" s="188"/>
      <c r="CC62" s="188"/>
      <c r="CD62" s="188"/>
      <c r="CE62" s="188"/>
      <c r="CF62" s="188"/>
      <c r="CG62" s="188"/>
      <c r="CH62" s="188"/>
      <c r="CI62" s="188"/>
      <c r="CJ62" s="188"/>
      <c r="CK62" s="188"/>
      <c r="CL62" s="188"/>
      <c r="CM62" s="188"/>
      <c r="CN62" s="188"/>
      <c r="CO62" s="188"/>
      <c r="CP62" s="188"/>
      <c r="CQ62" s="188"/>
      <c r="CR62" s="188"/>
      <c r="CS62" s="188"/>
      <c r="CT62" s="188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</row>
    <row r="63" spans="1:114" ht="13.5" hidden="1" customHeight="1">
      <c r="A63" s="181"/>
      <c r="B63" s="181"/>
      <c r="C63" s="240" t="str">
        <f>IF([3]MasterSheet!$A$1=1,[3]MasterSheet!C220,[3]MasterSheet!B220)</f>
        <v>Ostala prava iz oblasti zdravstvene zaštite</v>
      </c>
      <c r="D63" s="204">
        <v>0</v>
      </c>
      <c r="E63" s="206">
        <f t="shared" si="0"/>
        <v>0</v>
      </c>
      <c r="F63" s="204">
        <v>0</v>
      </c>
      <c r="G63" s="206">
        <f t="shared" si="1"/>
        <v>0</v>
      </c>
      <c r="H63" s="204">
        <v>0</v>
      </c>
      <c r="I63" s="206">
        <f t="shared" si="2"/>
        <v>0</v>
      </c>
      <c r="J63" s="204">
        <v>0</v>
      </c>
      <c r="K63" s="206">
        <f t="shared" si="3"/>
        <v>0</v>
      </c>
      <c r="L63" s="204">
        <v>0</v>
      </c>
      <c r="M63" s="206">
        <f t="shared" si="4"/>
        <v>0</v>
      </c>
      <c r="N63" s="204">
        <v>0</v>
      </c>
      <c r="O63" s="206">
        <f t="shared" si="5"/>
        <v>0</v>
      </c>
      <c r="P63" s="204">
        <v>0</v>
      </c>
      <c r="Q63" s="206">
        <f t="shared" si="6"/>
        <v>0</v>
      </c>
      <c r="R63" s="204">
        <v>0</v>
      </c>
      <c r="S63" s="206">
        <f t="shared" si="7"/>
        <v>0</v>
      </c>
      <c r="T63" s="204">
        <v>0</v>
      </c>
      <c r="U63" s="206">
        <f t="shared" si="8"/>
        <v>0</v>
      </c>
      <c r="V63" s="207">
        <v>0</v>
      </c>
      <c r="W63" s="206">
        <f t="shared" si="9"/>
        <v>0</v>
      </c>
      <c r="X63" s="204">
        <v>0</v>
      </c>
      <c r="Y63" s="206">
        <f t="shared" si="10"/>
        <v>0</v>
      </c>
      <c r="Z63" s="204">
        <f t="shared" si="14"/>
        <v>0</v>
      </c>
      <c r="AA63" s="206">
        <f t="shared" si="11"/>
        <v>0</v>
      </c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8"/>
      <c r="BB63" s="188"/>
      <c r="BC63" s="188"/>
      <c r="BD63" s="188"/>
      <c r="BE63" s="188"/>
      <c r="BF63" s="188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8"/>
      <c r="BS63" s="188"/>
      <c r="BT63" s="188"/>
      <c r="BU63" s="188"/>
      <c r="BV63" s="188"/>
      <c r="BW63" s="188"/>
      <c r="BX63" s="188"/>
      <c r="BY63" s="188"/>
      <c r="BZ63" s="188"/>
      <c r="CA63" s="188"/>
      <c r="CB63" s="188"/>
      <c r="CC63" s="188"/>
      <c r="CD63" s="188"/>
      <c r="CE63" s="188"/>
      <c r="CF63" s="188"/>
      <c r="CG63" s="188"/>
      <c r="CH63" s="188"/>
      <c r="CI63" s="188"/>
      <c r="CJ63" s="188"/>
      <c r="CK63" s="188"/>
      <c r="CL63" s="188"/>
      <c r="CM63" s="188"/>
      <c r="CN63" s="188"/>
      <c r="CO63" s="188"/>
      <c r="CP63" s="188"/>
      <c r="CQ63" s="188"/>
      <c r="CR63" s="188"/>
      <c r="CS63" s="188"/>
      <c r="CT63" s="188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</row>
    <row r="64" spans="1:114" ht="15" hidden="1" customHeight="1">
      <c r="A64" s="181"/>
      <c r="B64" s="181"/>
      <c r="C64" s="240" t="str">
        <f>IF([3]MasterSheet!$A$1=1,[3]MasterSheet!C221,[3]MasterSheet!B221)</f>
        <v>Ostala prava iz oblasti zdravstvenog osiguranja</v>
      </c>
      <c r="D64" s="204">
        <v>0</v>
      </c>
      <c r="E64" s="206">
        <f t="shared" si="0"/>
        <v>0</v>
      </c>
      <c r="F64" s="204">
        <v>0</v>
      </c>
      <c r="G64" s="206">
        <f t="shared" si="1"/>
        <v>0</v>
      </c>
      <c r="H64" s="204">
        <v>0</v>
      </c>
      <c r="I64" s="206">
        <f t="shared" si="2"/>
        <v>0</v>
      </c>
      <c r="J64" s="204">
        <v>0</v>
      </c>
      <c r="K64" s="206">
        <f t="shared" si="3"/>
        <v>0</v>
      </c>
      <c r="L64" s="204">
        <v>0</v>
      </c>
      <c r="M64" s="206">
        <f t="shared" si="4"/>
        <v>0</v>
      </c>
      <c r="N64" s="204">
        <v>0</v>
      </c>
      <c r="O64" s="206">
        <f t="shared" si="5"/>
        <v>0</v>
      </c>
      <c r="P64" s="204">
        <v>0</v>
      </c>
      <c r="Q64" s="206">
        <f t="shared" si="6"/>
        <v>0</v>
      </c>
      <c r="R64" s="204">
        <v>0</v>
      </c>
      <c r="S64" s="206">
        <f t="shared" si="7"/>
        <v>0</v>
      </c>
      <c r="T64" s="204">
        <v>0</v>
      </c>
      <c r="U64" s="206">
        <f t="shared" si="8"/>
        <v>0</v>
      </c>
      <c r="V64" s="207">
        <v>0</v>
      </c>
      <c r="W64" s="206">
        <f t="shared" si="9"/>
        <v>0</v>
      </c>
      <c r="X64" s="204">
        <v>0</v>
      </c>
      <c r="Y64" s="206">
        <f t="shared" si="10"/>
        <v>0</v>
      </c>
      <c r="Z64" s="204">
        <f t="shared" si="14"/>
        <v>0</v>
      </c>
      <c r="AA64" s="206">
        <f t="shared" si="11"/>
        <v>0</v>
      </c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188"/>
      <c r="BT64" s="188"/>
      <c r="BU64" s="188"/>
      <c r="BV64" s="188"/>
      <c r="BW64" s="188"/>
      <c r="BX64" s="188"/>
      <c r="BY64" s="188"/>
      <c r="BZ64" s="188"/>
      <c r="CA64" s="188"/>
      <c r="CB64" s="188"/>
      <c r="CC64" s="188"/>
      <c r="CD64" s="188"/>
      <c r="CE64" s="188"/>
      <c r="CF64" s="188"/>
      <c r="CG64" s="188"/>
      <c r="CH64" s="188"/>
      <c r="CI64" s="188"/>
      <c r="CJ64" s="188"/>
      <c r="CK64" s="188"/>
      <c r="CL64" s="188"/>
      <c r="CM64" s="188"/>
      <c r="CN64" s="188"/>
      <c r="CO64" s="188"/>
      <c r="CP64" s="188"/>
      <c r="CQ64" s="188"/>
      <c r="CR64" s="188"/>
      <c r="CS64" s="188"/>
      <c r="CT64" s="188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</row>
    <row r="65" spans="1:114" ht="15" customHeight="1">
      <c r="A65" s="181"/>
      <c r="B65" s="181"/>
      <c r="C65" s="228" t="str">
        <f>IF([3]MasterSheet!$A$1=1,[3]MasterSheet!C222,[3]MasterSheet!B222)</f>
        <v>Transferi inst. pojedinicima NVO i javnom sektoru</v>
      </c>
      <c r="D65" s="210">
        <f>SUM(D66:D70)</f>
        <v>9650993.2699999996</v>
      </c>
      <c r="E65" s="206">
        <f t="shared" si="0"/>
        <v>0.44911318674670764</v>
      </c>
      <c r="F65" s="210">
        <f>SUM(F66:F70)</f>
        <v>26625082.539999999</v>
      </c>
      <c r="G65" s="206">
        <f t="shared" si="1"/>
        <v>0.99328791419511286</v>
      </c>
      <c r="H65" s="210">
        <f>SUM(H66:H70)</f>
        <v>32862994.77</v>
      </c>
      <c r="I65" s="206">
        <f t="shared" si="2"/>
        <v>1.0650439062094892</v>
      </c>
      <c r="J65" s="210">
        <f>SUM(J66:J70)</f>
        <v>30389270.27</v>
      </c>
      <c r="K65" s="206">
        <f t="shared" si="3"/>
        <v>1.0194320788326066</v>
      </c>
      <c r="L65" s="210">
        <f>SUM(L66:L70)</f>
        <v>29332118.829999998</v>
      </c>
      <c r="M65" s="206">
        <f t="shared" si="4"/>
        <v>0.93862780255999989</v>
      </c>
      <c r="N65" s="210">
        <f>SUM(N66:N70)</f>
        <v>25970721.580000002</v>
      </c>
      <c r="O65" s="206">
        <f t="shared" si="5"/>
        <v>0.79542791975497718</v>
      </c>
      <c r="P65" s="210">
        <f>SUM(P66:P70)</f>
        <v>32940489.75</v>
      </c>
      <c r="Q65" s="206">
        <f t="shared" si="6"/>
        <v>1.0355388164099339</v>
      </c>
      <c r="R65" s="210">
        <f>SUM(R66:R70)</f>
        <v>32437054.77</v>
      </c>
      <c r="S65" s="206">
        <f t="shared" si="7"/>
        <v>0.96481424063057708</v>
      </c>
      <c r="T65" s="210">
        <v>35489630.490000002</v>
      </c>
      <c r="U65" s="206">
        <f t="shared" si="8"/>
        <v>1.0263347838283352</v>
      </c>
      <c r="V65" s="210">
        <f>SUM(V66:V70)</f>
        <v>37814642.710000001</v>
      </c>
      <c r="W65" s="206">
        <f t="shared" si="9"/>
        <v>1.0346003477428181</v>
      </c>
      <c r="X65" s="210">
        <v>41356828.290000007</v>
      </c>
      <c r="Y65" s="206">
        <f t="shared" si="10"/>
        <v>1.0458962189570586</v>
      </c>
      <c r="Z65" s="210">
        <v>45879334.299999997</v>
      </c>
      <c r="AA65" s="206">
        <f t="shared" si="11"/>
        <v>1.0829537188717102</v>
      </c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8"/>
      <c r="BR65" s="188"/>
      <c r="BS65" s="188"/>
      <c r="BT65" s="188"/>
      <c r="BU65" s="188"/>
      <c r="BV65" s="188"/>
      <c r="BW65" s="188"/>
      <c r="BX65" s="188"/>
      <c r="BY65" s="188"/>
      <c r="BZ65" s="188"/>
      <c r="CA65" s="188"/>
      <c r="CB65" s="188"/>
      <c r="CC65" s="188"/>
      <c r="CD65" s="188"/>
      <c r="CE65" s="188"/>
      <c r="CF65" s="188"/>
      <c r="CG65" s="188"/>
      <c r="CH65" s="188"/>
      <c r="CI65" s="188"/>
      <c r="CJ65" s="188"/>
      <c r="CK65" s="188"/>
      <c r="CL65" s="188"/>
      <c r="CM65" s="188"/>
      <c r="CN65" s="188"/>
      <c r="CO65" s="188"/>
      <c r="CP65" s="188"/>
      <c r="CQ65" s="188"/>
      <c r="CR65" s="188"/>
      <c r="CS65" s="188"/>
      <c r="CT65" s="188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</row>
    <row r="66" spans="1:114" ht="15" hidden="1" customHeight="1">
      <c r="A66" s="181"/>
      <c r="B66" s="181"/>
      <c r="C66" s="240" t="str">
        <f>IF([3]MasterSheet!$A$1=1,[3]MasterSheet!C223,[3]MasterSheet!B223)</f>
        <v>Transferi javnim institucijama</v>
      </c>
      <c r="D66" s="204">
        <v>4594921.79</v>
      </c>
      <c r="E66" s="205">
        <f t="shared" si="0"/>
        <v>0.21382669226115686</v>
      </c>
      <c r="F66" s="204">
        <v>7631561.1199999992</v>
      </c>
      <c r="G66" s="205">
        <f t="shared" si="1"/>
        <v>0.28470662637567612</v>
      </c>
      <c r="H66" s="204">
        <v>8869880.1599999983</v>
      </c>
      <c r="I66" s="205">
        <f t="shared" si="2"/>
        <v>0.2874604666839512</v>
      </c>
      <c r="J66" s="204">
        <v>11522270.529999997</v>
      </c>
      <c r="K66" s="205">
        <f t="shared" si="3"/>
        <v>0.38652366756122103</v>
      </c>
      <c r="L66" s="204">
        <v>9199285.5699999984</v>
      </c>
      <c r="M66" s="205">
        <f t="shared" si="4"/>
        <v>0.29437713823999995</v>
      </c>
      <c r="N66" s="204">
        <v>7736126.5500000017</v>
      </c>
      <c r="O66" s="205">
        <f t="shared" si="5"/>
        <v>0.23694108882082701</v>
      </c>
      <c r="P66" s="204">
        <v>10302219.9</v>
      </c>
      <c r="Q66" s="206">
        <f t="shared" si="6"/>
        <v>0.32386733417164415</v>
      </c>
      <c r="R66" s="204">
        <v>16162528.719999999</v>
      </c>
      <c r="S66" s="206">
        <f t="shared" si="7"/>
        <v>0.48074148483045803</v>
      </c>
      <c r="T66" s="204">
        <v>11554293.226415399</v>
      </c>
      <c r="U66" s="206">
        <f t="shared" si="8"/>
        <v>0.33414191348550853</v>
      </c>
      <c r="V66" s="207">
        <v>18885637.330000002</v>
      </c>
      <c r="W66" s="206">
        <f t="shared" si="9"/>
        <v>0.51670690369357053</v>
      </c>
      <c r="X66" s="204">
        <v>10302219.9</v>
      </c>
      <c r="Y66" s="206">
        <f t="shared" si="10"/>
        <v>0.26053866521673158</v>
      </c>
      <c r="Z66" s="210">
        <f t="shared" ref="Z66:Z70" si="15">X66*1.015</f>
        <v>10456753.1985</v>
      </c>
      <c r="AA66" s="206">
        <f t="shared" si="11"/>
        <v>0.2468252849876077</v>
      </c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8"/>
      <c r="BR66" s="188"/>
      <c r="BS66" s="188"/>
      <c r="BT66" s="188"/>
      <c r="BU66" s="188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</row>
    <row r="67" spans="1:114" ht="15" hidden="1" customHeight="1">
      <c r="A67" s="181"/>
      <c r="B67" s="181"/>
      <c r="C67" s="240" t="str">
        <f>IF([3]MasterSheet!$A$1=1,[3]MasterSheet!C224,[3]MasterSheet!B224)</f>
        <v>Transferi nevladinim organizacijama</v>
      </c>
      <c r="D67" s="204">
        <v>3246552.13</v>
      </c>
      <c r="E67" s="205">
        <f t="shared" si="0"/>
        <v>0.15107972125273397</v>
      </c>
      <c r="F67" s="204">
        <v>3439884.9</v>
      </c>
      <c r="G67" s="205">
        <f t="shared" si="1"/>
        <v>0.12832997202014551</v>
      </c>
      <c r="H67" s="204">
        <v>3872299.76</v>
      </c>
      <c r="I67" s="205">
        <f t="shared" si="2"/>
        <v>0.12549584392014521</v>
      </c>
      <c r="J67" s="204">
        <v>1858652.2900000003</v>
      </c>
      <c r="K67" s="205">
        <f t="shared" si="3"/>
        <v>6.2349959409594105E-2</v>
      </c>
      <c r="L67" s="204">
        <v>1831989.45</v>
      </c>
      <c r="M67" s="205">
        <f t="shared" si="4"/>
        <v>5.8623662399999998E-2</v>
      </c>
      <c r="N67" s="204">
        <v>1704066.0099999998</v>
      </c>
      <c r="O67" s="205">
        <f t="shared" si="5"/>
        <v>5.2191914548238884E-2</v>
      </c>
      <c r="P67" s="204">
        <v>2007979.5599999998</v>
      </c>
      <c r="Q67" s="206">
        <f t="shared" si="6"/>
        <v>6.3124160955674316E-2</v>
      </c>
      <c r="R67" s="204">
        <v>328847.71000000002</v>
      </c>
      <c r="S67" s="206">
        <f t="shared" si="7"/>
        <v>9.7813120166567527E-3</v>
      </c>
      <c r="T67" s="204">
        <v>2050900.7986499998</v>
      </c>
      <c r="U67" s="206">
        <f t="shared" si="8"/>
        <v>5.9310587311663145E-2</v>
      </c>
      <c r="V67" s="207">
        <v>486057.58</v>
      </c>
      <c r="W67" s="206">
        <f t="shared" si="9"/>
        <v>1.329842900136799E-2</v>
      </c>
      <c r="X67" s="204">
        <v>2007979.5599999998</v>
      </c>
      <c r="Y67" s="206">
        <f t="shared" si="10"/>
        <v>5.0780930656011324E-2</v>
      </c>
      <c r="Z67" s="210">
        <f t="shared" si="15"/>
        <v>2038099.2533999996</v>
      </c>
      <c r="AA67" s="206">
        <f t="shared" si="11"/>
        <v>4.8108090485070212E-2</v>
      </c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8"/>
      <c r="BB67" s="188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  <c r="BQ67" s="188"/>
      <c r="BR67" s="188"/>
      <c r="BS67" s="188"/>
      <c r="BT67" s="188"/>
      <c r="BU67" s="188"/>
      <c r="BV67" s="188"/>
      <c r="BW67" s="188"/>
      <c r="BX67" s="188"/>
      <c r="BY67" s="188"/>
      <c r="BZ67" s="188"/>
      <c r="CA67" s="188"/>
      <c r="CB67" s="188"/>
      <c r="CC67" s="188"/>
      <c r="CD67" s="188"/>
      <c r="CE67" s="188"/>
      <c r="CF67" s="188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8"/>
      <c r="CR67" s="188"/>
      <c r="CS67" s="188"/>
      <c r="CT67" s="188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</row>
    <row r="68" spans="1:114" ht="15" hidden="1" customHeight="1">
      <c r="A68" s="181"/>
      <c r="B68" s="181"/>
      <c r="C68" s="240" t="str">
        <f>IF([3]MasterSheet!$A$1=1,[3]MasterSheet!C225,[3]MasterSheet!B225)</f>
        <v>Transferi pojedincima</v>
      </c>
      <c r="D68" s="204">
        <v>1809519.35</v>
      </c>
      <c r="E68" s="205">
        <f t="shared" si="0"/>
        <v>8.4206773232816806E-2</v>
      </c>
      <c r="F68" s="204">
        <v>2954250.77</v>
      </c>
      <c r="G68" s="205">
        <f t="shared" si="1"/>
        <v>0.11021267562022011</v>
      </c>
      <c r="H68" s="204">
        <v>4146355.32</v>
      </c>
      <c r="I68" s="205">
        <f t="shared" si="2"/>
        <v>0.13437760305937255</v>
      </c>
      <c r="J68" s="204">
        <v>2764874.3200000008</v>
      </c>
      <c r="K68" s="205">
        <f t="shared" si="3"/>
        <v>9.2749893324387808E-2</v>
      </c>
      <c r="L68" s="204">
        <v>2601145.96</v>
      </c>
      <c r="M68" s="205">
        <f t="shared" si="4"/>
        <v>8.3236670720000003E-2</v>
      </c>
      <c r="N68" s="204">
        <v>2805869.4000000004</v>
      </c>
      <c r="O68" s="205">
        <f t="shared" si="5"/>
        <v>8.5937807044410425E-2</v>
      </c>
      <c r="P68" s="204">
        <v>2876786.48</v>
      </c>
      <c r="Q68" s="206">
        <f t="shared" si="6"/>
        <v>9.0436544482867018E-2</v>
      </c>
      <c r="R68" s="204">
        <v>2595063.2000000002</v>
      </c>
      <c r="S68" s="206">
        <f t="shared" si="7"/>
        <v>7.7188078524687689E-2</v>
      </c>
      <c r="T68" s="204">
        <v>3082028.8015999999</v>
      </c>
      <c r="U68" s="206">
        <f t="shared" si="8"/>
        <v>8.913007321206512E-2</v>
      </c>
      <c r="V68" s="207">
        <v>1865936.4900000002</v>
      </c>
      <c r="W68" s="206">
        <f t="shared" si="9"/>
        <v>5.1051613953488381E-2</v>
      </c>
      <c r="X68" s="204">
        <v>2876786.48</v>
      </c>
      <c r="Y68" s="206">
        <f t="shared" si="10"/>
        <v>7.2752680188154367E-2</v>
      </c>
      <c r="Z68" s="210">
        <f t="shared" si="15"/>
        <v>2919938.2771999999</v>
      </c>
      <c r="AA68" s="206">
        <f t="shared" si="11"/>
        <v>6.8923363087454267E-2</v>
      </c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8"/>
      <c r="BS68" s="188"/>
      <c r="BT68" s="188"/>
      <c r="BU68" s="188"/>
      <c r="BV68" s="188"/>
      <c r="BW68" s="188"/>
      <c r="BX68" s="188"/>
      <c r="BY68" s="188"/>
      <c r="BZ68" s="188"/>
      <c r="CA68" s="188"/>
      <c r="CB68" s="188"/>
      <c r="CC68" s="188"/>
      <c r="CD68" s="188"/>
      <c r="CE68" s="188"/>
      <c r="CF68" s="188"/>
      <c r="CG68" s="188"/>
      <c r="CH68" s="188"/>
      <c r="CI68" s="188"/>
      <c r="CJ68" s="188"/>
      <c r="CK68" s="188"/>
      <c r="CL68" s="188"/>
      <c r="CM68" s="188"/>
      <c r="CN68" s="188"/>
      <c r="CO68" s="188"/>
      <c r="CP68" s="188"/>
      <c r="CQ68" s="188"/>
      <c r="CR68" s="188"/>
      <c r="CS68" s="188"/>
      <c r="CT68" s="188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</row>
    <row r="69" spans="1:114" ht="15" hidden="1" customHeight="1">
      <c r="A69" s="181"/>
      <c r="B69" s="181"/>
      <c r="C69" s="240" t="str">
        <f>IF([3]MasterSheet!$A$1=1,[3]MasterSheet!C226,[3]MasterSheet!B226)</f>
        <v>Transferi opštinama</v>
      </c>
      <c r="D69" s="204">
        <v>0</v>
      </c>
      <c r="E69" s="205">
        <f t="shared" si="0"/>
        <v>0</v>
      </c>
      <c r="F69" s="204">
        <v>877870.98</v>
      </c>
      <c r="G69" s="205">
        <f t="shared" si="1"/>
        <v>3.2750269725797428E-2</v>
      </c>
      <c r="H69" s="204">
        <v>6310312.9400000004</v>
      </c>
      <c r="I69" s="205">
        <f t="shared" si="2"/>
        <v>0.20450845670210008</v>
      </c>
      <c r="J69" s="204">
        <v>1093501.45</v>
      </c>
      <c r="K69" s="205">
        <f t="shared" si="3"/>
        <v>3.6682370010063733E-2</v>
      </c>
      <c r="L69" s="204">
        <v>1224176.3</v>
      </c>
      <c r="M69" s="205">
        <f t="shared" si="4"/>
        <v>3.9173641600000003E-2</v>
      </c>
      <c r="N69" s="204"/>
      <c r="O69" s="205">
        <f t="shared" si="5"/>
        <v>0</v>
      </c>
      <c r="P69" s="204"/>
      <c r="Q69" s="206">
        <f t="shared" si="6"/>
        <v>0</v>
      </c>
      <c r="R69" s="204">
        <v>0</v>
      </c>
      <c r="S69" s="206">
        <f t="shared" si="7"/>
        <v>0</v>
      </c>
      <c r="T69" s="204"/>
      <c r="U69" s="206">
        <f t="shared" si="8"/>
        <v>0</v>
      </c>
      <c r="V69" s="207">
        <v>1150046.67</v>
      </c>
      <c r="W69" s="206">
        <f t="shared" si="9"/>
        <v>3.1465025170998626E-2</v>
      </c>
      <c r="X69" s="204"/>
      <c r="Y69" s="206">
        <f t="shared" si="10"/>
        <v>0</v>
      </c>
      <c r="Z69" s="210">
        <f t="shared" si="15"/>
        <v>0</v>
      </c>
      <c r="AA69" s="206">
        <f t="shared" si="11"/>
        <v>0</v>
      </c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  <c r="BR69" s="188"/>
      <c r="BS69" s="188"/>
      <c r="BT69" s="188"/>
      <c r="BU69" s="188"/>
      <c r="BV69" s="188"/>
      <c r="BW69" s="188"/>
      <c r="BX69" s="188"/>
      <c r="BY69" s="188"/>
      <c r="BZ69" s="188"/>
      <c r="CA69" s="188"/>
      <c r="CB69" s="188"/>
      <c r="CC69" s="188"/>
      <c r="CD69" s="188"/>
      <c r="CE69" s="188"/>
      <c r="CF69" s="188"/>
      <c r="CG69" s="188"/>
      <c r="CH69" s="188"/>
      <c r="CI69" s="188"/>
      <c r="CJ69" s="188"/>
      <c r="CK69" s="188"/>
      <c r="CL69" s="188"/>
      <c r="CM69" s="188"/>
      <c r="CN69" s="188"/>
      <c r="CO69" s="188"/>
      <c r="CP69" s="188"/>
      <c r="CQ69" s="188"/>
      <c r="CR69" s="188"/>
      <c r="CS69" s="188"/>
      <c r="CT69" s="188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</row>
    <row r="70" spans="1:114" ht="15" hidden="1" customHeight="1">
      <c r="A70" s="185"/>
      <c r="B70" s="185"/>
      <c r="C70" s="240" t="str">
        <f>IF([3]MasterSheet!$A$1=1,[3]MasterSheet!C227,[3]MasterSheet!B227)</f>
        <v>Transferi javnim preduzećima</v>
      </c>
      <c r="D70" s="204">
        <v>0</v>
      </c>
      <c r="E70" s="205">
        <f t="shared" si="0"/>
        <v>0</v>
      </c>
      <c r="F70" s="204">
        <v>11721514.770000001</v>
      </c>
      <c r="G70" s="205">
        <f t="shared" si="1"/>
        <v>0.43728837045327368</v>
      </c>
      <c r="H70" s="204">
        <v>9664146.5899999999</v>
      </c>
      <c r="I70" s="205">
        <f t="shared" si="2"/>
        <v>0.31320153584392013</v>
      </c>
      <c r="J70" s="204">
        <v>13149971.68</v>
      </c>
      <c r="K70" s="205">
        <f t="shared" si="3"/>
        <v>0.44112618852733987</v>
      </c>
      <c r="L70" s="204">
        <v>14475521.550000003</v>
      </c>
      <c r="M70" s="205">
        <f t="shared" si="4"/>
        <v>0.46321668960000006</v>
      </c>
      <c r="N70" s="204">
        <v>13724659.619999999</v>
      </c>
      <c r="O70" s="205">
        <f t="shared" si="5"/>
        <v>0.42035710934150072</v>
      </c>
      <c r="P70" s="204">
        <v>17753503.809999999</v>
      </c>
      <c r="Q70" s="206">
        <f t="shared" si="6"/>
        <v>0.55811077679974841</v>
      </c>
      <c r="R70" s="204">
        <v>13350615.140000001</v>
      </c>
      <c r="S70" s="206">
        <f t="shared" si="7"/>
        <v>0.39710336525877454</v>
      </c>
      <c r="T70" s="204">
        <v>15649051.266684005</v>
      </c>
      <c r="U70" s="206">
        <f t="shared" si="8"/>
        <v>0.45255939346667062</v>
      </c>
      <c r="V70" s="207">
        <v>15426964.640000001</v>
      </c>
      <c r="W70" s="206">
        <f t="shared" si="9"/>
        <v>0.42207837592339265</v>
      </c>
      <c r="X70" s="204">
        <v>17753503.809999999</v>
      </c>
      <c r="Y70" s="206">
        <f t="shared" si="10"/>
        <v>0.44897839790602401</v>
      </c>
      <c r="Z70" s="210">
        <f t="shared" si="15"/>
        <v>18019806.367149998</v>
      </c>
      <c r="AA70" s="206">
        <f t="shared" si="11"/>
        <v>0.42534654472205824</v>
      </c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8"/>
      <c r="BB70" s="188"/>
      <c r="BC70" s="188"/>
      <c r="BD70" s="188"/>
      <c r="BE70" s="188"/>
      <c r="BF70" s="188"/>
      <c r="BG70" s="188"/>
      <c r="BH70" s="188"/>
      <c r="BI70" s="188"/>
      <c r="BJ70" s="188"/>
      <c r="BK70" s="188"/>
      <c r="BL70" s="188"/>
      <c r="BM70" s="188"/>
      <c r="BN70" s="188"/>
      <c r="BO70" s="188"/>
      <c r="BP70" s="188"/>
      <c r="BQ70" s="188"/>
      <c r="BR70" s="188"/>
      <c r="BS70" s="188"/>
      <c r="BT70" s="188"/>
      <c r="BU70" s="188"/>
      <c r="BV70" s="188"/>
      <c r="BW70" s="188"/>
      <c r="BX70" s="188"/>
      <c r="BY70" s="188"/>
      <c r="BZ70" s="188"/>
      <c r="CA70" s="188"/>
      <c r="CB70" s="188"/>
      <c r="CC70" s="188"/>
      <c r="CD70" s="188"/>
      <c r="CE70" s="188"/>
      <c r="CF70" s="188"/>
      <c r="CG70" s="188"/>
      <c r="CH70" s="188"/>
      <c r="CI70" s="188"/>
      <c r="CJ70" s="188"/>
      <c r="CK70" s="188"/>
      <c r="CL70" s="188"/>
      <c r="CM70" s="188"/>
      <c r="CN70" s="188"/>
      <c r="CO70" s="188"/>
      <c r="CP70" s="188"/>
      <c r="CQ70" s="188"/>
      <c r="CR70" s="188"/>
      <c r="CS70" s="188"/>
      <c r="CT70" s="188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</row>
    <row r="71" spans="1:114" ht="15" customHeight="1">
      <c r="A71" s="185"/>
      <c r="B71" s="244"/>
      <c r="C71" s="228" t="str">
        <f>IF([3]MasterSheet!$A$1=1,[3]MasterSheet!C228,[3]MasterSheet!B228)</f>
        <v xml:space="preserve">Kapitalni budzet </v>
      </c>
      <c r="D71" s="210">
        <v>56911483.659999996</v>
      </c>
      <c r="E71" s="206">
        <f t="shared" si="0"/>
        <v>2.6484007473591138</v>
      </c>
      <c r="F71" s="210">
        <v>104902148.42999999</v>
      </c>
      <c r="G71" s="206">
        <f t="shared" si="1"/>
        <v>3.9135291337437037</v>
      </c>
      <c r="H71" s="210">
        <v>166401109.03999996</v>
      </c>
      <c r="I71" s="206">
        <f t="shared" si="2"/>
        <v>5.3928282680840018</v>
      </c>
      <c r="J71" s="210">
        <v>112335160</v>
      </c>
      <c r="K71" s="206">
        <f t="shared" si="3"/>
        <v>3.7683716873532371</v>
      </c>
      <c r="L71" s="210">
        <v>83150000</v>
      </c>
      <c r="M71" s="206">
        <f t="shared" si="4"/>
        <v>2.6608000000000001</v>
      </c>
      <c r="N71" s="210">
        <v>51469674.490000002</v>
      </c>
      <c r="O71" s="206">
        <f t="shared" si="5"/>
        <v>1.5764065693721285</v>
      </c>
      <c r="P71" s="210">
        <v>48316705.07</v>
      </c>
      <c r="Q71" s="206">
        <f t="shared" si="6"/>
        <v>1.5189155947815152</v>
      </c>
      <c r="R71" s="210">
        <v>47167542.18</v>
      </c>
      <c r="S71" s="206">
        <f t="shared" si="7"/>
        <v>1.4029608024985127</v>
      </c>
      <c r="T71" s="210">
        <v>49380655.789999999</v>
      </c>
      <c r="U71" s="206">
        <f t="shared" si="8"/>
        <v>1.4280533210908355</v>
      </c>
      <c r="V71" s="211">
        <v>40132842.900000006</v>
      </c>
      <c r="W71" s="206">
        <f t="shared" si="9"/>
        <v>1.0980257975376198</v>
      </c>
      <c r="X71" s="210">
        <v>41035825.840000004</v>
      </c>
      <c r="Y71" s="206">
        <f t="shared" si="10"/>
        <v>1.0377782064640131</v>
      </c>
      <c r="Z71" s="210">
        <v>46123836.109999999</v>
      </c>
      <c r="AA71" s="206">
        <f t="shared" si="11"/>
        <v>1.0887250350525197</v>
      </c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8"/>
      <c r="BB71" s="188"/>
      <c r="BC71" s="188"/>
      <c r="BD71" s="188"/>
      <c r="BE71" s="188"/>
      <c r="BF71" s="188"/>
      <c r="BG71" s="188"/>
      <c r="BH71" s="188"/>
      <c r="BI71" s="188"/>
      <c r="BJ71" s="188"/>
      <c r="BK71" s="188"/>
      <c r="BL71" s="188"/>
      <c r="BM71" s="188"/>
      <c r="BN71" s="188"/>
      <c r="BO71" s="188"/>
      <c r="BP71" s="188"/>
      <c r="BQ71" s="188"/>
      <c r="BR71" s="188"/>
      <c r="BS71" s="188"/>
      <c r="BT71" s="188"/>
      <c r="BU71" s="188"/>
      <c r="BV71" s="188"/>
      <c r="BW71" s="188"/>
      <c r="BX71" s="188"/>
      <c r="BY71" s="188"/>
      <c r="BZ71" s="188"/>
      <c r="CA71" s="188"/>
      <c r="CB71" s="188"/>
      <c r="CC71" s="188"/>
      <c r="CD71" s="188"/>
      <c r="CE71" s="188"/>
      <c r="CF71" s="188"/>
      <c r="CG71" s="188"/>
      <c r="CH71" s="188"/>
      <c r="CI71" s="188"/>
      <c r="CJ71" s="188"/>
      <c r="CK71" s="188"/>
      <c r="CL71" s="188"/>
      <c r="CM71" s="188"/>
      <c r="CN71" s="188"/>
      <c r="CO71" s="188"/>
      <c r="CP71" s="188"/>
      <c r="CQ71" s="188"/>
      <c r="CR71" s="188"/>
      <c r="CS71" s="188"/>
      <c r="CT71" s="188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</row>
    <row r="72" spans="1:114" s="247" customFormat="1" ht="16.5" customHeight="1">
      <c r="A72" s="181"/>
      <c r="B72" s="181"/>
      <c r="C72" s="228" t="str">
        <f>IF([3]MasterSheet!$A$1=1,[3]MasterSheet!C230,[3]MasterSheet!B230)</f>
        <v>Pozajmice i krediti</v>
      </c>
      <c r="D72" s="210">
        <v>1165260.56</v>
      </c>
      <c r="E72" s="206">
        <f t="shared" si="0"/>
        <v>5.422590906975662E-2</v>
      </c>
      <c r="F72" s="210">
        <v>1714709.32</v>
      </c>
      <c r="G72" s="206">
        <f t="shared" si="1"/>
        <v>6.3969756388733451E-2</v>
      </c>
      <c r="H72" s="210">
        <v>971121</v>
      </c>
      <c r="I72" s="206">
        <f t="shared" si="2"/>
        <v>3.1472679543686807E-2</v>
      </c>
      <c r="J72" s="210">
        <v>609500</v>
      </c>
      <c r="K72" s="206">
        <f t="shared" si="3"/>
        <v>2.0446159007044617E-2</v>
      </c>
      <c r="L72" s="210">
        <v>970000</v>
      </c>
      <c r="M72" s="206">
        <f t="shared" si="4"/>
        <v>3.1040000000000002E-2</v>
      </c>
      <c r="N72" s="210">
        <v>2142181.59</v>
      </c>
      <c r="O72" s="206">
        <f t="shared" si="5"/>
        <v>6.561046217457886E-2</v>
      </c>
      <c r="P72" s="210">
        <v>1189239.27</v>
      </c>
      <c r="Q72" s="206">
        <f t="shared" si="6"/>
        <v>3.738570480980824E-2</v>
      </c>
      <c r="R72" s="210">
        <v>1376437.67</v>
      </c>
      <c r="S72" s="206">
        <f t="shared" si="7"/>
        <v>4.0941037180249849E-2</v>
      </c>
      <c r="T72" s="210">
        <v>1276416.05</v>
      </c>
      <c r="U72" s="206">
        <f t="shared" si="8"/>
        <v>3.6913041152144367E-2</v>
      </c>
      <c r="V72" s="211">
        <v>1723394.15</v>
      </c>
      <c r="W72" s="206">
        <f t="shared" si="9"/>
        <v>4.7151686730506154E-2</v>
      </c>
      <c r="X72" s="210">
        <v>673652.63000000012</v>
      </c>
      <c r="Y72" s="206">
        <f t="shared" si="10"/>
        <v>1.7036382327651613E-2</v>
      </c>
      <c r="Z72" s="210">
        <v>2342480.2000000002</v>
      </c>
      <c r="AA72" s="206">
        <f t="shared" si="11"/>
        <v>5.5292817183996222E-2</v>
      </c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5"/>
      <c r="BB72" s="245"/>
      <c r="BC72" s="245"/>
      <c r="BD72" s="245"/>
      <c r="BE72" s="245"/>
      <c r="BF72" s="245"/>
      <c r="BG72" s="245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245"/>
      <c r="BS72" s="245"/>
      <c r="BT72" s="245"/>
      <c r="BU72" s="245"/>
      <c r="BV72" s="245"/>
      <c r="BW72" s="245"/>
      <c r="BX72" s="245"/>
      <c r="BY72" s="245"/>
      <c r="BZ72" s="245"/>
      <c r="CA72" s="245"/>
      <c r="CB72" s="245"/>
      <c r="CC72" s="245"/>
      <c r="CD72" s="245"/>
      <c r="CE72" s="245"/>
      <c r="CF72" s="245"/>
      <c r="CG72" s="245"/>
      <c r="CH72" s="245"/>
      <c r="CI72" s="245"/>
      <c r="CJ72" s="245"/>
      <c r="CK72" s="245"/>
      <c r="CL72" s="245"/>
      <c r="CM72" s="245"/>
      <c r="CN72" s="245"/>
      <c r="CO72" s="245"/>
      <c r="CP72" s="245"/>
      <c r="CQ72" s="245"/>
      <c r="CR72" s="245"/>
      <c r="CS72" s="245"/>
      <c r="CT72" s="245"/>
      <c r="CU72" s="246"/>
      <c r="CV72" s="246"/>
      <c r="CW72" s="246"/>
      <c r="CX72" s="246"/>
      <c r="CY72" s="246"/>
      <c r="CZ72" s="246"/>
      <c r="DA72" s="246"/>
      <c r="DB72" s="246"/>
      <c r="DC72" s="246"/>
      <c r="DD72" s="246"/>
      <c r="DE72" s="246"/>
      <c r="DF72" s="246"/>
      <c r="DG72" s="246"/>
      <c r="DH72" s="246"/>
      <c r="DI72" s="246"/>
      <c r="DJ72" s="246"/>
    </row>
    <row r="73" spans="1:114">
      <c r="A73" s="181"/>
      <c r="B73" s="181"/>
      <c r="C73" s="228" t="str">
        <f>IF([3]MasterSheet!$A$1=1,[3]MasterSheet!C232,[3]MasterSheet!B232)</f>
        <v>Otplata neizmirenih obaveza iz prethodnog perioda</v>
      </c>
      <c r="D73" s="210">
        <v>0</v>
      </c>
      <c r="E73" s="206">
        <v>0.28874970170785053</v>
      </c>
      <c r="F73" s="210">
        <v>0</v>
      </c>
      <c r="G73" s="206">
        <v>0.55726256258160789</v>
      </c>
      <c r="H73" s="210">
        <v>0</v>
      </c>
      <c r="I73" s="206">
        <v>0.48894470386991185</v>
      </c>
      <c r="J73" s="210">
        <v>0</v>
      </c>
      <c r="K73" s="206">
        <v>0.96633922106675618</v>
      </c>
      <c r="L73" s="210">
        <v>0</v>
      </c>
      <c r="M73" s="206">
        <v>0.1762249615999999</v>
      </c>
      <c r="N73" s="210">
        <v>0</v>
      </c>
      <c r="O73" s="206">
        <v>1.2645301981623276</v>
      </c>
      <c r="P73" s="210">
        <v>0</v>
      </c>
      <c r="Q73" s="206">
        <f t="shared" si="6"/>
        <v>0</v>
      </c>
      <c r="R73" s="210">
        <v>0</v>
      </c>
      <c r="S73" s="206">
        <f t="shared" si="7"/>
        <v>0</v>
      </c>
      <c r="T73" s="210">
        <v>40559662.529999994</v>
      </c>
      <c r="U73" s="206">
        <f t="shared" si="8"/>
        <v>1.1729564918013822</v>
      </c>
      <c r="V73" s="211">
        <v>47118710.25</v>
      </c>
      <c r="W73" s="206">
        <f t="shared" si="9"/>
        <v>1.2891575991792066</v>
      </c>
      <c r="X73" s="210">
        <v>39369781.339999996</v>
      </c>
      <c r="Y73" s="206">
        <f t="shared" si="10"/>
        <v>0.99564466491325665</v>
      </c>
      <c r="Z73" s="210">
        <v>31934908.639999997</v>
      </c>
      <c r="AA73" s="206">
        <f t="shared" si="11"/>
        <v>0.75380405145757101</v>
      </c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8"/>
      <c r="BB73" s="188"/>
      <c r="BC73" s="188"/>
      <c r="BD73" s="188"/>
      <c r="BE73" s="188"/>
      <c r="BF73" s="188"/>
      <c r="BG73" s="188"/>
      <c r="BH73" s="188"/>
      <c r="BI73" s="188"/>
      <c r="BJ73" s="188"/>
      <c r="BK73" s="188"/>
      <c r="BL73" s="188"/>
      <c r="BM73" s="188"/>
      <c r="BN73" s="188"/>
      <c r="BO73" s="188"/>
      <c r="BP73" s="188"/>
      <c r="BQ73" s="188"/>
      <c r="BR73" s="188"/>
      <c r="BS73" s="188"/>
      <c r="BT73" s="188"/>
      <c r="BU73" s="188"/>
      <c r="BV73" s="188"/>
      <c r="BW73" s="188"/>
      <c r="BX73" s="188"/>
      <c r="BY73" s="188"/>
      <c r="BZ73" s="188"/>
      <c r="CA73" s="188"/>
      <c r="CB73" s="188"/>
      <c r="CC73" s="188"/>
      <c r="CD73" s="188"/>
      <c r="CE73" s="188"/>
      <c r="CF73" s="188"/>
      <c r="CG73" s="188"/>
      <c r="CH73" s="188"/>
      <c r="CI73" s="188"/>
      <c r="CJ73" s="188"/>
      <c r="CK73" s="188"/>
      <c r="CL73" s="188"/>
      <c r="CM73" s="188"/>
      <c r="CN73" s="188"/>
      <c r="CO73" s="188"/>
      <c r="CP73" s="188"/>
      <c r="CQ73" s="188"/>
      <c r="CR73" s="188"/>
      <c r="CS73" s="188"/>
      <c r="CT73" s="188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</row>
    <row r="74" spans="1:114" ht="13.5" thickBot="1">
      <c r="A74" s="181"/>
      <c r="B74" s="181"/>
      <c r="C74" s="228" t="str">
        <f>IF([3]MasterSheet!$A$1=1,[3]MasterSheet!C233,[3]MasterSheet!B233)</f>
        <v>Rezerve</v>
      </c>
      <c r="D74" s="210">
        <v>4882891.71</v>
      </c>
      <c r="E74" s="206">
        <f t="shared" si="0"/>
        <v>0.22722749825492111</v>
      </c>
      <c r="F74" s="210">
        <v>8103979.8300000001</v>
      </c>
      <c r="G74" s="206">
        <f t="shared" si="1"/>
        <v>0.30233090207050922</v>
      </c>
      <c r="H74" s="210">
        <v>6900498.129999999</v>
      </c>
      <c r="I74" s="206">
        <f t="shared" si="2"/>
        <v>0.22363553701062999</v>
      </c>
      <c r="J74" s="210">
        <v>3613548.59</v>
      </c>
      <c r="K74" s="206">
        <f t="shared" si="3"/>
        <v>0.12121934216705803</v>
      </c>
      <c r="L74" s="210">
        <v>3250000</v>
      </c>
      <c r="M74" s="206">
        <f t="shared" si="4"/>
        <v>0.104</v>
      </c>
      <c r="N74" s="210">
        <v>2296279.0099999998</v>
      </c>
      <c r="O74" s="206">
        <f t="shared" si="5"/>
        <v>7.0330138131699846E-2</v>
      </c>
      <c r="P74" s="210">
        <v>3457991.1</v>
      </c>
      <c r="Q74" s="206">
        <f t="shared" si="6"/>
        <v>0.10870767368751964</v>
      </c>
      <c r="R74" s="210">
        <v>1816209.27</v>
      </c>
      <c r="S74" s="206">
        <f t="shared" si="7"/>
        <v>5.4021691552647237E-2</v>
      </c>
      <c r="T74" s="210">
        <v>2464920.5699999998</v>
      </c>
      <c r="U74" s="206">
        <f t="shared" si="8"/>
        <v>7.1283743601607899E-2</v>
      </c>
      <c r="V74" s="211">
        <v>1883983.68</v>
      </c>
      <c r="W74" s="206">
        <f t="shared" si="9"/>
        <v>5.1545381121751027E-2</v>
      </c>
      <c r="X74" s="210">
        <v>1941229.8</v>
      </c>
      <c r="Y74" s="206">
        <f t="shared" si="10"/>
        <v>4.9092858226695658E-2</v>
      </c>
      <c r="Z74" s="210">
        <v>1996206.4699999997</v>
      </c>
      <c r="AA74" s="206">
        <f t="shared" si="11"/>
        <v>4.7119236870057826E-2</v>
      </c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8"/>
      <c r="BB74" s="188"/>
      <c r="BC74" s="188"/>
      <c r="BD74" s="188"/>
      <c r="BE74" s="188"/>
      <c r="BF74" s="188"/>
      <c r="BG74" s="188"/>
      <c r="BH74" s="188"/>
      <c r="BI74" s="188"/>
      <c r="BJ74" s="188"/>
      <c r="BK74" s="188"/>
      <c r="BL74" s="188"/>
      <c r="BM74" s="188"/>
      <c r="BN74" s="188"/>
      <c r="BO74" s="188"/>
      <c r="BP74" s="188"/>
      <c r="BQ74" s="188"/>
      <c r="BR74" s="188"/>
      <c r="BS74" s="188"/>
      <c r="BT74" s="188"/>
      <c r="BU74" s="188"/>
      <c r="BV74" s="188"/>
      <c r="BW74" s="188"/>
      <c r="BX74" s="188"/>
      <c r="BY74" s="188"/>
      <c r="BZ74" s="188"/>
      <c r="CA74" s="188"/>
      <c r="CB74" s="188"/>
      <c r="CC74" s="188"/>
      <c r="CD74" s="188"/>
      <c r="CE74" s="188"/>
      <c r="CF74" s="188"/>
      <c r="CG74" s="188"/>
      <c r="CH74" s="188"/>
      <c r="CI74" s="188"/>
      <c r="CJ74" s="188"/>
      <c r="CK74" s="188"/>
      <c r="CL74" s="188"/>
      <c r="CM74" s="188"/>
      <c r="CN74" s="188"/>
      <c r="CO74" s="188"/>
      <c r="CP74" s="188"/>
      <c r="CQ74" s="188"/>
      <c r="CR74" s="188"/>
      <c r="CS74" s="188"/>
      <c r="CT74" s="188"/>
      <c r="CU74" s="189"/>
      <c r="CV74" s="189"/>
      <c r="CW74" s="189"/>
      <c r="CX74" s="189"/>
      <c r="CY74" s="189"/>
      <c r="CZ74" s="189"/>
      <c r="DA74" s="189"/>
      <c r="DB74" s="189"/>
      <c r="DC74" s="189"/>
      <c r="DD74" s="189"/>
      <c r="DE74" s="189"/>
      <c r="DF74" s="189"/>
      <c r="DG74" s="189"/>
      <c r="DH74" s="189"/>
      <c r="DI74" s="189"/>
      <c r="DJ74" s="189"/>
    </row>
    <row r="75" spans="1:114" ht="14.25" thickTop="1" thickBot="1">
      <c r="A75" s="181"/>
      <c r="B75" s="181"/>
      <c r="C75" s="248" t="str">
        <f>IF([3]MasterSheet!$A$1=1,[3]MasterSheet!C241,[3]MasterSheet!B241)</f>
        <v>Otplata garancija</v>
      </c>
      <c r="D75" s="250">
        <v>0</v>
      </c>
      <c r="E75" s="516">
        <f>+D75/$D$9*100</f>
        <v>0</v>
      </c>
      <c r="F75" s="250">
        <v>0</v>
      </c>
      <c r="G75" s="516">
        <f>+F75/$F$9*100</f>
        <v>0</v>
      </c>
      <c r="H75" s="250">
        <v>0</v>
      </c>
      <c r="I75" s="516">
        <f>+H75/$H$9*100</f>
        <v>0</v>
      </c>
      <c r="J75" s="250">
        <v>0</v>
      </c>
      <c r="K75" s="516">
        <f>+J75/$J$9*100</f>
        <v>0</v>
      </c>
      <c r="L75" s="250">
        <v>0</v>
      </c>
      <c r="M75" s="516">
        <f>+L75/$L$9*100</f>
        <v>0</v>
      </c>
      <c r="N75" s="223">
        <v>197478.01</v>
      </c>
      <c r="O75" s="517">
        <f>+N75/$N$9*100</f>
        <v>6.048331087289434E-3</v>
      </c>
      <c r="P75" s="223">
        <v>0</v>
      </c>
      <c r="Q75" s="224">
        <f t="shared" si="6"/>
        <v>0</v>
      </c>
      <c r="R75" s="223">
        <v>0</v>
      </c>
      <c r="S75" s="224">
        <f t="shared" si="7"/>
        <v>0</v>
      </c>
      <c r="T75" s="223">
        <v>0</v>
      </c>
      <c r="U75" s="224">
        <f t="shared" si="8"/>
        <v>0</v>
      </c>
      <c r="V75" s="227">
        <v>0</v>
      </c>
      <c r="W75" s="224">
        <f t="shared" si="9"/>
        <v>0</v>
      </c>
      <c r="X75" s="223">
        <v>0</v>
      </c>
      <c r="Y75" s="224">
        <f t="shared" si="10"/>
        <v>0</v>
      </c>
      <c r="Z75" s="223">
        <v>0</v>
      </c>
      <c r="AA75" s="224">
        <f t="shared" si="11"/>
        <v>0</v>
      </c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89"/>
      <c r="BQ75" s="189"/>
      <c r="BR75" s="189"/>
      <c r="BS75" s="189"/>
      <c r="BT75" s="189"/>
      <c r="BU75" s="189"/>
      <c r="BV75" s="189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89"/>
      <c r="CK75" s="189"/>
      <c r="CL75" s="189"/>
      <c r="CM75" s="189"/>
      <c r="CN75" s="189"/>
      <c r="CO75" s="189"/>
      <c r="CP75" s="189"/>
      <c r="CQ75" s="189"/>
      <c r="CR75" s="189"/>
      <c r="CS75" s="189"/>
      <c r="CT75" s="189"/>
      <c r="CU75" s="189"/>
      <c r="CV75" s="189"/>
      <c r="CW75" s="189"/>
      <c r="CX75" s="189"/>
      <c r="CY75" s="189"/>
      <c r="CZ75" s="189"/>
      <c r="DA75" s="189"/>
      <c r="DB75" s="189"/>
      <c r="DC75" s="189"/>
      <c r="DD75" s="189"/>
      <c r="DE75" s="189"/>
      <c r="DF75" s="189"/>
      <c r="DG75" s="189"/>
      <c r="DH75" s="189"/>
      <c r="DI75" s="189"/>
      <c r="DJ75" s="189"/>
    </row>
    <row r="76" spans="1:114" ht="14.25" thickTop="1" thickBot="1">
      <c r="A76" s="181"/>
      <c r="B76" s="181"/>
      <c r="C76" s="249" t="str">
        <f>IF([3]MasterSheet!$A$1=1,[3]MasterSheet!C234,[3]MasterSheet!B234)</f>
        <v>Neto povećanje obaveza</v>
      </c>
      <c r="D76" s="250">
        <v>0</v>
      </c>
      <c r="E76" s="224">
        <f t="shared" si="0"/>
        <v>0</v>
      </c>
      <c r="F76" s="250">
        <v>0</v>
      </c>
      <c r="G76" s="224">
        <f t="shared" si="1"/>
        <v>0</v>
      </c>
      <c r="H76" s="250">
        <v>0</v>
      </c>
      <c r="I76" s="224">
        <f t="shared" si="2"/>
        <v>0</v>
      </c>
      <c r="J76" s="250">
        <v>0</v>
      </c>
      <c r="K76" s="224">
        <f t="shared" si="3"/>
        <v>0</v>
      </c>
      <c r="L76" s="250">
        <v>0</v>
      </c>
      <c r="M76" s="224">
        <f t="shared" si="4"/>
        <v>0</v>
      </c>
      <c r="N76" s="223">
        <v>-4851519.62</v>
      </c>
      <c r="O76" s="251">
        <f t="shared" si="5"/>
        <v>-0.14859171883614089</v>
      </c>
      <c r="P76" s="223">
        <v>11275907.500000015</v>
      </c>
      <c r="Q76" s="224">
        <f t="shared" si="6"/>
        <v>0.35447681546683479</v>
      </c>
      <c r="R76" s="223">
        <v>7430857.25</v>
      </c>
      <c r="S76" s="224">
        <f t="shared" si="7"/>
        <v>0.22102490333135039</v>
      </c>
      <c r="T76" s="223">
        <v>2421937.75</v>
      </c>
      <c r="U76" s="224">
        <f t="shared" si="8"/>
        <v>7.0040711125249427E-2</v>
      </c>
      <c r="V76" s="227">
        <v>-22526157.100000009</v>
      </c>
      <c r="W76" s="224">
        <f t="shared" si="9"/>
        <v>-0.61631072777017815</v>
      </c>
      <c r="X76" s="223">
        <v>-17434355.329999998</v>
      </c>
      <c r="Y76" s="224">
        <f t="shared" si="10"/>
        <v>-0.44090727150877546</v>
      </c>
      <c r="Z76" s="526">
        <v>1949003.23</v>
      </c>
      <c r="AA76" s="224">
        <f t="shared" si="11"/>
        <v>4.6005033164168534E-2</v>
      </c>
      <c r="BA76" s="189"/>
      <c r="BB76" s="189"/>
      <c r="BC76" s="189"/>
      <c r="BD76" s="189"/>
      <c r="BE76" s="189"/>
      <c r="BF76" s="189"/>
      <c r="BG76" s="189"/>
      <c r="BH76" s="189"/>
      <c r="BI76" s="189"/>
      <c r="BJ76" s="189"/>
      <c r="BK76" s="189"/>
      <c r="BL76" s="189"/>
      <c r="BM76" s="189"/>
      <c r="BN76" s="189"/>
      <c r="BO76" s="189"/>
      <c r="BP76" s="189"/>
      <c r="BQ76" s="189"/>
      <c r="BR76" s="189"/>
      <c r="BS76" s="189"/>
      <c r="BT76" s="189"/>
      <c r="BU76" s="189"/>
      <c r="BV76" s="189"/>
      <c r="BW76" s="189"/>
      <c r="BX76" s="189"/>
      <c r="BY76" s="189"/>
      <c r="BZ76" s="189"/>
      <c r="CA76" s="189"/>
      <c r="CB76" s="189"/>
      <c r="CC76" s="189"/>
      <c r="CD76" s="189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189"/>
      <c r="CV76" s="189"/>
      <c r="CW76" s="189"/>
      <c r="CX76" s="189"/>
      <c r="CY76" s="189"/>
      <c r="CZ76" s="189"/>
      <c r="DA76" s="189"/>
      <c r="DB76" s="189"/>
      <c r="DC76" s="189"/>
      <c r="DD76" s="189"/>
      <c r="DE76" s="189"/>
      <c r="DF76" s="189"/>
      <c r="DG76" s="189"/>
      <c r="DH76" s="189"/>
      <c r="DI76" s="189"/>
      <c r="DJ76" s="189"/>
    </row>
    <row r="77" spans="1:114" ht="14.25" thickTop="1" thickBot="1">
      <c r="A77" s="181"/>
      <c r="B77" s="181"/>
      <c r="C77" s="252" t="str">
        <f>IF([3]MasterSheet!$A$1=1,[3]MasterSheet!C235,[3]MasterSheet!B235)</f>
        <v>Suficit/deficit</v>
      </c>
      <c r="D77" s="236">
        <f>+D14-D43</f>
        <v>-3138829.689800024</v>
      </c>
      <c r="E77" s="194">
        <f t="shared" si="0"/>
        <v>-0.14606681045186021</v>
      </c>
      <c r="F77" s="236">
        <f>+F14-F43+F90</f>
        <v>-10795659.820000023</v>
      </c>
      <c r="G77" s="194">
        <f t="shared" si="1"/>
        <v>-0.40274798806192957</v>
      </c>
      <c r="H77" s="236">
        <f>+H14-H43+H90</f>
        <v>-32117731.74999994</v>
      </c>
      <c r="I77" s="194">
        <f t="shared" si="2"/>
        <v>-1.0408909693414552</v>
      </c>
      <c r="J77" s="236">
        <f>+J14-J43+J90</f>
        <v>-36405675.530000001</v>
      </c>
      <c r="K77" s="194">
        <f t="shared" si="3"/>
        <v>-1.2212571462596444</v>
      </c>
      <c r="L77" s="236">
        <f>+L14-L43+L90</f>
        <v>-6065613.2839999627</v>
      </c>
      <c r="M77" s="194">
        <f t="shared" si="4"/>
        <v>-0.19409962508799883</v>
      </c>
      <c r="N77" s="236">
        <f>+N14-N43+N90</f>
        <v>13495969.159999985</v>
      </c>
      <c r="O77" s="237">
        <f t="shared" si="5"/>
        <v>0.41335280735068863</v>
      </c>
      <c r="P77" s="236">
        <f>+P14-P43+P90</f>
        <v>19426369.52333327</v>
      </c>
      <c r="Q77" s="194">
        <f t="shared" si="6"/>
        <v>0.6107000793251578</v>
      </c>
      <c r="R77" s="236">
        <f>+R14-R43+R90</f>
        <v>46618213.469999991</v>
      </c>
      <c r="S77" s="194">
        <f t="shared" si="7"/>
        <v>1.3866214595478881</v>
      </c>
      <c r="T77" s="236">
        <f>+T14-T43</f>
        <v>2066886.4575000107</v>
      </c>
      <c r="U77" s="194">
        <f t="shared" si="8"/>
        <v>5.9772881156193371E-2</v>
      </c>
      <c r="V77" s="236">
        <f>+V14-V43</f>
        <v>-11489318.485000044</v>
      </c>
      <c r="W77" s="194">
        <f t="shared" si="9"/>
        <v>-0.31434523898768929</v>
      </c>
      <c r="X77" s="236">
        <f>+X14-X43</f>
        <v>-7249308.5100000203</v>
      </c>
      <c r="Y77" s="194">
        <f t="shared" si="10"/>
        <v>-0.18333186257650144</v>
      </c>
      <c r="Z77" s="236">
        <f>+Z14-Z43</f>
        <v>9796169.7700001001</v>
      </c>
      <c r="AA77" s="194">
        <f t="shared" si="11"/>
        <v>0.23123261583854834</v>
      </c>
      <c r="BA77" s="189"/>
      <c r="BB77" s="189"/>
      <c r="BC77" s="189"/>
      <c r="BD77" s="189"/>
      <c r="BE77" s="189"/>
      <c r="BF77" s="189"/>
      <c r="BG77" s="189"/>
      <c r="BH77" s="189"/>
      <c r="BI77" s="189"/>
      <c r="BJ77" s="189"/>
      <c r="BK77" s="189"/>
      <c r="BL77" s="189"/>
      <c r="BM77" s="189"/>
      <c r="BN77" s="189"/>
      <c r="BO77" s="189"/>
      <c r="BP77" s="189"/>
      <c r="BQ77" s="189"/>
      <c r="BR77" s="189"/>
      <c r="BS77" s="189"/>
      <c r="BT77" s="189"/>
      <c r="BU77" s="189"/>
      <c r="BV77" s="189"/>
      <c r="BW77" s="189"/>
      <c r="BX77" s="189"/>
      <c r="BY77" s="189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</row>
    <row r="78" spans="1:114" ht="14.25" thickTop="1" thickBot="1">
      <c r="A78" s="181"/>
      <c r="B78" s="181"/>
      <c r="C78" s="252" t="s">
        <v>420</v>
      </c>
      <c r="D78" s="253"/>
      <c r="E78" s="194"/>
      <c r="F78" s="253"/>
      <c r="G78" s="194"/>
      <c r="H78" s="253"/>
      <c r="I78" s="194"/>
      <c r="J78" s="253"/>
      <c r="K78" s="194"/>
      <c r="L78" s="253"/>
      <c r="M78" s="194"/>
      <c r="N78" s="253"/>
      <c r="O78" s="237"/>
      <c r="P78" s="253"/>
      <c r="Q78" s="194"/>
      <c r="R78" s="253">
        <f>R77-R76</f>
        <v>39187356.219999991</v>
      </c>
      <c r="S78" s="194">
        <f t="shared" si="7"/>
        <v>1.1655965562165376</v>
      </c>
      <c r="T78" s="253">
        <f>T77-T76</f>
        <v>-355051.29249998927</v>
      </c>
      <c r="U78" s="194">
        <f t="shared" si="8"/>
        <v>-1.0267829969056053E-2</v>
      </c>
      <c r="V78" s="253">
        <f>V77-V76</f>
        <v>11036838.614999965</v>
      </c>
      <c r="W78" s="194">
        <f t="shared" si="9"/>
        <v>0.3019654887824888</v>
      </c>
      <c r="X78" s="253">
        <f>X77-X76</f>
        <v>10185046.819999978</v>
      </c>
      <c r="Y78" s="194">
        <f t="shared" si="10"/>
        <v>0.25757540893227399</v>
      </c>
      <c r="Z78" s="253">
        <f>Z77-Z76</f>
        <v>7847166.5400000997</v>
      </c>
      <c r="AA78" s="194">
        <f t="shared" si="11"/>
        <v>0.18522758267437978</v>
      </c>
      <c r="BA78" s="189"/>
      <c r="BB78" s="189"/>
      <c r="BC78" s="189"/>
      <c r="BD78" s="189"/>
      <c r="BE78" s="189"/>
      <c r="BF78" s="189"/>
      <c r="BG78" s="189"/>
      <c r="BH78" s="189"/>
      <c r="BI78" s="189"/>
      <c r="BJ78" s="189"/>
      <c r="BK78" s="189"/>
      <c r="BL78" s="189"/>
      <c r="BM78" s="189"/>
      <c r="BN78" s="189"/>
      <c r="BO78" s="189"/>
      <c r="BP78" s="189"/>
      <c r="BQ78" s="189"/>
      <c r="BR78" s="189"/>
      <c r="BS78" s="189"/>
      <c r="BT78" s="189"/>
      <c r="BU78" s="189"/>
      <c r="BV78" s="189"/>
      <c r="BW78" s="189"/>
      <c r="BX78" s="189"/>
      <c r="BY78" s="189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</row>
    <row r="79" spans="1:114" ht="14.25" thickTop="1" thickBot="1">
      <c r="A79" s="181"/>
      <c r="B79" s="181"/>
      <c r="C79" s="252" t="str">
        <f>IF([3]MasterSheet!$A$1=1,[3]MasterSheet!C236,[3]MasterSheet!B236)</f>
        <v>Primarni deficit</v>
      </c>
      <c r="D79" s="253">
        <f>D77+D55</f>
        <v>-2683160.2498000241</v>
      </c>
      <c r="E79" s="194">
        <f t="shared" ref="E79:E90" si="16">+D79/$D$9*100</f>
        <v>-0.12486203405463372</v>
      </c>
      <c r="F79" s="253">
        <f>+F77+F55</f>
        <v>-9959486.1300000232</v>
      </c>
      <c r="G79" s="194">
        <f t="shared" ref="G79:G90" si="17">+F79/$F$9*100</f>
        <v>-0.37155329714605573</v>
      </c>
      <c r="H79" s="253">
        <f>+H77+H55</f>
        <v>-30844033.529999942</v>
      </c>
      <c r="I79" s="194">
        <f t="shared" ref="I79:I90" si="18">+H79/$H$9*100</f>
        <v>-0.99961218336790059</v>
      </c>
      <c r="J79" s="253">
        <f>+J77+J55</f>
        <v>-35394966.130000003</v>
      </c>
      <c r="K79" s="194">
        <f t="shared" ref="K79:K90" si="19">+J79/$J$9*100</f>
        <v>-1.1873521009728281</v>
      </c>
      <c r="L79" s="253">
        <f>+L77+L55</f>
        <v>-4915613.2839999627</v>
      </c>
      <c r="M79" s="194">
        <f t="shared" ref="M79:M90" si="20">+L79/$L$9*100</f>
        <v>-0.1572996250879988</v>
      </c>
      <c r="N79" s="253">
        <f>+N77+N55</f>
        <v>16006884.839999985</v>
      </c>
      <c r="O79" s="237">
        <f t="shared" ref="O79:O90" si="21">+N79/$N$9*100</f>
        <v>0.49025680980091835</v>
      </c>
      <c r="P79" s="253">
        <f>+P77+P55</f>
        <v>22286831.723333269</v>
      </c>
      <c r="Q79" s="194">
        <f t="shared" ref="Q79:Q90" si="22">+P79/$P$9*100</f>
        <v>0.70062344304725777</v>
      </c>
      <c r="R79" s="253">
        <f>+R78-R55</f>
        <v>35840064.159999989</v>
      </c>
      <c r="S79" s="194">
        <f t="shared" ref="S79:S90" si="23">+R79/$R$9*100</f>
        <v>1.0660340321237356</v>
      </c>
      <c r="T79" s="253">
        <f>+T78+T55</f>
        <v>3030341.7475000103</v>
      </c>
      <c r="U79" s="194">
        <f t="shared" ref="U79:U90" si="24">+T79/$T$9*100</f>
        <v>8.7635320497990415E-2</v>
      </c>
      <c r="V79" s="253">
        <f>+V78-V55</f>
        <v>6594016.314999966</v>
      </c>
      <c r="W79" s="194">
        <f t="shared" ref="W79:W90" si="25">+V79/$V$9*100</f>
        <v>0.18041084309165434</v>
      </c>
      <c r="X79" s="253">
        <f>+X77-X76-X55</f>
        <v>6085119.7399999779</v>
      </c>
      <c r="Y79" s="194">
        <f t="shared" ref="Y79:Y90" si="26">+X79/$X$9*100</f>
        <v>0.15389003439380855</v>
      </c>
      <c r="Z79" s="253">
        <f>+Z78+Z55</f>
        <v>11655840.810000099</v>
      </c>
      <c r="AA79" s="194">
        <f t="shared" ref="AA79:AA90" si="27">+Z79/$Z$9*100</f>
        <v>0.27512901711318538</v>
      </c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Q79" s="189"/>
      <c r="BR79" s="189"/>
      <c r="BS79" s="189"/>
      <c r="BT79" s="189"/>
      <c r="BU79" s="189"/>
      <c r="BV79" s="189"/>
      <c r="BW79" s="189"/>
      <c r="BX79" s="189"/>
      <c r="BY79" s="189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</row>
    <row r="80" spans="1:114" ht="14.25" thickTop="1" thickBot="1">
      <c r="A80" s="181"/>
      <c r="B80" s="181"/>
      <c r="C80" s="252" t="str">
        <f>IF([3]MasterSheet!$A$1=1,[3]MasterSheet!C237,[3]MasterSheet!B237)</f>
        <v>Otplata duga</v>
      </c>
      <c r="D80" s="236">
        <f>SUM(D81:D83)</f>
        <v>17229438.09</v>
      </c>
      <c r="E80" s="194">
        <f t="shared" si="16"/>
        <v>0.80177942621806508</v>
      </c>
      <c r="F80" s="236">
        <f>SUM(F81:F83)</f>
        <v>21515797.810000002</v>
      </c>
      <c r="G80" s="194">
        <f t="shared" si="17"/>
        <v>0.80267852303674703</v>
      </c>
      <c r="H80" s="236">
        <f>SUM(H81:H83)</f>
        <v>19957977.300000004</v>
      </c>
      <c r="I80" s="194">
        <f t="shared" si="18"/>
        <v>0.64681025732434549</v>
      </c>
      <c r="J80" s="236">
        <f>SUM(J81:J83)</f>
        <v>36561416.140000001</v>
      </c>
      <c r="K80" s="194">
        <f t="shared" si="19"/>
        <v>1.2264815880576989</v>
      </c>
      <c r="L80" s="236">
        <f>SUM(L81:L83)</f>
        <v>42804902.359999999</v>
      </c>
      <c r="M80" s="194">
        <f t="shared" si="20"/>
        <v>1.36975687552</v>
      </c>
      <c r="N80" s="236">
        <f>SUM(N81:N83)</f>
        <v>49702174.310000002</v>
      </c>
      <c r="O80" s="237">
        <f t="shared" si="21"/>
        <v>1.5222718012251149</v>
      </c>
      <c r="P80" s="236">
        <f>SUM(P81:P83)</f>
        <v>54950812.849999994</v>
      </c>
      <c r="Q80" s="194">
        <f t="shared" si="22"/>
        <v>1.7274697532222569</v>
      </c>
      <c r="R80" s="236">
        <f>SUM(R81:R83)</f>
        <v>66905971.799999997</v>
      </c>
      <c r="S80" s="194">
        <f t="shared" si="23"/>
        <v>1.9900645984533016</v>
      </c>
      <c r="T80" s="236">
        <f>SUM(T81:T82)</f>
        <v>18092068.789999999</v>
      </c>
      <c r="U80" s="194">
        <f t="shared" si="24"/>
        <v>0.52320971659099458</v>
      </c>
      <c r="V80" s="236">
        <f>SUM(V81:V82)</f>
        <v>26924043.32</v>
      </c>
      <c r="W80" s="194">
        <f t="shared" si="25"/>
        <v>0.73663593214774281</v>
      </c>
      <c r="X80" s="236">
        <f>SUM(X81:X83)</f>
        <v>17297596.619999997</v>
      </c>
      <c r="Y80" s="194">
        <f t="shared" si="26"/>
        <v>0.43744870315107981</v>
      </c>
      <c r="Z80" s="236">
        <f>SUM(Z81:Z83)</f>
        <v>13189279.220000003</v>
      </c>
      <c r="AA80" s="194">
        <f t="shared" si="27"/>
        <v>0.31132489602266028</v>
      </c>
      <c r="BA80" s="189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9"/>
      <c r="BM80" s="189"/>
      <c r="BN80" s="189"/>
      <c r="BO80" s="189"/>
      <c r="BP80" s="189"/>
      <c r="BQ80" s="189"/>
      <c r="BR80" s="189"/>
      <c r="BS80" s="189"/>
      <c r="BT80" s="189"/>
      <c r="BU80" s="189"/>
      <c r="BV80" s="189"/>
      <c r="BW80" s="189"/>
      <c r="BX80" s="189"/>
      <c r="BY80" s="189"/>
      <c r="BZ80" s="189"/>
      <c r="CA80" s="189"/>
      <c r="CB80" s="189"/>
      <c r="CC80" s="189"/>
      <c r="CD80" s="189"/>
      <c r="CE80" s="189"/>
      <c r="CF80" s="189"/>
      <c r="CG80" s="189"/>
      <c r="CH80" s="189"/>
      <c r="CI80" s="189"/>
      <c r="CJ80" s="189"/>
      <c r="CK80" s="189"/>
      <c r="CL80" s="189"/>
      <c r="CM80" s="189"/>
      <c r="CN80" s="189"/>
      <c r="CO80" s="189"/>
      <c r="CP80" s="189"/>
      <c r="CQ80" s="189"/>
      <c r="CR80" s="189"/>
      <c r="CS80" s="189"/>
      <c r="CT80" s="189"/>
      <c r="CU80" s="189"/>
      <c r="CV80" s="189"/>
      <c r="CW80" s="189"/>
      <c r="CX80" s="189"/>
      <c r="CY80" s="189"/>
      <c r="CZ80" s="189"/>
      <c r="DA80" s="189"/>
      <c r="DB80" s="189"/>
      <c r="DC80" s="189"/>
      <c r="DD80" s="189"/>
      <c r="DE80" s="189"/>
      <c r="DF80" s="189"/>
      <c r="DG80" s="189"/>
      <c r="DH80" s="189"/>
      <c r="DI80" s="189"/>
      <c r="DJ80" s="189"/>
    </row>
    <row r="81" spans="1:116" ht="13.5" thickTop="1">
      <c r="A81" s="181"/>
      <c r="B81" s="181"/>
      <c r="C81" s="254" t="str">
        <f>IF([3]MasterSheet!$A$1=1,[3]MasterSheet!C238,[3]MasterSheet!B238)</f>
        <v>Otplata glavnice rezidentima</v>
      </c>
      <c r="D81" s="255">
        <v>11024495.749999998</v>
      </c>
      <c r="E81" s="256">
        <f t="shared" si="16"/>
        <v>0.51302972451021445</v>
      </c>
      <c r="F81" s="255">
        <v>6578374.8200000003</v>
      </c>
      <c r="G81" s="256">
        <f t="shared" si="17"/>
        <v>0.245415960455139</v>
      </c>
      <c r="H81" s="255">
        <v>6383400.2400000002</v>
      </c>
      <c r="I81" s="256">
        <f t="shared" si="18"/>
        <v>0.20687711433756809</v>
      </c>
      <c r="J81" s="255">
        <v>7754843.96</v>
      </c>
      <c r="K81" s="256">
        <f t="shared" si="19"/>
        <v>0.26014236699094262</v>
      </c>
      <c r="L81" s="255">
        <v>5330000</v>
      </c>
      <c r="M81" s="256">
        <f t="shared" si="20"/>
        <v>0.17056000000000002</v>
      </c>
      <c r="N81" s="257">
        <v>7608617.8899999997</v>
      </c>
      <c r="O81" s="258">
        <f t="shared" si="21"/>
        <v>0.23303576998468606</v>
      </c>
      <c r="P81" s="257">
        <v>5489000</v>
      </c>
      <c r="Q81" s="199">
        <f t="shared" si="22"/>
        <v>0.1725558000628733</v>
      </c>
      <c r="R81" s="257">
        <v>12296750.719999999</v>
      </c>
      <c r="S81" s="199">
        <f t="shared" si="23"/>
        <v>0.36575701130279592</v>
      </c>
      <c r="T81" s="257">
        <v>15347125.99</v>
      </c>
      <c r="U81" s="199">
        <f t="shared" si="24"/>
        <v>0.44382792995748865</v>
      </c>
      <c r="V81" s="259">
        <v>24886206.350000001</v>
      </c>
      <c r="W81" s="199">
        <f t="shared" si="25"/>
        <v>0.68088115868673049</v>
      </c>
      <c r="X81" s="257">
        <v>15077864.909999998</v>
      </c>
      <c r="Y81" s="199">
        <f t="shared" si="26"/>
        <v>0.38131265262252789</v>
      </c>
      <c r="Z81" s="257">
        <v>10275112.940000001</v>
      </c>
      <c r="AA81" s="199">
        <f t="shared" si="27"/>
        <v>0.2425377774105984</v>
      </c>
      <c r="BA81" s="189"/>
      <c r="BB81" s="189"/>
      <c r="BC81" s="189"/>
      <c r="BD81" s="189"/>
      <c r="BE81" s="189"/>
      <c r="BF81" s="189"/>
      <c r="BG81" s="189"/>
      <c r="BH81" s="189"/>
      <c r="BI81" s="189"/>
      <c r="BJ81" s="189"/>
      <c r="BK81" s="189"/>
      <c r="BL81" s="189"/>
      <c r="BM81" s="189"/>
      <c r="BN81" s="189"/>
      <c r="BO81" s="189"/>
      <c r="BP81" s="189"/>
      <c r="BQ81" s="189"/>
      <c r="BR81" s="189"/>
      <c r="BS81" s="189"/>
      <c r="BT81" s="189"/>
      <c r="BU81" s="189"/>
      <c r="BV81" s="189"/>
      <c r="BW81" s="189"/>
      <c r="BX81" s="189"/>
      <c r="BY81" s="189"/>
      <c r="BZ81" s="189"/>
      <c r="CA81" s="189"/>
      <c r="CB81" s="189"/>
      <c r="CC81" s="189"/>
      <c r="CD81" s="189"/>
      <c r="CE81" s="189"/>
      <c r="CF81" s="189"/>
      <c r="CG81" s="189"/>
      <c r="CH81" s="189"/>
      <c r="CI81" s="189"/>
      <c r="CJ81" s="189"/>
      <c r="CK81" s="189"/>
      <c r="CL81" s="189"/>
      <c r="CM81" s="189"/>
      <c r="CN81" s="189"/>
      <c r="CO81" s="189"/>
      <c r="CP81" s="189"/>
      <c r="CQ81" s="189"/>
      <c r="CR81" s="189"/>
      <c r="CS81" s="189"/>
      <c r="CT81" s="189"/>
      <c r="CU81" s="189"/>
      <c r="CV81" s="189"/>
      <c r="CW81" s="189"/>
      <c r="CX81" s="189"/>
      <c r="CY81" s="189"/>
      <c r="CZ81" s="189"/>
      <c r="DA81" s="189"/>
      <c r="DB81" s="189"/>
      <c r="DC81" s="189"/>
      <c r="DD81" s="189"/>
      <c r="DE81" s="189"/>
      <c r="DF81" s="189"/>
      <c r="DG81" s="189"/>
      <c r="DH81" s="189"/>
      <c r="DI81" s="189"/>
      <c r="DJ81" s="189"/>
    </row>
    <row r="82" spans="1:116">
      <c r="A82" s="181"/>
      <c r="B82" s="181"/>
      <c r="C82" s="240" t="str">
        <f>IF([3]MasterSheet!$A$1=1,[3]MasterSheet!C239,[3]MasterSheet!B239)</f>
        <v>Otplata glavnice nerezidentima</v>
      </c>
      <c r="D82" s="260">
        <v>0</v>
      </c>
      <c r="E82" s="261">
        <f t="shared" si="16"/>
        <v>0</v>
      </c>
      <c r="F82" s="260">
        <v>0</v>
      </c>
      <c r="G82" s="261">
        <f t="shared" si="17"/>
        <v>0</v>
      </c>
      <c r="H82" s="212">
        <v>0</v>
      </c>
      <c r="I82" s="261">
        <f t="shared" si="18"/>
        <v>0</v>
      </c>
      <c r="J82" s="260">
        <v>0</v>
      </c>
      <c r="K82" s="261">
        <f t="shared" si="19"/>
        <v>0</v>
      </c>
      <c r="L82" s="260">
        <v>0</v>
      </c>
      <c r="M82" s="261">
        <f t="shared" si="20"/>
        <v>0</v>
      </c>
      <c r="N82" s="204">
        <v>806645.45</v>
      </c>
      <c r="O82" s="262">
        <f t="shared" si="21"/>
        <v>2.4705833078101067E-2</v>
      </c>
      <c r="P82" s="204">
        <v>5000000</v>
      </c>
      <c r="Q82" s="206">
        <f t="shared" si="22"/>
        <v>0.15718327569946558</v>
      </c>
      <c r="R82" s="204">
        <v>1915776.82</v>
      </c>
      <c r="S82" s="206">
        <f t="shared" si="23"/>
        <v>5.6983248661511013E-2</v>
      </c>
      <c r="T82" s="204">
        <v>2744942.8</v>
      </c>
      <c r="U82" s="206">
        <f t="shared" si="24"/>
        <v>7.9381786633505869E-2</v>
      </c>
      <c r="V82" s="207">
        <v>2037836.9700000002</v>
      </c>
      <c r="W82" s="206">
        <f t="shared" si="25"/>
        <v>5.5754773461012319E-2</v>
      </c>
      <c r="X82" s="204">
        <v>2219731.71</v>
      </c>
      <c r="Y82" s="206">
        <f t="shared" si="26"/>
        <v>5.6136050528551917E-2</v>
      </c>
      <c r="Z82" s="204">
        <v>2914166.2800000003</v>
      </c>
      <c r="AA82" s="206">
        <f t="shared" si="27"/>
        <v>6.8787118612061854E-2</v>
      </c>
      <c r="BA82" s="189"/>
      <c r="BB82" s="189"/>
      <c r="BC82" s="189"/>
      <c r="BD82" s="189"/>
      <c r="BE82" s="189"/>
      <c r="BF82" s="189"/>
      <c r="BG82" s="189"/>
      <c r="BH82" s="189"/>
      <c r="BI82" s="189"/>
      <c r="BJ82" s="189"/>
      <c r="BK82" s="189"/>
      <c r="BL82" s="189"/>
      <c r="BM82" s="189"/>
      <c r="BN82" s="189"/>
      <c r="BO82" s="189"/>
      <c r="BP82" s="189"/>
      <c r="BQ82" s="189"/>
      <c r="BR82" s="189"/>
      <c r="BS82" s="189"/>
      <c r="BT82" s="189"/>
      <c r="BU82" s="189"/>
      <c r="BV82" s="189"/>
      <c r="BW82" s="189"/>
      <c r="BX82" s="189"/>
      <c r="BY82" s="189"/>
      <c r="BZ82" s="189"/>
      <c r="CA82" s="189"/>
      <c r="CB82" s="189"/>
      <c r="CC82" s="189"/>
      <c r="CD82" s="189"/>
      <c r="CE82" s="189"/>
      <c r="CF82" s="189"/>
      <c r="CG82" s="189"/>
      <c r="CH82" s="189"/>
      <c r="CI82" s="189"/>
      <c r="CJ82" s="189"/>
      <c r="CK82" s="189"/>
      <c r="CL82" s="189"/>
      <c r="CM82" s="189"/>
      <c r="CN82" s="189"/>
      <c r="CO82" s="189"/>
      <c r="CP82" s="189"/>
      <c r="CQ82" s="189"/>
      <c r="CR82" s="189"/>
      <c r="CS82" s="189"/>
      <c r="CT82" s="189"/>
      <c r="CU82" s="189"/>
      <c r="CV82" s="189"/>
      <c r="CW82" s="189"/>
      <c r="CX82" s="189"/>
      <c r="CY82" s="189"/>
      <c r="CZ82" s="189"/>
      <c r="DA82" s="189"/>
      <c r="DB82" s="189"/>
      <c r="DC82" s="189"/>
      <c r="DD82" s="189"/>
      <c r="DE82" s="189"/>
      <c r="DF82" s="189"/>
      <c r="DG82" s="189"/>
      <c r="DH82" s="189"/>
      <c r="DI82" s="189"/>
      <c r="DJ82" s="189"/>
    </row>
    <row r="83" spans="1:116" ht="13.5" thickBot="1">
      <c r="A83" s="181"/>
      <c r="B83" s="181"/>
      <c r="C83" s="240" t="str">
        <f>IF([3]MasterSheet!$A$1=1,[3]MasterSheet!C240,[3]MasterSheet!B240)</f>
        <v>Otplata  obaveza iz prethodnog perioda</v>
      </c>
      <c r="D83" s="263">
        <v>6204942.3400000008</v>
      </c>
      <c r="E83" s="264">
        <v>0</v>
      </c>
      <c r="F83" s="263">
        <v>14937422.99</v>
      </c>
      <c r="G83" s="264">
        <v>0</v>
      </c>
      <c r="H83" s="263">
        <v>13574577.060000002</v>
      </c>
      <c r="I83" s="264">
        <v>0</v>
      </c>
      <c r="J83" s="263">
        <v>28806572.18</v>
      </c>
      <c r="K83" s="264">
        <v>0</v>
      </c>
      <c r="L83" s="263">
        <v>37474902.359999999</v>
      </c>
      <c r="M83" s="264">
        <v>0</v>
      </c>
      <c r="N83" s="263">
        <v>41286910.969999999</v>
      </c>
      <c r="O83" s="264">
        <v>0</v>
      </c>
      <c r="P83" s="263">
        <v>44461812.849999994</v>
      </c>
      <c r="Q83" s="265">
        <f t="shared" si="22"/>
        <v>1.3977306774599181</v>
      </c>
      <c r="R83" s="210">
        <v>52693444.259999998</v>
      </c>
      <c r="S83" s="231">
        <f t="shared" si="23"/>
        <v>1.5673243384889946</v>
      </c>
      <c r="T83" s="260">
        <v>0</v>
      </c>
      <c r="U83" s="231">
        <f t="shared" si="24"/>
        <v>0</v>
      </c>
      <c r="V83" s="207">
        <v>0</v>
      </c>
      <c r="W83" s="231">
        <f t="shared" si="25"/>
        <v>0</v>
      </c>
      <c r="X83" s="263">
        <v>0</v>
      </c>
      <c r="Y83" s="231">
        <f t="shared" si="26"/>
        <v>0</v>
      </c>
      <c r="Z83" s="260">
        <v>0</v>
      </c>
      <c r="AA83" s="231">
        <f t="shared" si="27"/>
        <v>0</v>
      </c>
      <c r="BA83" s="189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89"/>
      <c r="CA83" s="189"/>
      <c r="CB83" s="189"/>
      <c r="CC83" s="189"/>
      <c r="CD83" s="189"/>
      <c r="CE83" s="189"/>
      <c r="CF83" s="189"/>
      <c r="CG83" s="189"/>
      <c r="CH83" s="189"/>
      <c r="CI83" s="189"/>
      <c r="CJ83" s="189"/>
      <c r="CK83" s="189"/>
      <c r="CL83" s="189"/>
      <c r="CM83" s="189"/>
      <c r="CN83" s="189"/>
      <c r="CO83" s="189"/>
      <c r="CP83" s="189"/>
      <c r="CQ83" s="189"/>
      <c r="CR83" s="189"/>
      <c r="CS83" s="189"/>
      <c r="CT83" s="189"/>
      <c r="CU83" s="189"/>
      <c r="CV83" s="189"/>
      <c r="CW83" s="189"/>
      <c r="CX83" s="189"/>
      <c r="CY83" s="189"/>
      <c r="CZ83" s="189"/>
      <c r="DA83" s="189"/>
      <c r="DB83" s="189"/>
      <c r="DC83" s="189"/>
      <c r="DD83" s="189"/>
      <c r="DE83" s="189"/>
      <c r="DF83" s="189"/>
      <c r="DG83" s="189"/>
      <c r="DH83" s="189"/>
      <c r="DI83" s="189"/>
      <c r="DJ83" s="189"/>
    </row>
    <row r="84" spans="1:116" ht="14.25" thickTop="1" thickBot="1">
      <c r="A84" s="181"/>
      <c r="B84" s="181"/>
      <c r="C84" s="252" t="str">
        <f>IF([3]MasterSheet!$A$1=1,[3]MasterSheet!C245,[3]MasterSheet!B242)</f>
        <v>Nedostajuća sredstva</v>
      </c>
      <c r="D84" s="236">
        <f>+D77-D80</f>
        <v>-20368267.779800024</v>
      </c>
      <c r="E84" s="194">
        <f t="shared" si="16"/>
        <v>-0.94784623666992529</v>
      </c>
      <c r="F84" s="236">
        <f>+F77-F80</f>
        <v>-32311457.630000025</v>
      </c>
      <c r="G84" s="194">
        <f t="shared" si="17"/>
        <v>-1.2054265110986764</v>
      </c>
      <c r="H84" s="236">
        <f>+H77-H80</f>
        <v>-52075709.049999945</v>
      </c>
      <c r="I84" s="194">
        <f t="shared" si="18"/>
        <v>-1.6877012266658005</v>
      </c>
      <c r="J84" s="236">
        <f>+J77-J80</f>
        <v>-72967091.670000002</v>
      </c>
      <c r="K84" s="194">
        <f t="shared" si="19"/>
        <v>-2.4477387343173436</v>
      </c>
      <c r="L84" s="236">
        <f>+L77-L80</f>
        <v>-48870515.643999964</v>
      </c>
      <c r="M84" s="194">
        <f t="shared" si="20"/>
        <v>-1.5638565006079987</v>
      </c>
      <c r="N84" s="236">
        <f>+N77-N80</f>
        <v>-36206205.150000021</v>
      </c>
      <c r="O84" s="237">
        <f t="shared" si="21"/>
        <v>-1.1089189938744264</v>
      </c>
      <c r="P84" s="236">
        <f>+P77-P80</f>
        <v>-35524443.326666728</v>
      </c>
      <c r="Q84" s="194">
        <f t="shared" si="22"/>
        <v>-1.1167696738970994</v>
      </c>
      <c r="R84" s="236">
        <f>+R78-R80</f>
        <v>-27718615.580000006</v>
      </c>
      <c r="S84" s="194">
        <f t="shared" si="23"/>
        <v>-0.82446804223676395</v>
      </c>
      <c r="T84" s="236">
        <f>+T78-T80+T89</f>
        <v>-22820262.220000003</v>
      </c>
      <c r="U84" s="194">
        <f t="shared" si="24"/>
        <v>-0.6599456959426242</v>
      </c>
      <c r="V84" s="236">
        <f>+V78-V80+V89</f>
        <v>-27670976.159999993</v>
      </c>
      <c r="W84" s="194">
        <f t="shared" si="25"/>
        <v>-0.75707185116279052</v>
      </c>
      <c r="X84" s="236">
        <f>+X78-X80</f>
        <v>-7112549.8000000194</v>
      </c>
      <c r="Y84" s="194">
        <f t="shared" si="26"/>
        <v>-0.17987329421880582</v>
      </c>
      <c r="Z84" s="236">
        <f>+Z78-Z80</f>
        <v>-5342112.6799999028</v>
      </c>
      <c r="AA84" s="194">
        <f t="shared" si="27"/>
        <v>-0.1260973133482805</v>
      </c>
      <c r="BA84" s="189"/>
      <c r="BB84" s="189"/>
      <c r="BC84" s="189"/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89"/>
      <c r="BU84" s="189"/>
      <c r="BV84" s="189"/>
      <c r="BW84" s="189"/>
      <c r="BX84" s="189"/>
      <c r="BY84" s="189"/>
      <c r="BZ84" s="189"/>
      <c r="CA84" s="189"/>
      <c r="CB84" s="189"/>
      <c r="CC84" s="189"/>
      <c r="CD84" s="189"/>
      <c r="CE84" s="189"/>
      <c r="CF84" s="189"/>
      <c r="CG84" s="189"/>
      <c r="CH84" s="189"/>
      <c r="CI84" s="189"/>
      <c r="CJ84" s="189"/>
      <c r="CK84" s="189"/>
      <c r="CL84" s="189"/>
      <c r="CM84" s="189"/>
      <c r="CN84" s="189"/>
      <c r="CO84" s="189"/>
      <c r="CP84" s="189"/>
      <c r="CQ84" s="189"/>
      <c r="CR84" s="189"/>
      <c r="CS84" s="189"/>
      <c r="CT84" s="189"/>
      <c r="CU84" s="189"/>
      <c r="CV84" s="189"/>
      <c r="CW84" s="189"/>
      <c r="CX84" s="189"/>
      <c r="CY84" s="189"/>
      <c r="CZ84" s="189"/>
      <c r="DA84" s="189"/>
      <c r="DB84" s="189"/>
      <c r="DC84" s="189"/>
      <c r="DD84" s="189"/>
      <c r="DE84" s="189"/>
      <c r="DF84" s="189"/>
      <c r="DG84" s="189"/>
      <c r="DH84" s="189"/>
      <c r="DI84" s="189"/>
      <c r="DJ84" s="189"/>
    </row>
    <row r="85" spans="1:116" ht="14.25" thickTop="1" thickBot="1">
      <c r="A85" s="181"/>
      <c r="B85" s="181"/>
      <c r="C85" s="252" t="str">
        <f>IF([3]MasterSheet!$A$1=1,[3]MasterSheet!C246,[3]MasterSheet!B243)</f>
        <v>Finansiranje</v>
      </c>
      <c r="D85" s="253">
        <f>SUM(D86:D89)+D42</f>
        <v>20368267.779800024</v>
      </c>
      <c r="E85" s="194">
        <f t="shared" si="16"/>
        <v>0.94784623666992529</v>
      </c>
      <c r="F85" s="253">
        <f>SUM(F86:F89)+F42</f>
        <v>32311457.623000003</v>
      </c>
      <c r="G85" s="194">
        <f t="shared" si="17"/>
        <v>1.2054265108375306</v>
      </c>
      <c r="H85" s="253">
        <f>SUM(H86:H89)+H42</f>
        <v>52075709.049999997</v>
      </c>
      <c r="I85" s="194">
        <f t="shared" si="18"/>
        <v>1.6877012266658022</v>
      </c>
      <c r="J85" s="253">
        <f>SUM(J86:J89)+J42</f>
        <v>72967091.670000002</v>
      </c>
      <c r="K85" s="194">
        <f t="shared" si="19"/>
        <v>2.4477387343173436</v>
      </c>
      <c r="L85" s="253">
        <f>SUM(L86:L89)+L42</f>
        <v>48868638.455999956</v>
      </c>
      <c r="M85" s="194">
        <f t="shared" si="20"/>
        <v>1.5637964305919985</v>
      </c>
      <c r="N85" s="234">
        <f>SUM(N86:N89)+N42</f>
        <v>36206205.149999999</v>
      </c>
      <c r="O85" s="237">
        <f t="shared" si="21"/>
        <v>1.1089189938744257</v>
      </c>
      <c r="P85" s="234">
        <f>SUM(P86:P89)+P42</f>
        <v>35516918.240000002</v>
      </c>
      <c r="Q85" s="194">
        <f t="shared" si="22"/>
        <v>1.1165331103426597</v>
      </c>
      <c r="R85" s="234">
        <f>SUM(R86:R89)+R76</f>
        <v>27717959.70000013</v>
      </c>
      <c r="S85" s="194">
        <f t="shared" si="23"/>
        <v>0.82444853361094972</v>
      </c>
      <c r="T85" s="234">
        <f>SUM(T86:T88)+T90+T76</f>
        <v>22820262.220000003</v>
      </c>
      <c r="U85" s="194">
        <f t="shared" si="24"/>
        <v>0.6599456959426242</v>
      </c>
      <c r="V85" s="234">
        <f>SUM(V86:V88)+V90+V76</f>
        <v>27670976.159999989</v>
      </c>
      <c r="W85" s="194">
        <f t="shared" si="25"/>
        <v>0.75707185116279041</v>
      </c>
      <c r="X85" s="234">
        <f>SUM(X86:X89)+X90</f>
        <v>7112549.8000000194</v>
      </c>
      <c r="Y85" s="194">
        <f t="shared" si="26"/>
        <v>0.17987329421880582</v>
      </c>
      <c r="Z85" s="512">
        <f>+SUM(Z86:Z90)+Z76</f>
        <v>5342112.6799999028</v>
      </c>
      <c r="AA85" s="194">
        <f t="shared" si="27"/>
        <v>0.1260973133482805</v>
      </c>
      <c r="BA85" s="189"/>
      <c r="BB85" s="189"/>
      <c r="BC85" s="189"/>
      <c r="BD85" s="189"/>
      <c r="BE85" s="189"/>
      <c r="BF85" s="189"/>
      <c r="BG85" s="189"/>
      <c r="BH85" s="189"/>
      <c r="BI85" s="189"/>
      <c r="BJ85" s="189"/>
      <c r="BK85" s="189"/>
      <c r="BL85" s="189"/>
      <c r="BM85" s="189"/>
      <c r="BN85" s="189"/>
      <c r="BO85" s="189"/>
      <c r="BP85" s="189"/>
      <c r="BQ85" s="189"/>
      <c r="BR85" s="189"/>
      <c r="BS85" s="189"/>
      <c r="BT85" s="189"/>
      <c r="BU85" s="189"/>
      <c r="BV85" s="189"/>
      <c r="BW85" s="189"/>
      <c r="BX85" s="189"/>
      <c r="BY85" s="189"/>
      <c r="BZ85" s="189"/>
      <c r="CA85" s="189"/>
      <c r="CB85" s="189"/>
      <c r="CC85" s="189"/>
      <c r="CD85" s="189"/>
      <c r="CE85" s="189"/>
      <c r="CF85" s="189"/>
      <c r="CG85" s="189"/>
      <c r="CH85" s="189"/>
      <c r="CI85" s="189"/>
      <c r="CJ85" s="189"/>
      <c r="CK85" s="189"/>
      <c r="CL85" s="189"/>
      <c r="CM85" s="189"/>
      <c r="CN85" s="189"/>
      <c r="CO85" s="189"/>
      <c r="CP85" s="189"/>
      <c r="CQ85" s="189"/>
      <c r="CR85" s="189"/>
      <c r="CS85" s="189"/>
      <c r="CT85" s="189"/>
      <c r="CU85" s="189"/>
      <c r="CV85" s="189"/>
      <c r="CW85" s="189"/>
      <c r="CX85" s="189"/>
      <c r="CY85" s="189"/>
      <c r="CZ85" s="189"/>
      <c r="DA85" s="189"/>
      <c r="DB85" s="189"/>
      <c r="DC85" s="189"/>
      <c r="DD85" s="189"/>
      <c r="DE85" s="189"/>
      <c r="DF85" s="189"/>
      <c r="DG85" s="189"/>
      <c r="DH85" s="189"/>
      <c r="DI85" s="189"/>
      <c r="DJ85" s="189"/>
    </row>
    <row r="86" spans="1:116" ht="13.5" thickTop="1">
      <c r="A86" s="181"/>
      <c r="B86" s="181"/>
      <c r="C86" s="266" t="str">
        <f>IF([3]MasterSheet!$A$1=1,[3]MasterSheet!C244,[3]MasterSheet!B244)</f>
        <v>Pozajmice i krediti iz domaćih izvora</v>
      </c>
      <c r="D86" s="255">
        <v>5893589.3600000003</v>
      </c>
      <c r="E86" s="267">
        <f t="shared" si="16"/>
        <v>0.27426075480478385</v>
      </c>
      <c r="F86" s="255">
        <v>10707710</v>
      </c>
      <c r="G86" s="267">
        <f t="shared" si="17"/>
        <v>0.39946689050550271</v>
      </c>
      <c r="H86" s="255">
        <v>17313887</v>
      </c>
      <c r="I86" s="267">
        <f t="shared" si="18"/>
        <v>0.56111897199896299</v>
      </c>
      <c r="J86" s="255">
        <v>17528712.059999999</v>
      </c>
      <c r="K86" s="267">
        <f t="shared" si="19"/>
        <v>0.58801449379402881</v>
      </c>
      <c r="L86" s="255">
        <v>22050000</v>
      </c>
      <c r="M86" s="267">
        <f t="shared" si="20"/>
        <v>0.7056</v>
      </c>
      <c r="N86" s="257">
        <v>19346883.030000001</v>
      </c>
      <c r="O86" s="268">
        <f t="shared" si="21"/>
        <v>0.59255384471669226</v>
      </c>
      <c r="P86" s="257">
        <v>7816189.2200000007</v>
      </c>
      <c r="Q86" s="199">
        <f t="shared" si="22"/>
        <v>0.24571484501729018</v>
      </c>
      <c r="R86" s="257">
        <v>5945795.6100001307</v>
      </c>
      <c r="S86" s="199">
        <f t="shared" si="23"/>
        <v>0.17685293307555414</v>
      </c>
      <c r="T86" s="257">
        <v>5163551.93</v>
      </c>
      <c r="U86" s="199">
        <f t="shared" si="24"/>
        <v>0.14932623644408455</v>
      </c>
      <c r="V86" s="259">
        <v>43804891.43</v>
      </c>
      <c r="W86" s="199">
        <f t="shared" si="25"/>
        <v>1.1984922415868673</v>
      </c>
      <c r="X86" s="257">
        <v>11428013.42</v>
      </c>
      <c r="Y86" s="199">
        <f t="shared" si="26"/>
        <v>0.28900949420868949</v>
      </c>
      <c r="Z86" s="257">
        <v>4315187.05</v>
      </c>
      <c r="AA86" s="199">
        <f t="shared" si="27"/>
        <v>0.10185735984893189</v>
      </c>
      <c r="AD86" s="525"/>
      <c r="BA86" s="189"/>
      <c r="BB86" s="189"/>
      <c r="BC86" s="189"/>
      <c r="BD86" s="189"/>
      <c r="BE86" s="189"/>
      <c r="BF86" s="189"/>
      <c r="BG86" s="189"/>
      <c r="BH86" s="189"/>
      <c r="BI86" s="189"/>
      <c r="BJ86" s="189"/>
      <c r="BK86" s="189"/>
      <c r="BL86" s="189"/>
      <c r="BM86" s="189"/>
      <c r="BN86" s="189"/>
      <c r="BO86" s="189"/>
      <c r="BP86" s="189"/>
      <c r="BQ86" s="189"/>
      <c r="BR86" s="189"/>
      <c r="BS86" s="189"/>
      <c r="BT86" s="189"/>
      <c r="BU86" s="189"/>
      <c r="BV86" s="189"/>
      <c r="BW86" s="189"/>
      <c r="BX86" s="189"/>
      <c r="BY86" s="189"/>
      <c r="BZ86" s="189"/>
      <c r="CA86" s="189"/>
      <c r="CB86" s="189"/>
      <c r="CC86" s="189"/>
      <c r="CD86" s="189"/>
      <c r="CE86" s="189"/>
      <c r="CF86" s="189"/>
      <c r="CG86" s="189"/>
      <c r="CH86" s="189"/>
      <c r="CI86" s="189"/>
      <c r="CJ86" s="189"/>
      <c r="CK86" s="189"/>
      <c r="CL86" s="189"/>
      <c r="CM86" s="189"/>
      <c r="CN86" s="189"/>
      <c r="CO86" s="189"/>
      <c r="CP86" s="189"/>
      <c r="CQ86" s="189"/>
      <c r="CR86" s="189"/>
      <c r="CS86" s="189"/>
      <c r="CT86" s="189"/>
      <c r="CU86" s="189"/>
      <c r="CV86" s="189"/>
      <c r="CW86" s="189"/>
      <c r="CX86" s="189"/>
      <c r="CY86" s="189"/>
      <c r="CZ86" s="189"/>
      <c r="DA86" s="189"/>
      <c r="DB86" s="189"/>
      <c r="DC86" s="189"/>
      <c r="DD86" s="189"/>
      <c r="DE86" s="189"/>
      <c r="DF86" s="189"/>
      <c r="DG86" s="189"/>
      <c r="DH86" s="189"/>
      <c r="DI86" s="189"/>
      <c r="DJ86" s="189"/>
    </row>
    <row r="87" spans="1:116">
      <c r="A87" s="181"/>
      <c r="B87" s="181"/>
      <c r="C87" s="269" t="str">
        <f>IF([3]MasterSheet!$A$1=1,[3]MasterSheet!C245,[3]MasterSheet!B245)</f>
        <v>Pozajmice i krediti iz inostranih izvora</v>
      </c>
      <c r="D87" s="260">
        <v>0</v>
      </c>
      <c r="E87" s="205">
        <f t="shared" si="16"/>
        <v>0</v>
      </c>
      <c r="F87" s="260">
        <v>0</v>
      </c>
      <c r="G87" s="205">
        <f t="shared" si="17"/>
        <v>0</v>
      </c>
      <c r="H87" s="260">
        <v>0</v>
      </c>
      <c r="I87" s="205">
        <f t="shared" si="18"/>
        <v>0</v>
      </c>
      <c r="J87" s="260">
        <v>0</v>
      </c>
      <c r="K87" s="205">
        <f t="shared" si="19"/>
        <v>0</v>
      </c>
      <c r="L87" s="260">
        <v>0</v>
      </c>
      <c r="M87" s="205">
        <f t="shared" si="20"/>
        <v>0</v>
      </c>
      <c r="N87" s="204">
        <v>2067504.4</v>
      </c>
      <c r="O87" s="270">
        <f t="shared" si="21"/>
        <v>6.3323258805513011E-2</v>
      </c>
      <c r="P87" s="204">
        <v>0</v>
      </c>
      <c r="Q87" s="206">
        <f t="shared" si="22"/>
        <v>0</v>
      </c>
      <c r="R87" s="204">
        <v>2913870.6</v>
      </c>
      <c r="S87" s="206">
        <f t="shared" si="23"/>
        <v>8.6670749553837009E-2</v>
      </c>
      <c r="T87" s="204">
        <v>4579292</v>
      </c>
      <c r="U87" s="206">
        <f t="shared" si="24"/>
        <v>0.13242985627114723</v>
      </c>
      <c r="V87" s="207">
        <v>3170050.35</v>
      </c>
      <c r="W87" s="206">
        <f t="shared" si="25"/>
        <v>8.6731883720930242E-2</v>
      </c>
      <c r="X87" s="204">
        <v>200100</v>
      </c>
      <c r="Y87" s="206">
        <f t="shared" si="26"/>
        <v>5.0604420616053823E-3</v>
      </c>
      <c r="Z87" s="204">
        <v>572822.44999999995</v>
      </c>
      <c r="AA87" s="206">
        <f t="shared" si="27"/>
        <v>1.3521124749203351E-2</v>
      </c>
      <c r="BA87" s="189"/>
      <c r="BB87" s="189"/>
      <c r="BC87" s="189"/>
      <c r="BD87" s="189"/>
      <c r="BE87" s="189"/>
      <c r="BF87" s="189"/>
      <c r="BG87" s="189"/>
      <c r="BH87" s="189"/>
      <c r="BI87" s="189"/>
      <c r="BJ87" s="189"/>
      <c r="BK87" s="189"/>
      <c r="BL87" s="189"/>
      <c r="BM87" s="189"/>
      <c r="BN87" s="189"/>
      <c r="BO87" s="189"/>
      <c r="BP87" s="189"/>
      <c r="BQ87" s="189"/>
      <c r="BR87" s="189"/>
      <c r="BS87" s="189"/>
      <c r="BT87" s="189"/>
      <c r="BU87" s="189"/>
      <c r="BV87" s="189"/>
      <c r="BW87" s="189"/>
      <c r="BX87" s="189"/>
      <c r="BY87" s="189"/>
      <c r="BZ87" s="189"/>
      <c r="CA87" s="189"/>
      <c r="CB87" s="189"/>
      <c r="CC87" s="189"/>
      <c r="CD87" s="189"/>
      <c r="CE87" s="189"/>
      <c r="CF87" s="189"/>
      <c r="CG87" s="189"/>
      <c r="CH87" s="189"/>
      <c r="CI87" s="189"/>
      <c r="CJ87" s="189"/>
      <c r="CK87" s="189"/>
      <c r="CL87" s="189"/>
      <c r="CM87" s="189"/>
      <c r="CN87" s="189"/>
      <c r="CO87" s="189"/>
      <c r="CP87" s="189"/>
      <c r="CQ87" s="189"/>
      <c r="CR87" s="189"/>
      <c r="CS87" s="189"/>
      <c r="CT87" s="189"/>
      <c r="CU87" s="189"/>
      <c r="CV87" s="189"/>
      <c r="CW87" s="189"/>
      <c r="CX87" s="189"/>
      <c r="CY87" s="189"/>
      <c r="CZ87" s="189"/>
      <c r="DA87" s="189"/>
      <c r="DB87" s="189"/>
      <c r="DC87" s="189"/>
      <c r="DD87" s="189"/>
      <c r="DE87" s="189"/>
      <c r="DF87" s="189"/>
      <c r="DG87" s="189"/>
      <c r="DH87" s="189"/>
      <c r="DI87" s="189"/>
      <c r="DJ87" s="189"/>
    </row>
    <row r="88" spans="1:116">
      <c r="A88" s="181"/>
      <c r="B88" s="181"/>
      <c r="C88" s="240" t="s">
        <v>123</v>
      </c>
      <c r="D88" s="260">
        <v>0</v>
      </c>
      <c r="E88" s="205">
        <f t="shared" si="16"/>
        <v>0</v>
      </c>
      <c r="F88" s="260">
        <v>78586670</v>
      </c>
      <c r="G88" s="205">
        <f t="shared" si="17"/>
        <v>2.9317914568177579</v>
      </c>
      <c r="H88" s="212">
        <v>13738634</v>
      </c>
      <c r="I88" s="205">
        <f t="shared" si="18"/>
        <v>0.44524999999999998</v>
      </c>
      <c r="J88" s="260">
        <v>22730850.149999999</v>
      </c>
      <c r="K88" s="205">
        <f t="shared" si="19"/>
        <v>0.76252432572962092</v>
      </c>
      <c r="L88" s="260">
        <v>22290000</v>
      </c>
      <c r="M88" s="205">
        <f t="shared" si="20"/>
        <v>0.71328000000000003</v>
      </c>
      <c r="N88" s="204">
        <v>11633716.220000001</v>
      </c>
      <c r="O88" s="270">
        <f>+N87/$N$9*100</f>
        <v>6.3323258805513011E-2</v>
      </c>
      <c r="P88" s="204">
        <v>10530729.020000001</v>
      </c>
      <c r="Q88" s="206">
        <f t="shared" si="22"/>
        <v>0.33105089657340464</v>
      </c>
      <c r="R88" s="204">
        <v>14834043.460000001</v>
      </c>
      <c r="S88" s="206">
        <f t="shared" si="23"/>
        <v>0.441226753718025</v>
      </c>
      <c r="T88" s="271">
        <v>7853495.3499999996</v>
      </c>
      <c r="U88" s="206">
        <f t="shared" si="24"/>
        <v>0.2271174802625871</v>
      </c>
      <c r="V88" s="271">
        <v>1832083.79</v>
      </c>
      <c r="W88" s="206">
        <f t="shared" si="25"/>
        <v>5.0125411491108066E-2</v>
      </c>
      <c r="X88" s="204">
        <v>6912274.6999999993</v>
      </c>
      <c r="Y88" s="206">
        <f t="shared" si="26"/>
        <v>0.17480842395427645</v>
      </c>
      <c r="Z88" s="204">
        <v>3081682.36</v>
      </c>
      <c r="AA88" s="206">
        <f t="shared" si="27"/>
        <v>7.2741233565443181E-2</v>
      </c>
      <c r="BA88" s="189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9"/>
      <c r="BM88" s="189"/>
      <c r="BN88" s="189"/>
      <c r="BO88" s="189"/>
      <c r="BP88" s="189"/>
      <c r="BQ88" s="189"/>
      <c r="BR88" s="189"/>
      <c r="BS88" s="189"/>
      <c r="BT88" s="189"/>
      <c r="BU88" s="189"/>
      <c r="BV88" s="189"/>
      <c r="BW88" s="189"/>
      <c r="BX88" s="189"/>
      <c r="BY88" s="189"/>
      <c r="BZ88" s="189"/>
      <c r="CA88" s="189"/>
      <c r="CB88" s="189"/>
      <c r="CC88" s="189"/>
      <c r="CD88" s="189"/>
      <c r="CE88" s="189"/>
      <c r="CF88" s="189"/>
      <c r="CG88" s="189"/>
      <c r="CH88" s="189"/>
      <c r="CI88" s="189"/>
      <c r="CJ88" s="189"/>
      <c r="CK88" s="189"/>
      <c r="CL88" s="189"/>
      <c r="CM88" s="189"/>
      <c r="CN88" s="189"/>
      <c r="CO88" s="189"/>
      <c r="CP88" s="189"/>
      <c r="CQ88" s="189"/>
      <c r="CR88" s="189"/>
      <c r="CS88" s="189"/>
      <c r="CT88" s="189"/>
      <c r="CU88" s="189"/>
      <c r="CV88" s="189"/>
      <c r="CW88" s="189"/>
      <c r="CX88" s="189"/>
      <c r="CY88" s="189"/>
      <c r="CZ88" s="189"/>
      <c r="DA88" s="189"/>
      <c r="DB88" s="189"/>
      <c r="DC88" s="189"/>
      <c r="DD88" s="189"/>
      <c r="DE88" s="189"/>
      <c r="DF88" s="189"/>
      <c r="DG88" s="189"/>
      <c r="DH88" s="189"/>
      <c r="DI88" s="189"/>
      <c r="DJ88" s="189"/>
    </row>
    <row r="89" spans="1:116" ht="13.5" thickBot="1">
      <c r="A89" s="181"/>
      <c r="B89" s="181"/>
      <c r="C89" s="272" t="str">
        <f>IF([3]MasterSheet!$A$1=1,[3]MasterSheet!C248,[3]MasterSheet!B248)</f>
        <v>Korišćenje depozita lokalne samouprave</v>
      </c>
      <c r="D89" s="273">
        <v>13420905.799800023</v>
      </c>
      <c r="E89" s="274">
        <f>+D89/$D$9*100</f>
        <v>0.62454771277397847</v>
      </c>
      <c r="F89" s="273">
        <v>-58543488.226999998</v>
      </c>
      <c r="G89" s="274">
        <f t="shared" si="17"/>
        <v>-2.1840510437231857</v>
      </c>
      <c r="H89" s="273">
        <v>19042704.050000001</v>
      </c>
      <c r="I89" s="274">
        <f t="shared" si="18"/>
        <v>0.61714752560280006</v>
      </c>
      <c r="J89" s="273">
        <v>27165395.09</v>
      </c>
      <c r="K89" s="274">
        <f t="shared" si="19"/>
        <v>0.91128463904729951</v>
      </c>
      <c r="L89" s="273">
        <v>1452863.78599995</v>
      </c>
      <c r="M89" s="274">
        <f t="shared" si="20"/>
        <v>4.64916411519984E-2</v>
      </c>
      <c r="N89" s="273">
        <f>-1094500+8409.95</f>
        <v>-1086090.05</v>
      </c>
      <c r="O89" s="275">
        <f t="shared" si="21"/>
        <v>-3.3264626339969371E-2</v>
      </c>
      <c r="P89" s="273">
        <v>14290000</v>
      </c>
      <c r="Q89" s="231">
        <f t="shared" si="22"/>
        <v>0.44922980194907264</v>
      </c>
      <c r="R89" s="273">
        <v>-3406607.2200000025</v>
      </c>
      <c r="S89" s="231">
        <f t="shared" si="23"/>
        <v>-0.10132680606781685</v>
      </c>
      <c r="T89" s="273">
        <v>-4373142.1375000142</v>
      </c>
      <c r="U89" s="231">
        <f t="shared" si="24"/>
        <v>-0.12646814938257364</v>
      </c>
      <c r="V89" s="273">
        <v>-11783771.454999957</v>
      </c>
      <c r="W89" s="231">
        <f t="shared" si="25"/>
        <v>-0.32240140779753645</v>
      </c>
      <c r="X89" s="273">
        <f>-X84-SUM(X86:X88)-X90</f>
        <v>-13175605.129999978</v>
      </c>
      <c r="Y89" s="231">
        <f t="shared" si="26"/>
        <v>-0.33320532927014257</v>
      </c>
      <c r="Z89" s="273">
        <f>-Z84-SUM(Z86:Z88)-Z90-Z76</f>
        <v>-8210690.7700000964</v>
      </c>
      <c r="AA89" s="231">
        <f t="shared" si="27"/>
        <v>-0.19380835052519996</v>
      </c>
      <c r="BA89" s="189"/>
      <c r="BB89" s="189"/>
      <c r="BC89" s="189"/>
      <c r="BD89" s="189"/>
      <c r="BE89" s="189"/>
      <c r="BF89" s="189"/>
      <c r="BG89" s="189"/>
      <c r="BH89" s="189"/>
      <c r="BI89" s="189"/>
      <c r="BJ89" s="189"/>
      <c r="BK89" s="189"/>
      <c r="BL89" s="189"/>
      <c r="BM89" s="189"/>
      <c r="BN89" s="189"/>
      <c r="BO89" s="189"/>
      <c r="BP89" s="189"/>
      <c r="BQ89" s="189"/>
      <c r="BR89" s="189"/>
      <c r="BS89" s="189"/>
      <c r="BT89" s="189"/>
      <c r="BU89" s="189"/>
      <c r="BV89" s="189"/>
      <c r="BW89" s="189"/>
      <c r="BX89" s="189"/>
      <c r="BY89" s="189"/>
      <c r="BZ89" s="189"/>
      <c r="CA89" s="189"/>
      <c r="CB89" s="189"/>
      <c r="CC89" s="189"/>
      <c r="CD89" s="189"/>
      <c r="CE89" s="189"/>
      <c r="CF89" s="189"/>
      <c r="CG89" s="189"/>
      <c r="CH89" s="189"/>
      <c r="CI89" s="189"/>
      <c r="CJ89" s="189"/>
      <c r="CK89" s="189"/>
      <c r="CL89" s="189"/>
      <c r="CM89" s="189"/>
      <c r="CN89" s="189"/>
      <c r="CO89" s="189"/>
      <c r="CP89" s="189"/>
      <c r="CQ89" s="189"/>
      <c r="CR89" s="189"/>
      <c r="CS89" s="189"/>
      <c r="CT89" s="189"/>
      <c r="CU89" s="189"/>
      <c r="CV89" s="189"/>
      <c r="CW89" s="189"/>
      <c r="CX89" s="189"/>
      <c r="CY89" s="189"/>
      <c r="CZ89" s="189"/>
      <c r="DA89" s="189"/>
      <c r="DB89" s="189"/>
      <c r="DC89" s="189"/>
      <c r="DD89" s="189"/>
      <c r="DE89" s="189"/>
      <c r="DF89" s="189"/>
      <c r="DG89" s="189"/>
      <c r="DH89" s="189"/>
      <c r="DI89" s="189"/>
      <c r="DJ89" s="189"/>
    </row>
    <row r="90" spans="1:116" ht="14.25" thickTop="1" thickBot="1">
      <c r="A90" s="181"/>
      <c r="B90" s="181"/>
      <c r="C90" s="252" t="str">
        <f>IF([3]MasterSheet!$A$1=1,[3]MasterSheet!C249,[3]MasterSheet!B249)</f>
        <v>Transferi iz budžeta CG</v>
      </c>
      <c r="D90" s="253">
        <v>0</v>
      </c>
      <c r="E90" s="194">
        <f t="shared" si="16"/>
        <v>0</v>
      </c>
      <c r="F90" s="253">
        <v>4522417</v>
      </c>
      <c r="G90" s="194">
        <f t="shared" si="17"/>
        <v>0.16871542622645028</v>
      </c>
      <c r="H90" s="253">
        <v>4417379</v>
      </c>
      <c r="I90" s="194">
        <f t="shared" si="18"/>
        <v>0.14316110318900699</v>
      </c>
      <c r="J90" s="253">
        <v>2574042.41</v>
      </c>
      <c r="K90" s="194">
        <f t="shared" si="19"/>
        <v>8.6348286145588732E-2</v>
      </c>
      <c r="L90" s="253">
        <v>1892155.33</v>
      </c>
      <c r="M90" s="194">
        <f t="shared" si="20"/>
        <v>6.0548970560000005E-2</v>
      </c>
      <c r="N90" s="193">
        <f>+'[3]Cental Budget_int'!N75</f>
        <v>1067088.02</v>
      </c>
      <c r="O90" s="237">
        <f t="shared" si="21"/>
        <v>3.2682634609494637E-2</v>
      </c>
      <c r="P90" s="193">
        <f>+'[3]Cental Budget_int'!P75</f>
        <v>847020.99</v>
      </c>
      <c r="Q90" s="194">
        <f t="shared" si="22"/>
        <v>2.6627506758880853E-2</v>
      </c>
      <c r="R90" s="193">
        <v>4705739.93</v>
      </c>
      <c r="S90" s="194">
        <f t="shared" si="23"/>
        <v>0.13996846906603214</v>
      </c>
      <c r="T90" s="193">
        <v>2801985.19</v>
      </c>
      <c r="U90" s="194">
        <f t="shared" si="24"/>
        <v>8.1031411839555798E-2</v>
      </c>
      <c r="V90" s="238">
        <v>1390107.69</v>
      </c>
      <c r="W90" s="194">
        <f t="shared" si="25"/>
        <v>3.803304213406293E-2</v>
      </c>
      <c r="X90" s="193">
        <v>1747766.81</v>
      </c>
      <c r="Y90" s="194">
        <f t="shared" si="26"/>
        <v>4.4200263264377121E-2</v>
      </c>
      <c r="Z90" s="193">
        <v>3634108.3600000003</v>
      </c>
      <c r="AA90" s="194">
        <f t="shared" si="27"/>
        <v>8.5780912545733515E-2</v>
      </c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9"/>
      <c r="BM90" s="189"/>
      <c r="BN90" s="189"/>
      <c r="BO90" s="189"/>
      <c r="BP90" s="189"/>
      <c r="BQ90" s="189"/>
      <c r="BR90" s="189"/>
      <c r="BS90" s="189"/>
      <c r="BT90" s="189"/>
      <c r="BU90" s="189"/>
      <c r="BV90" s="189"/>
      <c r="BW90" s="189"/>
      <c r="BX90" s="189"/>
      <c r="BY90" s="189"/>
      <c r="BZ90" s="189"/>
      <c r="CA90" s="189"/>
      <c r="CB90" s="189"/>
      <c r="CC90" s="189"/>
      <c r="CD90" s="189"/>
      <c r="CE90" s="189"/>
      <c r="CF90" s="189"/>
      <c r="CG90" s="189"/>
      <c r="CH90" s="189"/>
      <c r="CI90" s="189"/>
      <c r="CJ90" s="189"/>
      <c r="CK90" s="189"/>
      <c r="CL90" s="189"/>
      <c r="CM90" s="189"/>
      <c r="CN90" s="189"/>
      <c r="CO90" s="189"/>
      <c r="CP90" s="189"/>
      <c r="CQ90" s="189"/>
      <c r="CR90" s="189"/>
      <c r="CS90" s="189"/>
      <c r="CT90" s="189"/>
      <c r="CU90" s="189"/>
      <c r="CV90" s="189"/>
      <c r="CW90" s="189"/>
      <c r="CX90" s="189"/>
      <c r="CY90" s="189"/>
      <c r="CZ90" s="189"/>
      <c r="DA90" s="189"/>
      <c r="DB90" s="189"/>
      <c r="DC90" s="189"/>
      <c r="DD90" s="189"/>
      <c r="DE90" s="189"/>
      <c r="DF90" s="189"/>
      <c r="DG90" s="189"/>
      <c r="DH90" s="189"/>
      <c r="DI90" s="189"/>
      <c r="DJ90" s="189"/>
    </row>
    <row r="91" spans="1:116" ht="13.5" thickTop="1">
      <c r="A91" s="181"/>
      <c r="B91" s="181"/>
      <c r="C91" s="276" t="str">
        <f>IF([3]MasterSheet!$A$1=1,[3]MasterSheet!C250,[3]MasterSheet!B250)</f>
        <v>Izvor: Ministarstvo finansija Crne Gore</v>
      </c>
      <c r="D91" s="181"/>
      <c r="E91" s="181"/>
      <c r="F91" s="181"/>
      <c r="G91" s="181"/>
      <c r="H91" s="181"/>
      <c r="I91" s="277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BA91" s="189"/>
      <c r="BB91" s="189"/>
      <c r="BC91" s="189"/>
      <c r="BD91" s="189"/>
      <c r="BE91" s="189"/>
      <c r="BF91" s="189"/>
      <c r="BG91" s="189"/>
      <c r="BH91" s="189"/>
      <c r="BI91" s="189"/>
      <c r="BJ91" s="189"/>
      <c r="BK91" s="189"/>
      <c r="BL91" s="189"/>
      <c r="BM91" s="189"/>
      <c r="BN91" s="189"/>
      <c r="BO91" s="189"/>
      <c r="BP91" s="189"/>
      <c r="BQ91" s="189"/>
      <c r="BR91" s="189"/>
      <c r="BS91" s="189"/>
      <c r="BT91" s="189"/>
      <c r="BU91" s="189"/>
      <c r="BV91" s="189"/>
      <c r="BW91" s="189"/>
      <c r="BX91" s="189"/>
      <c r="BY91" s="189"/>
      <c r="BZ91" s="189"/>
      <c r="CA91" s="189"/>
      <c r="CB91" s="189"/>
      <c r="CC91" s="189"/>
      <c r="CD91" s="189"/>
      <c r="CE91" s="189"/>
      <c r="CF91" s="189"/>
      <c r="CG91" s="189"/>
      <c r="CH91" s="189"/>
      <c r="CI91" s="189"/>
      <c r="CJ91" s="189"/>
      <c r="CK91" s="189"/>
      <c r="CL91" s="189"/>
      <c r="CM91" s="189"/>
      <c r="CN91" s="189"/>
      <c r="CO91" s="189"/>
      <c r="CP91" s="189"/>
      <c r="CQ91" s="189"/>
      <c r="CR91" s="189"/>
      <c r="CS91" s="189"/>
      <c r="CT91" s="189"/>
      <c r="CU91" s="189"/>
      <c r="CV91" s="189"/>
      <c r="CW91" s="189"/>
      <c r="CX91" s="189"/>
      <c r="CY91" s="189"/>
      <c r="CZ91" s="189"/>
      <c r="DA91" s="189"/>
      <c r="DB91" s="189"/>
      <c r="DC91" s="189"/>
      <c r="DD91" s="189"/>
      <c r="DE91" s="189"/>
      <c r="DF91" s="189"/>
      <c r="DG91" s="189"/>
      <c r="DH91" s="189"/>
      <c r="DI91" s="189"/>
      <c r="DJ91" s="189"/>
    </row>
    <row r="92" spans="1:116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89"/>
      <c r="BL92" s="189"/>
      <c r="BM92" s="189"/>
      <c r="BN92" s="189"/>
      <c r="BO92" s="189"/>
      <c r="BP92" s="189"/>
      <c r="BQ92" s="189"/>
      <c r="BR92" s="189"/>
      <c r="BS92" s="189"/>
      <c r="BT92" s="189"/>
      <c r="BU92" s="189"/>
      <c r="BV92" s="189"/>
      <c r="BW92" s="189"/>
      <c r="BX92" s="189"/>
      <c r="BY92" s="189"/>
      <c r="BZ92" s="189"/>
      <c r="CA92" s="189"/>
      <c r="CB92" s="189"/>
      <c r="CC92" s="189"/>
      <c r="CD92" s="189"/>
      <c r="CE92" s="189"/>
      <c r="CF92" s="189"/>
      <c r="CG92" s="189"/>
      <c r="CH92" s="189"/>
      <c r="CI92" s="189"/>
      <c r="CJ92" s="189"/>
      <c r="CK92" s="189"/>
      <c r="CL92" s="189"/>
      <c r="CM92" s="189"/>
      <c r="CN92" s="189"/>
      <c r="CO92" s="189"/>
      <c r="CP92" s="189"/>
      <c r="CQ92" s="189"/>
      <c r="CR92" s="189"/>
      <c r="CS92" s="189"/>
      <c r="CT92" s="189"/>
      <c r="CU92" s="189"/>
      <c r="CV92" s="189"/>
      <c r="CW92" s="189"/>
      <c r="CX92" s="189"/>
      <c r="CY92" s="189"/>
      <c r="CZ92" s="189"/>
      <c r="DA92" s="189"/>
      <c r="DB92" s="189"/>
      <c r="DC92" s="189"/>
      <c r="DD92" s="189"/>
      <c r="DE92" s="189"/>
      <c r="DF92" s="189"/>
      <c r="DG92" s="189"/>
      <c r="DH92" s="189"/>
      <c r="DI92" s="189"/>
      <c r="DJ92" s="189"/>
    </row>
    <row r="93" spans="1:116">
      <c r="A93" s="181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278"/>
      <c r="O93" s="181"/>
      <c r="P93" s="181"/>
      <c r="Q93" s="181"/>
      <c r="R93" s="181"/>
      <c r="S93" s="181"/>
      <c r="T93" s="181"/>
      <c r="U93" s="181"/>
      <c r="V93" s="181"/>
      <c r="W93" s="181"/>
      <c r="BA93" s="181"/>
      <c r="BB93" s="181"/>
      <c r="BC93" s="189"/>
      <c r="BD93" s="189"/>
      <c r="BE93" s="189"/>
      <c r="BF93" s="189"/>
      <c r="BG93" s="189"/>
      <c r="BH93" s="189"/>
      <c r="BI93" s="189"/>
      <c r="BJ93" s="189"/>
      <c r="BK93" s="189"/>
      <c r="BL93" s="189"/>
      <c r="BM93" s="189"/>
      <c r="BN93" s="189"/>
      <c r="BO93" s="189"/>
      <c r="BP93" s="189"/>
      <c r="BQ93" s="189"/>
      <c r="BR93" s="189"/>
      <c r="BS93" s="189"/>
      <c r="BT93" s="189"/>
      <c r="BU93" s="189"/>
      <c r="BV93" s="189"/>
      <c r="BW93" s="189"/>
      <c r="BX93" s="189"/>
      <c r="BY93" s="189"/>
      <c r="BZ93" s="189"/>
      <c r="CA93" s="189"/>
      <c r="CB93" s="189"/>
      <c r="CC93" s="189"/>
      <c r="CD93" s="189"/>
      <c r="CE93" s="189"/>
      <c r="CF93" s="189"/>
      <c r="CG93" s="189"/>
      <c r="CH93" s="189"/>
      <c r="CI93" s="189"/>
      <c r="CJ93" s="189"/>
      <c r="CK93" s="189"/>
      <c r="CL93" s="189"/>
      <c r="CM93" s="189"/>
      <c r="CN93" s="189"/>
      <c r="CO93" s="189"/>
      <c r="CP93" s="189"/>
      <c r="CQ93" s="189"/>
      <c r="CR93" s="189"/>
      <c r="CS93" s="189"/>
      <c r="CT93" s="189"/>
      <c r="CU93" s="189"/>
      <c r="CV93" s="189"/>
      <c r="CW93" s="189"/>
      <c r="CX93" s="189"/>
      <c r="CY93" s="189"/>
      <c r="CZ93" s="189"/>
      <c r="DA93" s="189"/>
      <c r="DB93" s="189"/>
      <c r="DC93" s="189"/>
      <c r="DD93" s="189"/>
      <c r="DE93" s="189"/>
      <c r="DF93" s="189"/>
      <c r="DG93" s="189"/>
      <c r="DH93" s="189"/>
      <c r="DI93" s="189"/>
      <c r="DJ93" s="189"/>
      <c r="DK93" s="189"/>
      <c r="DL93" s="189"/>
    </row>
    <row r="94" spans="1:116">
      <c r="A94" s="181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89"/>
      <c r="BN94" s="189"/>
      <c r="BO94" s="189"/>
      <c r="BP94" s="189"/>
      <c r="BQ94" s="189"/>
      <c r="BR94" s="189"/>
      <c r="BS94" s="189"/>
      <c r="BT94" s="189"/>
      <c r="BU94" s="189"/>
      <c r="BV94" s="189"/>
      <c r="BW94" s="189"/>
      <c r="BX94" s="189"/>
      <c r="BY94" s="189"/>
      <c r="BZ94" s="189"/>
      <c r="CA94" s="189"/>
      <c r="CB94" s="189"/>
      <c r="CC94" s="189"/>
      <c r="CD94" s="189"/>
      <c r="CE94" s="189"/>
      <c r="CF94" s="189"/>
      <c r="CG94" s="189"/>
      <c r="CH94" s="189"/>
      <c r="CI94" s="189"/>
      <c r="CJ94" s="189"/>
      <c r="CK94" s="189"/>
      <c r="CL94" s="189"/>
      <c r="CM94" s="189"/>
      <c r="CN94" s="189"/>
      <c r="CO94" s="189"/>
      <c r="CP94" s="189"/>
      <c r="CQ94" s="189"/>
      <c r="CR94" s="189"/>
      <c r="CS94" s="189"/>
      <c r="CT94" s="189"/>
      <c r="CU94" s="189"/>
      <c r="CV94" s="189"/>
      <c r="CW94" s="189"/>
      <c r="CX94" s="189"/>
      <c r="CY94" s="189"/>
      <c r="CZ94" s="189"/>
      <c r="DA94" s="189"/>
      <c r="DB94" s="189"/>
      <c r="DC94" s="189"/>
      <c r="DD94" s="189"/>
      <c r="DE94" s="189"/>
      <c r="DF94" s="189"/>
      <c r="DG94" s="189"/>
      <c r="DH94" s="189"/>
      <c r="DI94" s="189"/>
      <c r="DJ94" s="189"/>
    </row>
    <row r="95" spans="1:116">
      <c r="A95" s="181"/>
      <c r="B95" s="181"/>
      <c r="C95" s="279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278"/>
      <c r="O95" s="181"/>
      <c r="P95" s="181"/>
      <c r="Q95" s="181"/>
      <c r="R95" s="181"/>
      <c r="S95" s="181"/>
      <c r="T95" s="181"/>
      <c r="U95" s="181"/>
      <c r="V95" s="181"/>
      <c r="W95" s="181"/>
      <c r="BA95" s="189"/>
      <c r="BB95" s="189"/>
      <c r="BC95" s="189"/>
      <c r="BD95" s="189"/>
      <c r="BE95" s="189"/>
      <c r="BF95" s="189"/>
      <c r="BG95" s="189"/>
      <c r="BH95" s="189"/>
      <c r="BI95" s="189"/>
      <c r="BJ95" s="189"/>
      <c r="BK95" s="189"/>
      <c r="BL95" s="189"/>
      <c r="BM95" s="189"/>
      <c r="BN95" s="189"/>
      <c r="BO95" s="189"/>
      <c r="BP95" s="189"/>
      <c r="BQ95" s="189"/>
      <c r="BR95" s="189"/>
      <c r="BS95" s="189"/>
      <c r="BT95" s="189"/>
      <c r="BU95" s="189"/>
      <c r="BV95" s="189"/>
      <c r="BW95" s="189"/>
      <c r="BX95" s="189"/>
      <c r="BY95" s="189"/>
      <c r="BZ95" s="189"/>
      <c r="CA95" s="189"/>
      <c r="CB95" s="189"/>
      <c r="CC95" s="189"/>
      <c r="CD95" s="189"/>
      <c r="CE95" s="189"/>
      <c r="CF95" s="189"/>
      <c r="CG95" s="189"/>
      <c r="CH95" s="189"/>
      <c r="CI95" s="189"/>
      <c r="CJ95" s="189"/>
      <c r="CK95" s="189"/>
      <c r="CL95" s="189"/>
      <c r="CM95" s="189"/>
      <c r="CN95" s="189"/>
      <c r="CO95" s="189"/>
      <c r="CP95" s="189"/>
      <c r="CQ95" s="189"/>
      <c r="CR95" s="189"/>
      <c r="CS95" s="189"/>
      <c r="CT95" s="189"/>
      <c r="CU95" s="189"/>
      <c r="CV95" s="189"/>
      <c r="CW95" s="189"/>
      <c r="CX95" s="189"/>
      <c r="CY95" s="189"/>
      <c r="CZ95" s="189"/>
      <c r="DA95" s="189"/>
      <c r="DB95" s="189"/>
      <c r="DC95" s="189"/>
      <c r="DD95" s="189"/>
      <c r="DE95" s="189"/>
      <c r="DF95" s="189"/>
      <c r="DG95" s="189"/>
      <c r="DH95" s="189"/>
      <c r="DI95" s="189"/>
      <c r="DJ95" s="189"/>
    </row>
    <row r="96" spans="1:116">
      <c r="A96" s="181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BA96" s="189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189"/>
      <c r="BN96" s="189"/>
      <c r="BO96" s="189"/>
      <c r="BP96" s="189"/>
      <c r="BQ96" s="189"/>
      <c r="BR96" s="189"/>
      <c r="BS96" s="189"/>
      <c r="BT96" s="189"/>
      <c r="BU96" s="189"/>
      <c r="BV96" s="189"/>
      <c r="BW96" s="189"/>
      <c r="BX96" s="189"/>
      <c r="BY96" s="189"/>
      <c r="BZ96" s="189"/>
      <c r="CA96" s="189"/>
      <c r="CB96" s="189"/>
      <c r="CC96" s="189"/>
      <c r="CD96" s="189"/>
      <c r="CE96" s="189"/>
      <c r="CF96" s="189"/>
      <c r="CG96" s="189"/>
      <c r="CH96" s="189"/>
      <c r="CI96" s="189"/>
      <c r="CJ96" s="189"/>
      <c r="CK96" s="189"/>
      <c r="CL96" s="189"/>
      <c r="CM96" s="189"/>
      <c r="CN96" s="189"/>
      <c r="CO96" s="189"/>
      <c r="CP96" s="189"/>
      <c r="CQ96" s="189"/>
      <c r="CR96" s="189"/>
      <c r="CS96" s="189"/>
      <c r="CT96" s="189"/>
      <c r="CU96" s="189"/>
      <c r="CV96" s="189"/>
      <c r="CW96" s="189"/>
      <c r="CX96" s="189"/>
      <c r="CY96" s="189"/>
      <c r="CZ96" s="189"/>
      <c r="DA96" s="189"/>
      <c r="DB96" s="189"/>
      <c r="DC96" s="189"/>
      <c r="DD96" s="189"/>
      <c r="DE96" s="189"/>
      <c r="DF96" s="189"/>
      <c r="DG96" s="189"/>
      <c r="DH96" s="189"/>
      <c r="DI96" s="189"/>
      <c r="DJ96" s="189"/>
    </row>
    <row r="97" spans="1:114">
      <c r="A97" s="181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189"/>
      <c r="BP97" s="189"/>
      <c r="BQ97" s="189"/>
      <c r="BR97" s="189"/>
      <c r="BS97" s="189"/>
      <c r="BT97" s="189"/>
      <c r="BU97" s="189"/>
      <c r="BV97" s="189"/>
      <c r="BW97" s="189"/>
      <c r="BX97" s="189"/>
      <c r="BY97" s="189"/>
      <c r="BZ97" s="189"/>
      <c r="CA97" s="189"/>
      <c r="CB97" s="189"/>
      <c r="CC97" s="189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9"/>
      <c r="CO97" s="189"/>
      <c r="CP97" s="189"/>
      <c r="CQ97" s="189"/>
      <c r="CR97" s="189"/>
      <c r="CS97" s="189"/>
      <c r="CT97" s="189"/>
      <c r="CU97" s="189"/>
      <c r="CV97" s="189"/>
      <c r="CW97" s="189"/>
      <c r="CX97" s="189"/>
      <c r="CY97" s="189"/>
      <c r="CZ97" s="189"/>
      <c r="DA97" s="189"/>
      <c r="DB97" s="189"/>
      <c r="DC97" s="189"/>
      <c r="DD97" s="189"/>
      <c r="DE97" s="189"/>
      <c r="DF97" s="189"/>
      <c r="DG97" s="189"/>
      <c r="DH97" s="189"/>
      <c r="DI97" s="189"/>
      <c r="DJ97" s="189"/>
    </row>
    <row r="98" spans="1:114">
      <c r="A98" s="181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89"/>
      <c r="BT98" s="189"/>
      <c r="BU98" s="189"/>
      <c r="BV98" s="189"/>
      <c r="BW98" s="189"/>
      <c r="BX98" s="189"/>
      <c r="BY98" s="189"/>
      <c r="BZ98" s="189"/>
      <c r="CA98" s="189"/>
      <c r="CB98" s="189"/>
      <c r="CC98" s="189"/>
      <c r="CD98" s="189"/>
      <c r="CE98" s="189"/>
      <c r="CF98" s="189"/>
      <c r="CG98" s="189"/>
      <c r="CH98" s="189"/>
      <c r="CI98" s="189"/>
      <c r="CJ98" s="189"/>
      <c r="CK98" s="189"/>
      <c r="CL98" s="189"/>
      <c r="CM98" s="189"/>
      <c r="CN98" s="189"/>
      <c r="CO98" s="189"/>
      <c r="CP98" s="189"/>
      <c r="CQ98" s="189"/>
      <c r="CR98" s="189"/>
      <c r="CS98" s="189"/>
      <c r="CT98" s="189"/>
      <c r="CU98" s="189"/>
      <c r="CV98" s="189"/>
      <c r="CW98" s="189"/>
      <c r="CX98" s="189"/>
      <c r="CY98" s="189"/>
      <c r="CZ98" s="189"/>
      <c r="DA98" s="189"/>
      <c r="DB98" s="189"/>
      <c r="DC98" s="189"/>
      <c r="DD98" s="189"/>
      <c r="DE98" s="189"/>
      <c r="DF98" s="189"/>
      <c r="DG98" s="189"/>
      <c r="DH98" s="189"/>
      <c r="DI98" s="189"/>
      <c r="DJ98" s="189"/>
    </row>
    <row r="99" spans="1:114">
      <c r="A99" s="181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89"/>
      <c r="BT99" s="189"/>
      <c r="BU99" s="189"/>
      <c r="BV99" s="189"/>
      <c r="BW99" s="189"/>
      <c r="BX99" s="189"/>
      <c r="BY99" s="189"/>
      <c r="BZ99" s="189"/>
      <c r="CA99" s="189"/>
      <c r="CB99" s="189"/>
      <c r="CC99" s="189"/>
      <c r="CD99" s="189"/>
      <c r="CE99" s="189"/>
      <c r="CF99" s="189"/>
      <c r="CG99" s="189"/>
      <c r="CH99" s="189"/>
      <c r="CI99" s="189"/>
      <c r="CJ99" s="189"/>
      <c r="CK99" s="189"/>
      <c r="CL99" s="189"/>
      <c r="CM99" s="189"/>
      <c r="CN99" s="189"/>
      <c r="CO99" s="189"/>
      <c r="CP99" s="189"/>
      <c r="CQ99" s="189"/>
      <c r="CR99" s="189"/>
      <c r="CS99" s="189"/>
      <c r="CT99" s="189"/>
      <c r="CU99" s="189"/>
      <c r="CV99" s="189"/>
      <c r="CW99" s="189"/>
      <c r="CX99" s="189"/>
      <c r="CY99" s="189"/>
      <c r="CZ99" s="189"/>
      <c r="DA99" s="189"/>
      <c r="DB99" s="189"/>
      <c r="DC99" s="189"/>
      <c r="DD99" s="189"/>
      <c r="DE99" s="189"/>
      <c r="DF99" s="189"/>
      <c r="DG99" s="189"/>
      <c r="DH99" s="189"/>
      <c r="DI99" s="189"/>
      <c r="DJ99" s="189"/>
    </row>
    <row r="100" spans="1:114">
      <c r="A100" s="181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BA100" s="189"/>
      <c r="BB100" s="189"/>
      <c r="BC100" s="189"/>
      <c r="BD100" s="189"/>
      <c r="BE100" s="189"/>
      <c r="BF100" s="189"/>
      <c r="BG100" s="189"/>
      <c r="BH100" s="189"/>
      <c r="BI100" s="189"/>
      <c r="BJ100" s="189"/>
      <c r="BK100" s="189"/>
      <c r="BL100" s="189"/>
      <c r="BM100" s="189"/>
      <c r="BN100" s="189"/>
      <c r="BO100" s="189"/>
      <c r="BP100" s="189"/>
      <c r="BQ100" s="189"/>
      <c r="BR100" s="189"/>
      <c r="BS100" s="189"/>
      <c r="BT100" s="189"/>
      <c r="BU100" s="189"/>
      <c r="BV100" s="189"/>
      <c r="BW100" s="189"/>
      <c r="BX100" s="189"/>
      <c r="BY100" s="189"/>
      <c r="BZ100" s="189"/>
      <c r="CA100" s="189"/>
      <c r="CB100" s="189"/>
      <c r="CC100" s="189"/>
      <c r="CD100" s="189"/>
      <c r="CE100" s="189"/>
      <c r="CF100" s="189"/>
      <c r="CG100" s="189"/>
      <c r="CH100" s="189"/>
      <c r="CI100" s="189"/>
      <c r="CJ100" s="189"/>
      <c r="CK100" s="189"/>
      <c r="CL100" s="189"/>
      <c r="CM100" s="189"/>
      <c r="CN100" s="189"/>
      <c r="CO100" s="189"/>
      <c r="CP100" s="189"/>
      <c r="CQ100" s="189"/>
      <c r="CR100" s="189"/>
      <c r="CS100" s="189"/>
      <c r="CT100" s="189"/>
      <c r="CU100" s="189"/>
      <c r="CV100" s="189"/>
      <c r="CW100" s="189"/>
      <c r="CX100" s="189"/>
      <c r="CY100" s="189"/>
      <c r="CZ100" s="189"/>
      <c r="DA100" s="189"/>
      <c r="DB100" s="189"/>
      <c r="DC100" s="189"/>
      <c r="DD100" s="189"/>
      <c r="DE100" s="189"/>
      <c r="DF100" s="189"/>
      <c r="DG100" s="189"/>
      <c r="DH100" s="189"/>
      <c r="DI100" s="189"/>
      <c r="DJ100" s="189"/>
    </row>
    <row r="101" spans="1:114">
      <c r="A101" s="181"/>
      <c r="B101" s="181"/>
      <c r="C101" s="280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BA101" s="189"/>
      <c r="BB101" s="189"/>
      <c r="BC101" s="189"/>
      <c r="BD101" s="189"/>
      <c r="BE101" s="189"/>
      <c r="BF101" s="189"/>
      <c r="BG101" s="189"/>
      <c r="BH101" s="189"/>
      <c r="BI101" s="189"/>
      <c r="BJ101" s="189"/>
      <c r="BK101" s="189"/>
      <c r="BL101" s="189"/>
      <c r="BM101" s="189"/>
      <c r="BN101" s="189"/>
      <c r="BO101" s="189"/>
      <c r="BP101" s="189"/>
      <c r="BQ101" s="189"/>
      <c r="BR101" s="189"/>
      <c r="BS101" s="189"/>
      <c r="BT101" s="189"/>
      <c r="BU101" s="189"/>
      <c r="BV101" s="189"/>
      <c r="BW101" s="189"/>
      <c r="BX101" s="189"/>
      <c r="BY101" s="189"/>
      <c r="BZ101" s="189"/>
      <c r="CA101" s="189"/>
      <c r="CB101" s="189"/>
      <c r="CC101" s="189"/>
      <c r="CD101" s="189"/>
      <c r="CE101" s="189"/>
      <c r="CF101" s="189"/>
      <c r="CG101" s="189"/>
      <c r="CH101" s="189"/>
      <c r="CI101" s="189"/>
      <c r="CJ101" s="189"/>
      <c r="CK101" s="189"/>
      <c r="CL101" s="189"/>
      <c r="CM101" s="189"/>
      <c r="CN101" s="189"/>
      <c r="CO101" s="189"/>
      <c r="CP101" s="189"/>
      <c r="CQ101" s="189"/>
      <c r="CR101" s="189"/>
      <c r="CS101" s="189"/>
      <c r="CT101" s="189"/>
      <c r="CU101" s="189"/>
      <c r="CV101" s="189"/>
      <c r="CW101" s="189"/>
      <c r="CX101" s="189"/>
      <c r="CY101" s="189"/>
      <c r="CZ101" s="189"/>
      <c r="DA101" s="189"/>
      <c r="DB101" s="189"/>
      <c r="DC101" s="189"/>
      <c r="DD101" s="189"/>
      <c r="DE101" s="189"/>
      <c r="DF101" s="189"/>
      <c r="DG101" s="189"/>
      <c r="DH101" s="189"/>
      <c r="DI101" s="189"/>
      <c r="DJ101" s="189"/>
    </row>
    <row r="102" spans="1:114">
      <c r="A102" s="181"/>
      <c r="B102" s="181"/>
      <c r="C102" s="280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BA102" s="189"/>
      <c r="BB102" s="189"/>
      <c r="BC102" s="189"/>
      <c r="BD102" s="189"/>
      <c r="BE102" s="189"/>
      <c r="BF102" s="189"/>
      <c r="BG102" s="189"/>
      <c r="BH102" s="189"/>
      <c r="BI102" s="189"/>
      <c r="BJ102" s="189"/>
      <c r="BK102" s="189"/>
      <c r="BL102" s="189"/>
      <c r="BM102" s="189"/>
      <c r="BN102" s="189"/>
      <c r="BO102" s="189"/>
      <c r="BP102" s="189"/>
      <c r="BQ102" s="189"/>
      <c r="BR102" s="189"/>
      <c r="BS102" s="189"/>
      <c r="BT102" s="189"/>
      <c r="BU102" s="189"/>
      <c r="BV102" s="189"/>
      <c r="BW102" s="189"/>
      <c r="BX102" s="189"/>
      <c r="BY102" s="189"/>
      <c r="BZ102" s="189"/>
      <c r="CA102" s="189"/>
      <c r="CB102" s="189"/>
      <c r="CC102" s="189"/>
      <c r="CD102" s="189"/>
      <c r="CE102" s="189"/>
      <c r="CF102" s="189"/>
      <c r="CG102" s="189"/>
      <c r="CH102" s="189"/>
      <c r="CI102" s="189"/>
      <c r="CJ102" s="189"/>
      <c r="CK102" s="189"/>
      <c r="CL102" s="189"/>
      <c r="CM102" s="189"/>
      <c r="CN102" s="189"/>
      <c r="CO102" s="189"/>
      <c r="CP102" s="189"/>
      <c r="CQ102" s="189"/>
      <c r="CR102" s="189"/>
      <c r="CS102" s="189"/>
      <c r="CT102" s="189"/>
      <c r="CU102" s="189"/>
      <c r="CV102" s="189"/>
      <c r="CW102" s="189"/>
      <c r="CX102" s="189"/>
      <c r="CY102" s="189"/>
      <c r="CZ102" s="189"/>
      <c r="DA102" s="189"/>
      <c r="DB102" s="189"/>
      <c r="DC102" s="189"/>
      <c r="DD102" s="189"/>
      <c r="DE102" s="189"/>
      <c r="DF102" s="189"/>
      <c r="DG102" s="189"/>
      <c r="DH102" s="189"/>
      <c r="DI102" s="189"/>
      <c r="DJ102" s="189"/>
    </row>
    <row r="103" spans="1:114">
      <c r="A103" s="181"/>
      <c r="B103" s="181"/>
      <c r="C103" s="280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BA103" s="189"/>
      <c r="BB103" s="189"/>
      <c r="BC103" s="189"/>
      <c r="BD103" s="189"/>
      <c r="BE103" s="189"/>
      <c r="BF103" s="189"/>
      <c r="BG103" s="189"/>
      <c r="BH103" s="189"/>
      <c r="BI103" s="189"/>
      <c r="BJ103" s="189"/>
      <c r="BK103" s="189"/>
      <c r="BL103" s="189"/>
      <c r="BM103" s="189"/>
      <c r="BN103" s="189"/>
      <c r="BO103" s="189"/>
      <c r="BP103" s="189"/>
      <c r="BQ103" s="189"/>
      <c r="BR103" s="189"/>
      <c r="BS103" s="189"/>
      <c r="BT103" s="189"/>
      <c r="BU103" s="189"/>
      <c r="BV103" s="189"/>
      <c r="BW103" s="189"/>
      <c r="BX103" s="189"/>
      <c r="BY103" s="189"/>
      <c r="BZ103" s="189"/>
      <c r="CA103" s="189"/>
      <c r="CB103" s="189"/>
      <c r="CC103" s="189"/>
      <c r="CD103" s="189"/>
      <c r="CE103" s="189"/>
      <c r="CF103" s="189"/>
      <c r="CG103" s="189"/>
      <c r="CH103" s="189"/>
      <c r="CI103" s="189"/>
      <c r="CJ103" s="189"/>
      <c r="CK103" s="189"/>
      <c r="CL103" s="189"/>
      <c r="CM103" s="189"/>
      <c r="CN103" s="189"/>
      <c r="CO103" s="189"/>
      <c r="CP103" s="189"/>
      <c r="CQ103" s="189"/>
      <c r="CR103" s="189"/>
      <c r="CS103" s="189"/>
      <c r="CT103" s="189"/>
      <c r="CU103" s="189"/>
      <c r="CV103" s="189"/>
      <c r="CW103" s="189"/>
      <c r="CX103" s="189"/>
      <c r="CY103" s="189"/>
      <c r="CZ103" s="189"/>
      <c r="DA103" s="189"/>
      <c r="DB103" s="189"/>
      <c r="DC103" s="189"/>
      <c r="DD103" s="189"/>
      <c r="DE103" s="189"/>
      <c r="DF103" s="189"/>
      <c r="DG103" s="189"/>
      <c r="DH103" s="189"/>
      <c r="DI103" s="189"/>
      <c r="DJ103" s="189"/>
    </row>
    <row r="104" spans="1:114">
      <c r="A104" s="181"/>
      <c r="B104" s="181"/>
      <c r="C104" s="2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BA104" s="189"/>
      <c r="BB104" s="189"/>
      <c r="BC104" s="189"/>
      <c r="BD104" s="189"/>
      <c r="BE104" s="189"/>
      <c r="BF104" s="189"/>
      <c r="BG104" s="189"/>
      <c r="BH104" s="189"/>
      <c r="BI104" s="189"/>
      <c r="BJ104" s="189"/>
      <c r="BK104" s="189"/>
      <c r="BL104" s="189"/>
      <c r="BM104" s="189"/>
      <c r="BN104" s="189"/>
      <c r="BO104" s="189"/>
      <c r="BP104" s="189"/>
      <c r="BQ104" s="189"/>
      <c r="BR104" s="189"/>
      <c r="BS104" s="189"/>
      <c r="BT104" s="189"/>
      <c r="BU104" s="189"/>
      <c r="BV104" s="189"/>
      <c r="BW104" s="189"/>
      <c r="BX104" s="189"/>
      <c r="BY104" s="189"/>
      <c r="BZ104" s="189"/>
      <c r="CA104" s="189"/>
      <c r="CB104" s="189"/>
      <c r="CC104" s="189"/>
      <c r="CD104" s="189"/>
      <c r="CE104" s="189"/>
      <c r="CF104" s="189"/>
      <c r="CG104" s="189"/>
      <c r="CH104" s="189"/>
      <c r="CI104" s="189"/>
      <c r="CJ104" s="189"/>
      <c r="CK104" s="189"/>
      <c r="CL104" s="189"/>
      <c r="CM104" s="189"/>
      <c r="CN104" s="189"/>
      <c r="CO104" s="189"/>
      <c r="CP104" s="189"/>
      <c r="CQ104" s="189"/>
      <c r="CR104" s="189"/>
      <c r="CS104" s="189"/>
      <c r="CT104" s="189"/>
      <c r="CU104" s="189"/>
      <c r="CV104" s="189"/>
      <c r="CW104" s="189"/>
      <c r="CX104" s="189"/>
      <c r="CY104" s="189"/>
      <c r="CZ104" s="189"/>
      <c r="DA104" s="189"/>
      <c r="DB104" s="189"/>
      <c r="DC104" s="189"/>
      <c r="DD104" s="189"/>
      <c r="DE104" s="189"/>
      <c r="DF104" s="189"/>
      <c r="DG104" s="189"/>
      <c r="DH104" s="189"/>
      <c r="DI104" s="189"/>
      <c r="DJ104" s="189"/>
    </row>
    <row r="105" spans="1:114">
      <c r="A105" s="181"/>
      <c r="B105" s="181"/>
      <c r="C105" s="2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BA105" s="189"/>
      <c r="BB105" s="189"/>
      <c r="BC105" s="189"/>
      <c r="BD105" s="189"/>
      <c r="BE105" s="189"/>
      <c r="BF105" s="189"/>
      <c r="BG105" s="189"/>
      <c r="BH105" s="189"/>
      <c r="BI105" s="189"/>
      <c r="BJ105" s="189"/>
      <c r="BK105" s="189"/>
      <c r="BL105" s="189"/>
      <c r="BM105" s="189"/>
      <c r="BN105" s="189"/>
      <c r="BO105" s="189"/>
      <c r="BP105" s="189"/>
      <c r="BQ105" s="189"/>
      <c r="BR105" s="189"/>
      <c r="BS105" s="189"/>
      <c r="BT105" s="189"/>
      <c r="BU105" s="189"/>
      <c r="BV105" s="189"/>
      <c r="BW105" s="189"/>
      <c r="BX105" s="189"/>
      <c r="BY105" s="189"/>
      <c r="BZ105" s="189"/>
      <c r="CA105" s="189"/>
      <c r="CB105" s="189"/>
      <c r="CC105" s="189"/>
      <c r="CD105" s="189"/>
      <c r="CE105" s="189"/>
      <c r="CF105" s="189"/>
      <c r="CG105" s="189"/>
      <c r="CH105" s="189"/>
      <c r="CI105" s="189"/>
      <c r="CJ105" s="189"/>
      <c r="CK105" s="189"/>
      <c r="CL105" s="189"/>
      <c r="CM105" s="189"/>
      <c r="CN105" s="189"/>
      <c r="CO105" s="189"/>
      <c r="CP105" s="189"/>
      <c r="CQ105" s="189"/>
      <c r="CR105" s="189"/>
      <c r="CS105" s="189"/>
      <c r="CT105" s="189"/>
      <c r="CU105" s="189"/>
      <c r="CV105" s="189"/>
      <c r="CW105" s="189"/>
      <c r="CX105" s="189"/>
      <c r="CY105" s="189"/>
      <c r="CZ105" s="189"/>
      <c r="DA105" s="189"/>
      <c r="DB105" s="189"/>
      <c r="DC105" s="189"/>
      <c r="DD105" s="189"/>
      <c r="DE105" s="189"/>
      <c r="DF105" s="189"/>
      <c r="DG105" s="189"/>
      <c r="DH105" s="189"/>
      <c r="DI105" s="189"/>
      <c r="DJ105" s="189"/>
    </row>
    <row r="106" spans="1:114">
      <c r="A106" s="181"/>
      <c r="B106" s="181"/>
      <c r="C106" s="2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BA106" s="189"/>
      <c r="BB106" s="189"/>
      <c r="BC106" s="189"/>
      <c r="BD106" s="189"/>
      <c r="BE106" s="189"/>
      <c r="BF106" s="189"/>
      <c r="BG106" s="189"/>
      <c r="BH106" s="189"/>
      <c r="BI106" s="189"/>
      <c r="BJ106" s="189"/>
      <c r="BK106" s="189"/>
      <c r="BL106" s="189"/>
      <c r="BM106" s="189"/>
      <c r="BN106" s="189"/>
      <c r="BO106" s="189"/>
      <c r="BP106" s="189"/>
      <c r="BQ106" s="189"/>
      <c r="BR106" s="189"/>
      <c r="BS106" s="189"/>
      <c r="BT106" s="189"/>
      <c r="BU106" s="189"/>
      <c r="BV106" s="189"/>
      <c r="BW106" s="189"/>
      <c r="BX106" s="189"/>
      <c r="BY106" s="189"/>
      <c r="BZ106" s="189"/>
      <c r="CA106" s="189"/>
      <c r="CB106" s="189"/>
      <c r="CC106" s="189"/>
      <c r="CD106" s="189"/>
      <c r="CE106" s="189"/>
      <c r="CF106" s="189"/>
      <c r="CG106" s="189"/>
      <c r="CH106" s="189"/>
      <c r="CI106" s="189"/>
      <c r="CJ106" s="189"/>
      <c r="CK106" s="189"/>
      <c r="CL106" s="189"/>
      <c r="CM106" s="189"/>
      <c r="CN106" s="189"/>
      <c r="CO106" s="189"/>
      <c r="CP106" s="189"/>
      <c r="CQ106" s="189"/>
      <c r="CR106" s="189"/>
      <c r="CS106" s="189"/>
      <c r="CT106" s="189"/>
      <c r="CU106" s="189"/>
      <c r="CV106" s="189"/>
      <c r="CW106" s="189"/>
      <c r="CX106" s="189"/>
      <c r="CY106" s="189"/>
      <c r="CZ106" s="189"/>
      <c r="DA106" s="189"/>
      <c r="DB106" s="189"/>
      <c r="DC106" s="189"/>
      <c r="DD106" s="189"/>
      <c r="DE106" s="189"/>
      <c r="DF106" s="189"/>
      <c r="DG106" s="189"/>
      <c r="DH106" s="189"/>
      <c r="DI106" s="189"/>
      <c r="DJ106" s="189"/>
    </row>
    <row r="107" spans="1:114">
      <c r="A107" s="181"/>
      <c r="B107" s="181"/>
      <c r="C107" s="2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BA107" s="189"/>
      <c r="BB107" s="189"/>
      <c r="BC107" s="189"/>
      <c r="BD107" s="189"/>
      <c r="BE107" s="189"/>
      <c r="BF107" s="189"/>
      <c r="BG107" s="189"/>
      <c r="BH107" s="189"/>
      <c r="BI107" s="189"/>
      <c r="BJ107" s="189"/>
      <c r="BK107" s="189"/>
      <c r="BL107" s="189"/>
      <c r="BM107" s="189"/>
      <c r="BN107" s="189"/>
      <c r="BO107" s="189"/>
      <c r="BP107" s="189"/>
      <c r="BQ107" s="189"/>
      <c r="BR107" s="189"/>
      <c r="BS107" s="189"/>
      <c r="BT107" s="189"/>
      <c r="BU107" s="189"/>
      <c r="BV107" s="189"/>
      <c r="BW107" s="189"/>
      <c r="BX107" s="189"/>
      <c r="BY107" s="189"/>
      <c r="BZ107" s="189"/>
      <c r="CA107" s="189"/>
      <c r="CB107" s="189"/>
      <c r="CC107" s="189"/>
      <c r="CD107" s="189"/>
      <c r="CE107" s="189"/>
      <c r="CF107" s="189"/>
      <c r="CG107" s="189"/>
      <c r="CH107" s="189"/>
      <c r="CI107" s="189"/>
      <c r="CJ107" s="189"/>
      <c r="CK107" s="189"/>
      <c r="CL107" s="189"/>
      <c r="CM107" s="189"/>
      <c r="CN107" s="189"/>
      <c r="CO107" s="189"/>
      <c r="CP107" s="189"/>
      <c r="CQ107" s="189"/>
      <c r="CR107" s="189"/>
      <c r="CS107" s="189"/>
      <c r="CT107" s="189"/>
      <c r="CU107" s="189"/>
      <c r="CV107" s="189"/>
      <c r="CW107" s="189"/>
      <c r="CX107" s="189"/>
      <c r="CY107" s="189"/>
      <c r="CZ107" s="189"/>
      <c r="DA107" s="189"/>
      <c r="DB107" s="189"/>
      <c r="DC107" s="189"/>
      <c r="DD107" s="189"/>
      <c r="DE107" s="189"/>
      <c r="DF107" s="189"/>
      <c r="DG107" s="189"/>
      <c r="DH107" s="189"/>
      <c r="DI107" s="189"/>
      <c r="DJ107" s="189"/>
    </row>
    <row r="108" spans="1:114">
      <c r="A108" s="181"/>
      <c r="B108" s="181"/>
      <c r="C108" s="282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BA108" s="189"/>
      <c r="BB108" s="189"/>
      <c r="BC108" s="189"/>
      <c r="BD108" s="189"/>
      <c r="BE108" s="189"/>
      <c r="BF108" s="189"/>
      <c r="BG108" s="189"/>
      <c r="BH108" s="189"/>
      <c r="BI108" s="189"/>
      <c r="BJ108" s="189"/>
      <c r="BK108" s="189"/>
      <c r="BL108" s="189"/>
      <c r="BM108" s="189"/>
      <c r="BN108" s="189"/>
      <c r="BO108" s="189"/>
      <c r="BP108" s="189"/>
      <c r="BQ108" s="189"/>
      <c r="BR108" s="189"/>
      <c r="BS108" s="189"/>
      <c r="BT108" s="189"/>
      <c r="BU108" s="189"/>
      <c r="BV108" s="189"/>
      <c r="BW108" s="189"/>
      <c r="BX108" s="189"/>
      <c r="BY108" s="189"/>
      <c r="BZ108" s="189"/>
      <c r="CA108" s="189"/>
      <c r="CB108" s="189"/>
      <c r="CC108" s="189"/>
      <c r="CD108" s="189"/>
      <c r="CE108" s="189"/>
      <c r="CF108" s="189"/>
      <c r="CG108" s="189"/>
      <c r="CH108" s="189"/>
      <c r="CI108" s="189"/>
      <c r="CJ108" s="189"/>
      <c r="CK108" s="189"/>
      <c r="CL108" s="189"/>
      <c r="CM108" s="189"/>
      <c r="CN108" s="189"/>
      <c r="CO108" s="189"/>
      <c r="CP108" s="189"/>
      <c r="CQ108" s="189"/>
      <c r="CR108" s="189"/>
      <c r="CS108" s="189"/>
      <c r="CT108" s="189"/>
      <c r="CU108" s="189"/>
      <c r="CV108" s="189"/>
      <c r="CW108" s="189"/>
      <c r="CX108" s="189"/>
      <c r="CY108" s="189"/>
      <c r="CZ108" s="189"/>
      <c r="DA108" s="189"/>
      <c r="DB108" s="189"/>
      <c r="DC108" s="189"/>
      <c r="DD108" s="189"/>
      <c r="DE108" s="189"/>
      <c r="DF108" s="189"/>
      <c r="DG108" s="189"/>
      <c r="DH108" s="189"/>
      <c r="DI108" s="189"/>
      <c r="DJ108" s="189"/>
    </row>
    <row r="109" spans="1:114">
      <c r="A109" s="181"/>
      <c r="B109" s="181"/>
      <c r="C109" s="282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BA109" s="189"/>
      <c r="BB109" s="189"/>
      <c r="BC109" s="189"/>
      <c r="BD109" s="189"/>
      <c r="BE109" s="189"/>
      <c r="BF109" s="189"/>
      <c r="BG109" s="189"/>
      <c r="BH109" s="189"/>
      <c r="BI109" s="189"/>
      <c r="BJ109" s="189"/>
      <c r="BK109" s="189"/>
      <c r="BL109" s="189"/>
      <c r="BM109" s="189"/>
      <c r="BN109" s="189"/>
      <c r="BO109" s="189"/>
      <c r="BP109" s="189"/>
      <c r="BQ109" s="189"/>
      <c r="BR109" s="189"/>
      <c r="BS109" s="189"/>
      <c r="BT109" s="189"/>
      <c r="BU109" s="189"/>
      <c r="BV109" s="189"/>
      <c r="BW109" s="189"/>
      <c r="BX109" s="189"/>
      <c r="BY109" s="189"/>
      <c r="BZ109" s="189"/>
      <c r="CA109" s="189"/>
      <c r="CB109" s="189"/>
      <c r="CC109" s="189"/>
      <c r="CD109" s="189"/>
      <c r="CE109" s="189"/>
      <c r="CF109" s="189"/>
      <c r="CG109" s="189"/>
      <c r="CH109" s="189"/>
      <c r="CI109" s="189"/>
      <c r="CJ109" s="189"/>
      <c r="CK109" s="189"/>
      <c r="CL109" s="189"/>
      <c r="CM109" s="189"/>
      <c r="CN109" s="189"/>
      <c r="CO109" s="189"/>
      <c r="CP109" s="189"/>
      <c r="CQ109" s="189"/>
      <c r="CR109" s="189"/>
      <c r="CS109" s="189"/>
      <c r="CT109" s="189"/>
      <c r="CU109" s="189"/>
      <c r="CV109" s="189"/>
      <c r="CW109" s="189"/>
      <c r="CX109" s="189"/>
      <c r="CY109" s="189"/>
      <c r="CZ109" s="189"/>
      <c r="DA109" s="189"/>
      <c r="DB109" s="189"/>
      <c r="DC109" s="189"/>
      <c r="DD109" s="189"/>
      <c r="DE109" s="189"/>
      <c r="DF109" s="189"/>
      <c r="DG109" s="189"/>
      <c r="DH109" s="189"/>
      <c r="DI109" s="189"/>
      <c r="DJ109" s="189"/>
    </row>
    <row r="110" spans="1:114">
      <c r="A110" s="181"/>
      <c r="B110" s="181"/>
      <c r="C110" s="282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BA110" s="189"/>
      <c r="BB110" s="189"/>
      <c r="BC110" s="189"/>
      <c r="BD110" s="189"/>
      <c r="BE110" s="189"/>
      <c r="BF110" s="189"/>
      <c r="BG110" s="189"/>
      <c r="BH110" s="189"/>
      <c r="BI110" s="189"/>
      <c r="BJ110" s="189"/>
      <c r="BK110" s="189"/>
      <c r="BL110" s="189"/>
      <c r="BM110" s="189"/>
      <c r="BN110" s="189"/>
      <c r="BO110" s="189"/>
      <c r="BP110" s="189"/>
      <c r="BQ110" s="189"/>
      <c r="BR110" s="189"/>
      <c r="BS110" s="189"/>
      <c r="BT110" s="189"/>
      <c r="BU110" s="189"/>
      <c r="BV110" s="189"/>
      <c r="BW110" s="189"/>
      <c r="BX110" s="189"/>
      <c r="BY110" s="189"/>
      <c r="BZ110" s="189"/>
      <c r="CA110" s="189"/>
      <c r="CB110" s="189"/>
      <c r="CC110" s="189"/>
      <c r="CD110" s="189"/>
      <c r="CE110" s="189"/>
      <c r="CF110" s="189"/>
      <c r="CG110" s="189"/>
      <c r="CH110" s="189"/>
      <c r="CI110" s="189"/>
      <c r="CJ110" s="189"/>
      <c r="CK110" s="189"/>
      <c r="CL110" s="189"/>
      <c r="CM110" s="189"/>
      <c r="CN110" s="189"/>
      <c r="CO110" s="189"/>
      <c r="CP110" s="189"/>
      <c r="CQ110" s="189"/>
      <c r="CR110" s="189"/>
      <c r="CS110" s="189"/>
      <c r="CT110" s="189"/>
      <c r="CU110" s="189"/>
      <c r="CV110" s="189"/>
      <c r="CW110" s="189"/>
      <c r="CX110" s="189"/>
      <c r="CY110" s="189"/>
      <c r="CZ110" s="189"/>
      <c r="DA110" s="189"/>
      <c r="DB110" s="189"/>
      <c r="DC110" s="189"/>
      <c r="DD110" s="189"/>
      <c r="DE110" s="189"/>
      <c r="DF110" s="189"/>
      <c r="DG110" s="189"/>
      <c r="DH110" s="189"/>
      <c r="DI110" s="189"/>
      <c r="DJ110" s="189"/>
    </row>
    <row r="111" spans="1:114">
      <c r="A111" s="181"/>
      <c r="B111" s="181"/>
      <c r="C111" s="282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N111" s="189"/>
      <c r="BO111" s="189"/>
      <c r="BP111" s="189"/>
      <c r="BQ111" s="189"/>
      <c r="BR111" s="189"/>
      <c r="BS111" s="189"/>
      <c r="BT111" s="189"/>
      <c r="BU111" s="189"/>
      <c r="BV111" s="189"/>
      <c r="BW111" s="189"/>
      <c r="BX111" s="189"/>
      <c r="BY111" s="189"/>
      <c r="BZ111" s="189"/>
      <c r="CA111" s="189"/>
      <c r="CB111" s="189"/>
      <c r="CC111" s="189"/>
      <c r="CD111" s="189"/>
      <c r="CE111" s="189"/>
      <c r="CF111" s="189"/>
      <c r="CG111" s="189"/>
      <c r="CH111" s="189"/>
      <c r="CI111" s="189"/>
      <c r="CJ111" s="189"/>
      <c r="CK111" s="189"/>
      <c r="CL111" s="189"/>
      <c r="CM111" s="189"/>
      <c r="CN111" s="189"/>
      <c r="CO111" s="189"/>
      <c r="CP111" s="189"/>
      <c r="CQ111" s="189"/>
      <c r="CR111" s="189"/>
      <c r="CS111" s="189"/>
      <c r="CT111" s="189"/>
      <c r="CU111" s="189"/>
      <c r="CV111" s="189"/>
      <c r="CW111" s="189"/>
      <c r="CX111" s="189"/>
      <c r="CY111" s="189"/>
      <c r="CZ111" s="189"/>
      <c r="DA111" s="189"/>
      <c r="DB111" s="189"/>
      <c r="DC111" s="189"/>
      <c r="DD111" s="189"/>
      <c r="DE111" s="189"/>
      <c r="DF111" s="189"/>
      <c r="DG111" s="189"/>
      <c r="DH111" s="189"/>
      <c r="DI111" s="189"/>
      <c r="DJ111" s="189"/>
    </row>
    <row r="112" spans="1:114">
      <c r="A112" s="181"/>
      <c r="B112" s="181"/>
      <c r="C112" s="283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BA112" s="189"/>
      <c r="BB112" s="189"/>
      <c r="BC112" s="189"/>
      <c r="BD112" s="189"/>
      <c r="BE112" s="189"/>
      <c r="BF112" s="189"/>
      <c r="BG112" s="189"/>
      <c r="BH112" s="189"/>
      <c r="BI112" s="189"/>
      <c r="BJ112" s="189"/>
      <c r="BK112" s="189"/>
      <c r="BL112" s="189"/>
      <c r="BM112" s="189"/>
      <c r="BN112" s="189"/>
      <c r="BO112" s="189"/>
      <c r="BP112" s="189"/>
      <c r="BQ112" s="189"/>
      <c r="BR112" s="189"/>
      <c r="BS112" s="189"/>
      <c r="BT112" s="189"/>
      <c r="BU112" s="189"/>
      <c r="BV112" s="189"/>
      <c r="BW112" s="189"/>
      <c r="BX112" s="189"/>
      <c r="BY112" s="189"/>
      <c r="BZ112" s="189"/>
      <c r="CA112" s="189"/>
      <c r="CB112" s="189"/>
      <c r="CC112" s="189"/>
      <c r="CD112" s="189"/>
      <c r="CE112" s="189"/>
      <c r="CF112" s="189"/>
      <c r="CG112" s="189"/>
      <c r="CH112" s="189"/>
      <c r="CI112" s="189"/>
      <c r="CJ112" s="189"/>
      <c r="CK112" s="189"/>
      <c r="CL112" s="189"/>
      <c r="CM112" s="189"/>
      <c r="CN112" s="189"/>
      <c r="CO112" s="189"/>
      <c r="CP112" s="189"/>
      <c r="CQ112" s="189"/>
      <c r="CR112" s="189"/>
      <c r="CS112" s="189"/>
      <c r="CT112" s="189"/>
      <c r="CU112" s="189"/>
      <c r="CV112" s="189"/>
      <c r="CW112" s="189"/>
      <c r="CX112" s="189"/>
      <c r="CY112" s="189"/>
      <c r="CZ112" s="189"/>
      <c r="DA112" s="189"/>
      <c r="DB112" s="189"/>
      <c r="DC112" s="189"/>
      <c r="DD112" s="189"/>
      <c r="DE112" s="189"/>
      <c r="DF112" s="189"/>
      <c r="DG112" s="189"/>
      <c r="DH112" s="189"/>
      <c r="DI112" s="189"/>
      <c r="DJ112" s="189"/>
    </row>
    <row r="113" spans="1:114">
      <c r="A113" s="181"/>
      <c r="B113" s="181"/>
      <c r="C113" s="2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BA113" s="189"/>
      <c r="BB113" s="189"/>
      <c r="BC113" s="189"/>
      <c r="BD113" s="189"/>
      <c r="BE113" s="189"/>
      <c r="BF113" s="189"/>
      <c r="BG113" s="189"/>
      <c r="BH113" s="189"/>
      <c r="BI113" s="189"/>
      <c r="BJ113" s="189"/>
      <c r="BK113" s="189"/>
      <c r="BL113" s="189"/>
      <c r="BM113" s="189"/>
      <c r="BN113" s="189"/>
      <c r="BO113" s="189"/>
      <c r="BP113" s="189"/>
      <c r="BQ113" s="189"/>
      <c r="BR113" s="189"/>
      <c r="BS113" s="189"/>
      <c r="BT113" s="189"/>
      <c r="BU113" s="189"/>
      <c r="BV113" s="189"/>
      <c r="BW113" s="189"/>
      <c r="BX113" s="189"/>
      <c r="BY113" s="189"/>
      <c r="BZ113" s="189"/>
      <c r="CA113" s="189"/>
      <c r="CB113" s="189"/>
      <c r="CC113" s="189"/>
      <c r="CD113" s="189"/>
      <c r="CE113" s="189"/>
      <c r="CF113" s="189"/>
      <c r="CG113" s="189"/>
      <c r="CH113" s="189"/>
      <c r="CI113" s="189"/>
      <c r="CJ113" s="189"/>
      <c r="CK113" s="189"/>
      <c r="CL113" s="189"/>
      <c r="CM113" s="189"/>
      <c r="CN113" s="189"/>
      <c r="CO113" s="189"/>
      <c r="CP113" s="189"/>
      <c r="CQ113" s="189"/>
      <c r="CR113" s="189"/>
      <c r="CS113" s="189"/>
      <c r="CT113" s="189"/>
      <c r="CU113" s="189"/>
      <c r="CV113" s="189"/>
      <c r="CW113" s="189"/>
      <c r="CX113" s="189"/>
      <c r="CY113" s="189"/>
      <c r="CZ113" s="189"/>
      <c r="DA113" s="189"/>
      <c r="DB113" s="189"/>
      <c r="DC113" s="189"/>
      <c r="DD113" s="189"/>
      <c r="DE113" s="189"/>
      <c r="DF113" s="189"/>
      <c r="DG113" s="189"/>
      <c r="DH113" s="189"/>
      <c r="DI113" s="189"/>
      <c r="DJ113" s="189"/>
    </row>
    <row r="114" spans="1:114">
      <c r="A114" s="181"/>
      <c r="B114" s="181"/>
      <c r="C114" s="2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BA114" s="189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9"/>
      <c r="BM114" s="189"/>
      <c r="BN114" s="189"/>
      <c r="BO114" s="189"/>
      <c r="BP114" s="189"/>
      <c r="BQ114" s="189"/>
      <c r="BR114" s="189"/>
      <c r="BS114" s="189"/>
      <c r="BT114" s="189"/>
      <c r="BU114" s="189"/>
      <c r="BV114" s="189"/>
      <c r="BW114" s="189"/>
      <c r="BX114" s="189"/>
      <c r="BY114" s="189"/>
      <c r="BZ114" s="189"/>
      <c r="CA114" s="189"/>
      <c r="CB114" s="189"/>
      <c r="CC114" s="189"/>
      <c r="CD114" s="189"/>
      <c r="CE114" s="189"/>
      <c r="CF114" s="189"/>
      <c r="CG114" s="189"/>
      <c r="CH114" s="189"/>
      <c r="CI114" s="189"/>
      <c r="CJ114" s="189"/>
      <c r="CK114" s="189"/>
      <c r="CL114" s="189"/>
      <c r="CM114" s="189"/>
      <c r="CN114" s="189"/>
      <c r="CO114" s="189"/>
      <c r="CP114" s="189"/>
      <c r="CQ114" s="189"/>
      <c r="CR114" s="189"/>
      <c r="CS114" s="189"/>
      <c r="CT114" s="189"/>
      <c r="CU114" s="189"/>
      <c r="CV114" s="189"/>
      <c r="CW114" s="189"/>
      <c r="CX114" s="189"/>
      <c r="CY114" s="189"/>
      <c r="CZ114" s="189"/>
      <c r="DA114" s="189"/>
      <c r="DB114" s="189"/>
      <c r="DC114" s="189"/>
      <c r="DD114" s="189"/>
      <c r="DE114" s="189"/>
      <c r="DF114" s="189"/>
      <c r="DG114" s="189"/>
      <c r="DH114" s="189"/>
      <c r="DI114" s="189"/>
      <c r="DJ114" s="189"/>
    </row>
    <row r="115" spans="1:114">
      <c r="A115" s="181"/>
      <c r="B115" s="181"/>
      <c r="C115" s="2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  <c r="BS115" s="189"/>
      <c r="BT115" s="189"/>
      <c r="BU115" s="189"/>
      <c r="BV115" s="189"/>
      <c r="BW115" s="189"/>
      <c r="BX115" s="189"/>
      <c r="BY115" s="189"/>
      <c r="BZ115" s="189"/>
      <c r="CA115" s="189"/>
      <c r="CB115" s="189"/>
      <c r="CC115" s="189"/>
      <c r="CD115" s="189"/>
      <c r="CE115" s="189"/>
      <c r="CF115" s="189"/>
      <c r="CG115" s="189"/>
      <c r="CH115" s="189"/>
      <c r="CI115" s="189"/>
      <c r="CJ115" s="189"/>
      <c r="CK115" s="189"/>
      <c r="CL115" s="189"/>
      <c r="CM115" s="189"/>
      <c r="CN115" s="189"/>
      <c r="CO115" s="189"/>
      <c r="CP115" s="189"/>
      <c r="CQ115" s="189"/>
      <c r="CR115" s="189"/>
      <c r="CS115" s="189"/>
      <c r="CT115" s="189"/>
      <c r="CU115" s="189"/>
      <c r="CV115" s="189"/>
      <c r="CW115" s="189"/>
      <c r="CX115" s="189"/>
      <c r="CY115" s="189"/>
      <c r="CZ115" s="189"/>
      <c r="DA115" s="189"/>
      <c r="DB115" s="189"/>
      <c r="DC115" s="189"/>
      <c r="DD115" s="189"/>
      <c r="DE115" s="189"/>
      <c r="DF115" s="189"/>
      <c r="DG115" s="189"/>
      <c r="DH115" s="189"/>
      <c r="DI115" s="189"/>
      <c r="DJ115" s="189"/>
    </row>
    <row r="116" spans="1:114">
      <c r="A116" s="181"/>
      <c r="B116" s="181"/>
      <c r="C116" s="2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89"/>
      <c r="BS116" s="189"/>
      <c r="BT116" s="189"/>
      <c r="BU116" s="189"/>
      <c r="BV116" s="189"/>
      <c r="BW116" s="189"/>
      <c r="BX116" s="189"/>
      <c r="BY116" s="189"/>
      <c r="BZ116" s="189"/>
      <c r="CA116" s="189"/>
      <c r="CB116" s="189"/>
      <c r="CC116" s="189"/>
      <c r="CD116" s="189"/>
      <c r="CE116" s="189"/>
      <c r="CF116" s="189"/>
      <c r="CG116" s="189"/>
      <c r="CH116" s="189"/>
      <c r="CI116" s="189"/>
      <c r="CJ116" s="189"/>
      <c r="CK116" s="189"/>
      <c r="CL116" s="189"/>
      <c r="CM116" s="189"/>
      <c r="CN116" s="189"/>
      <c r="CO116" s="189"/>
      <c r="CP116" s="189"/>
      <c r="CQ116" s="189"/>
      <c r="CR116" s="189"/>
      <c r="CS116" s="189"/>
      <c r="CT116" s="189"/>
      <c r="CU116" s="189"/>
      <c r="CV116" s="189"/>
      <c r="CW116" s="189"/>
      <c r="CX116" s="189"/>
      <c r="CY116" s="189"/>
      <c r="CZ116" s="189"/>
      <c r="DA116" s="189"/>
      <c r="DB116" s="189"/>
      <c r="DC116" s="189"/>
      <c r="DD116" s="189"/>
      <c r="DE116" s="189"/>
      <c r="DF116" s="189"/>
      <c r="DG116" s="189"/>
      <c r="DH116" s="189"/>
      <c r="DI116" s="189"/>
      <c r="DJ116" s="189"/>
    </row>
    <row r="117" spans="1:114">
      <c r="A117" s="181"/>
      <c r="B117" s="181"/>
      <c r="C117" s="2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89"/>
      <c r="BS117" s="189"/>
      <c r="BT117" s="189"/>
      <c r="BU117" s="189"/>
      <c r="BV117" s="189"/>
      <c r="BW117" s="189"/>
      <c r="BX117" s="189"/>
      <c r="BY117" s="189"/>
      <c r="BZ117" s="189"/>
      <c r="CA117" s="189"/>
      <c r="CB117" s="189"/>
      <c r="CC117" s="189"/>
      <c r="CD117" s="189"/>
      <c r="CE117" s="189"/>
      <c r="CF117" s="189"/>
      <c r="CG117" s="189"/>
      <c r="CH117" s="189"/>
      <c r="CI117" s="189"/>
      <c r="CJ117" s="189"/>
      <c r="CK117" s="189"/>
      <c r="CL117" s="189"/>
      <c r="CM117" s="189"/>
      <c r="CN117" s="189"/>
      <c r="CO117" s="189"/>
      <c r="CP117" s="189"/>
      <c r="CQ117" s="189"/>
      <c r="CR117" s="189"/>
      <c r="CS117" s="189"/>
      <c r="CT117" s="189"/>
      <c r="CU117" s="189"/>
      <c r="CV117" s="189"/>
      <c r="CW117" s="189"/>
      <c r="CX117" s="189"/>
      <c r="CY117" s="189"/>
      <c r="CZ117" s="189"/>
      <c r="DA117" s="189"/>
      <c r="DB117" s="189"/>
      <c r="DC117" s="189"/>
      <c r="DD117" s="189"/>
      <c r="DE117" s="189"/>
      <c r="DF117" s="189"/>
      <c r="DG117" s="189"/>
      <c r="DH117" s="189"/>
      <c r="DI117" s="189"/>
      <c r="DJ117" s="189"/>
    </row>
    <row r="118" spans="1:114">
      <c r="A118" s="181"/>
      <c r="B118" s="181"/>
      <c r="C118" s="2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BA118" s="189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9"/>
      <c r="BM118" s="189"/>
      <c r="BN118" s="189"/>
      <c r="BO118" s="189"/>
      <c r="BP118" s="189"/>
      <c r="BQ118" s="189"/>
      <c r="BR118" s="189"/>
      <c r="BS118" s="189"/>
      <c r="BT118" s="189"/>
      <c r="BU118" s="189"/>
      <c r="BV118" s="189"/>
      <c r="BW118" s="189"/>
      <c r="BX118" s="189"/>
      <c r="BY118" s="189"/>
      <c r="BZ118" s="189"/>
      <c r="CA118" s="189"/>
      <c r="CB118" s="189"/>
      <c r="CC118" s="189"/>
      <c r="CD118" s="189"/>
      <c r="CE118" s="189"/>
      <c r="CF118" s="189"/>
      <c r="CG118" s="189"/>
      <c r="CH118" s="189"/>
      <c r="CI118" s="189"/>
      <c r="CJ118" s="189"/>
      <c r="CK118" s="189"/>
      <c r="CL118" s="189"/>
      <c r="CM118" s="189"/>
      <c r="CN118" s="189"/>
      <c r="CO118" s="189"/>
      <c r="CP118" s="189"/>
      <c r="CQ118" s="189"/>
      <c r="CR118" s="189"/>
      <c r="CS118" s="189"/>
      <c r="CT118" s="189"/>
      <c r="CU118" s="189"/>
      <c r="CV118" s="189"/>
      <c r="CW118" s="189"/>
      <c r="CX118" s="189"/>
      <c r="CY118" s="189"/>
      <c r="CZ118" s="189"/>
      <c r="DA118" s="189"/>
      <c r="DB118" s="189"/>
      <c r="DC118" s="189"/>
      <c r="DD118" s="189"/>
      <c r="DE118" s="189"/>
      <c r="DF118" s="189"/>
      <c r="DG118" s="189"/>
      <c r="DH118" s="189"/>
      <c r="DI118" s="189"/>
      <c r="DJ118" s="189"/>
    </row>
    <row r="119" spans="1:114">
      <c r="A119" s="181"/>
      <c r="B119" s="181"/>
      <c r="C119" s="2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BA119" s="189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189"/>
      <c r="BL119" s="189"/>
      <c r="BM119" s="189"/>
      <c r="BN119" s="189"/>
      <c r="BO119" s="189"/>
      <c r="BP119" s="189"/>
      <c r="BQ119" s="189"/>
      <c r="BR119" s="189"/>
      <c r="BS119" s="189"/>
      <c r="BT119" s="189"/>
      <c r="BU119" s="189"/>
      <c r="BV119" s="189"/>
      <c r="BW119" s="189"/>
      <c r="BX119" s="189"/>
      <c r="BY119" s="189"/>
      <c r="BZ119" s="189"/>
      <c r="CA119" s="189"/>
      <c r="CB119" s="189"/>
      <c r="CC119" s="189"/>
      <c r="CD119" s="189"/>
      <c r="CE119" s="189"/>
      <c r="CF119" s="189"/>
      <c r="CG119" s="189"/>
      <c r="CH119" s="189"/>
      <c r="CI119" s="189"/>
      <c r="CJ119" s="189"/>
      <c r="CK119" s="189"/>
      <c r="CL119" s="189"/>
      <c r="CM119" s="189"/>
      <c r="CN119" s="189"/>
      <c r="CO119" s="189"/>
      <c r="CP119" s="189"/>
      <c r="CQ119" s="189"/>
      <c r="CR119" s="189"/>
      <c r="CS119" s="189"/>
      <c r="CT119" s="189"/>
      <c r="CU119" s="189"/>
      <c r="CV119" s="189"/>
      <c r="CW119" s="189"/>
      <c r="CX119" s="189"/>
      <c r="CY119" s="189"/>
      <c r="CZ119" s="189"/>
      <c r="DA119" s="189"/>
      <c r="DB119" s="189"/>
      <c r="DC119" s="189"/>
      <c r="DD119" s="189"/>
      <c r="DE119" s="189"/>
      <c r="DF119" s="189"/>
      <c r="DG119" s="189"/>
      <c r="DH119" s="189"/>
      <c r="DI119" s="189"/>
      <c r="DJ119" s="189"/>
    </row>
    <row r="120" spans="1:114">
      <c r="A120" s="181"/>
      <c r="B120" s="181"/>
      <c r="C120" s="2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BA120" s="189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189"/>
      <c r="BL120" s="189"/>
      <c r="BM120" s="189"/>
      <c r="BN120" s="189"/>
      <c r="BO120" s="189"/>
      <c r="BP120" s="189"/>
      <c r="BQ120" s="189"/>
      <c r="BR120" s="189"/>
      <c r="BS120" s="189"/>
      <c r="BT120" s="189"/>
      <c r="BU120" s="189"/>
      <c r="BV120" s="189"/>
      <c r="BW120" s="189"/>
      <c r="BX120" s="189"/>
      <c r="BY120" s="189"/>
      <c r="BZ120" s="189"/>
      <c r="CA120" s="189"/>
      <c r="CB120" s="189"/>
      <c r="CC120" s="189"/>
      <c r="CD120" s="189"/>
      <c r="CE120" s="189"/>
      <c r="CF120" s="189"/>
      <c r="CG120" s="189"/>
      <c r="CH120" s="189"/>
      <c r="CI120" s="189"/>
      <c r="CJ120" s="189"/>
      <c r="CK120" s="189"/>
      <c r="CL120" s="189"/>
      <c r="CM120" s="189"/>
      <c r="CN120" s="189"/>
      <c r="CO120" s="189"/>
      <c r="CP120" s="189"/>
      <c r="CQ120" s="189"/>
      <c r="CR120" s="189"/>
      <c r="CS120" s="189"/>
      <c r="CT120" s="189"/>
      <c r="CU120" s="189"/>
      <c r="CV120" s="189"/>
      <c r="CW120" s="189"/>
      <c r="CX120" s="189"/>
      <c r="CY120" s="189"/>
      <c r="CZ120" s="189"/>
      <c r="DA120" s="189"/>
      <c r="DB120" s="189"/>
      <c r="DC120" s="189"/>
      <c r="DD120" s="189"/>
      <c r="DE120" s="189"/>
      <c r="DF120" s="189"/>
      <c r="DG120" s="189"/>
      <c r="DH120" s="189"/>
      <c r="DI120" s="189"/>
      <c r="DJ120" s="189"/>
    </row>
    <row r="121" spans="1:114">
      <c r="A121" s="181"/>
      <c r="B121" s="181"/>
      <c r="C121" s="2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BA121" s="189"/>
      <c r="BB121" s="189"/>
      <c r="BC121" s="189"/>
      <c r="BD121" s="189"/>
      <c r="BE121" s="189"/>
      <c r="BF121" s="189"/>
      <c r="BG121" s="189"/>
      <c r="BH121" s="189"/>
      <c r="BI121" s="189"/>
      <c r="BJ121" s="189"/>
      <c r="BK121" s="189"/>
      <c r="BL121" s="189"/>
      <c r="BM121" s="189"/>
      <c r="BN121" s="189"/>
      <c r="BO121" s="189"/>
      <c r="BP121" s="189"/>
      <c r="BQ121" s="189"/>
      <c r="BR121" s="189"/>
      <c r="BS121" s="189"/>
      <c r="BT121" s="189"/>
      <c r="BU121" s="189"/>
      <c r="BV121" s="189"/>
      <c r="BW121" s="189"/>
      <c r="BX121" s="189"/>
      <c r="BY121" s="189"/>
      <c r="BZ121" s="189"/>
      <c r="CA121" s="189"/>
      <c r="CB121" s="189"/>
      <c r="CC121" s="189"/>
      <c r="CD121" s="189"/>
      <c r="CE121" s="189"/>
      <c r="CF121" s="189"/>
      <c r="CG121" s="189"/>
      <c r="CH121" s="189"/>
      <c r="CI121" s="189"/>
      <c r="CJ121" s="189"/>
      <c r="CK121" s="189"/>
      <c r="CL121" s="189"/>
      <c r="CM121" s="189"/>
      <c r="CN121" s="189"/>
      <c r="CO121" s="189"/>
      <c r="CP121" s="189"/>
      <c r="CQ121" s="189"/>
      <c r="CR121" s="189"/>
      <c r="CS121" s="189"/>
      <c r="CT121" s="189"/>
      <c r="CU121" s="189"/>
      <c r="CV121" s="189"/>
      <c r="CW121" s="189"/>
      <c r="CX121" s="189"/>
      <c r="CY121" s="189"/>
      <c r="CZ121" s="189"/>
      <c r="DA121" s="189"/>
      <c r="DB121" s="189"/>
      <c r="DC121" s="189"/>
      <c r="DD121" s="189"/>
      <c r="DE121" s="189"/>
      <c r="DF121" s="189"/>
      <c r="DG121" s="189"/>
      <c r="DH121" s="189"/>
      <c r="DI121" s="189"/>
      <c r="DJ121" s="189"/>
    </row>
    <row r="122" spans="1:114">
      <c r="A122" s="181"/>
      <c r="B122" s="181"/>
      <c r="C122" s="2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BA122" s="189"/>
      <c r="BB122" s="189"/>
      <c r="BC122" s="189"/>
      <c r="BD122" s="189"/>
      <c r="BE122" s="189"/>
      <c r="BF122" s="189"/>
      <c r="BG122" s="189"/>
      <c r="BH122" s="189"/>
      <c r="BI122" s="189"/>
      <c r="BJ122" s="189"/>
      <c r="BK122" s="189"/>
      <c r="BL122" s="189"/>
      <c r="BM122" s="189"/>
      <c r="BN122" s="189"/>
      <c r="BO122" s="189"/>
      <c r="BP122" s="189"/>
      <c r="BQ122" s="189"/>
      <c r="BR122" s="189"/>
      <c r="BS122" s="189"/>
      <c r="BT122" s="189"/>
      <c r="BU122" s="189"/>
      <c r="BV122" s="189"/>
      <c r="BW122" s="189"/>
      <c r="BX122" s="189"/>
      <c r="BY122" s="189"/>
      <c r="BZ122" s="189"/>
      <c r="CA122" s="189"/>
      <c r="CB122" s="189"/>
      <c r="CC122" s="189"/>
      <c r="CD122" s="189"/>
      <c r="CE122" s="189"/>
      <c r="CF122" s="189"/>
      <c r="CG122" s="189"/>
      <c r="CH122" s="189"/>
      <c r="CI122" s="189"/>
      <c r="CJ122" s="189"/>
      <c r="CK122" s="189"/>
      <c r="CL122" s="189"/>
      <c r="CM122" s="189"/>
      <c r="CN122" s="189"/>
      <c r="CO122" s="189"/>
      <c r="CP122" s="189"/>
      <c r="CQ122" s="189"/>
      <c r="CR122" s="189"/>
      <c r="CS122" s="189"/>
      <c r="CT122" s="189"/>
      <c r="CU122" s="189"/>
      <c r="CV122" s="189"/>
      <c r="CW122" s="189"/>
      <c r="CX122" s="189"/>
      <c r="CY122" s="189"/>
      <c r="CZ122" s="189"/>
      <c r="DA122" s="189"/>
      <c r="DB122" s="189"/>
      <c r="DC122" s="189"/>
      <c r="DD122" s="189"/>
      <c r="DE122" s="189"/>
      <c r="DF122" s="189"/>
      <c r="DG122" s="189"/>
      <c r="DH122" s="189"/>
      <c r="DI122" s="189"/>
      <c r="DJ122" s="189"/>
    </row>
    <row r="123" spans="1:114">
      <c r="A123" s="181"/>
      <c r="B123" s="181"/>
      <c r="C123" s="2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BA123" s="189"/>
      <c r="BB123" s="189"/>
      <c r="BC123" s="189"/>
      <c r="BD123" s="189"/>
      <c r="BE123" s="189"/>
      <c r="BF123" s="189"/>
      <c r="BG123" s="189"/>
      <c r="BH123" s="189"/>
      <c r="BI123" s="189"/>
      <c r="BJ123" s="189"/>
      <c r="BK123" s="189"/>
      <c r="BL123" s="189"/>
      <c r="BM123" s="189"/>
      <c r="BN123" s="189"/>
      <c r="BO123" s="189"/>
      <c r="BP123" s="189"/>
      <c r="BQ123" s="189"/>
      <c r="BR123" s="189"/>
      <c r="BS123" s="189"/>
      <c r="BT123" s="189"/>
      <c r="BU123" s="189"/>
      <c r="BV123" s="189"/>
      <c r="BW123" s="189"/>
      <c r="BX123" s="189"/>
      <c r="BY123" s="189"/>
      <c r="BZ123" s="189"/>
      <c r="CA123" s="189"/>
      <c r="CB123" s="189"/>
      <c r="CC123" s="189"/>
      <c r="CD123" s="189"/>
      <c r="CE123" s="189"/>
      <c r="CF123" s="189"/>
      <c r="CG123" s="189"/>
      <c r="CH123" s="189"/>
      <c r="CI123" s="189"/>
      <c r="CJ123" s="189"/>
      <c r="CK123" s="189"/>
      <c r="CL123" s="189"/>
      <c r="CM123" s="189"/>
      <c r="CN123" s="189"/>
      <c r="CO123" s="189"/>
      <c r="CP123" s="189"/>
      <c r="CQ123" s="189"/>
      <c r="CR123" s="189"/>
      <c r="CS123" s="189"/>
      <c r="CT123" s="189"/>
      <c r="CU123" s="189"/>
      <c r="CV123" s="189"/>
      <c r="CW123" s="189"/>
      <c r="CX123" s="189"/>
      <c r="CY123" s="189"/>
      <c r="CZ123" s="189"/>
      <c r="DA123" s="189"/>
      <c r="DB123" s="189"/>
      <c r="DC123" s="189"/>
      <c r="DD123" s="189"/>
      <c r="DE123" s="189"/>
      <c r="DF123" s="189"/>
      <c r="DG123" s="189"/>
      <c r="DH123" s="189"/>
      <c r="DI123" s="189"/>
      <c r="DJ123" s="189"/>
    </row>
    <row r="124" spans="1:114">
      <c r="A124" s="181"/>
      <c r="B124" s="181"/>
      <c r="C124" s="2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BA124" s="189"/>
      <c r="BB124" s="189"/>
      <c r="BC124" s="189"/>
      <c r="BD124" s="189"/>
      <c r="BE124" s="189"/>
      <c r="BF124" s="189"/>
      <c r="BG124" s="189"/>
      <c r="BH124" s="189"/>
      <c r="BI124" s="189"/>
      <c r="BJ124" s="189"/>
      <c r="BK124" s="189"/>
      <c r="BL124" s="189"/>
      <c r="BM124" s="189"/>
      <c r="BN124" s="189"/>
      <c r="BO124" s="189"/>
      <c r="BP124" s="189"/>
      <c r="BQ124" s="189"/>
      <c r="BR124" s="189"/>
      <c r="BS124" s="189"/>
      <c r="BT124" s="189"/>
      <c r="BU124" s="189"/>
      <c r="BV124" s="189"/>
      <c r="BW124" s="189"/>
      <c r="BX124" s="189"/>
      <c r="BY124" s="189"/>
      <c r="BZ124" s="189"/>
      <c r="CA124" s="189"/>
      <c r="CB124" s="189"/>
      <c r="CC124" s="189"/>
      <c r="CD124" s="189"/>
      <c r="CE124" s="189"/>
      <c r="CF124" s="189"/>
      <c r="CG124" s="189"/>
      <c r="CH124" s="189"/>
      <c r="CI124" s="189"/>
      <c r="CJ124" s="189"/>
      <c r="CK124" s="189"/>
      <c r="CL124" s="189"/>
      <c r="CM124" s="189"/>
      <c r="CN124" s="189"/>
      <c r="CO124" s="189"/>
      <c r="CP124" s="189"/>
      <c r="CQ124" s="189"/>
      <c r="CR124" s="189"/>
      <c r="CS124" s="189"/>
      <c r="CT124" s="189"/>
      <c r="CU124" s="189"/>
      <c r="CV124" s="189"/>
      <c r="CW124" s="189"/>
      <c r="CX124" s="189"/>
      <c r="CY124" s="189"/>
      <c r="CZ124" s="189"/>
      <c r="DA124" s="189"/>
      <c r="DB124" s="189"/>
      <c r="DC124" s="189"/>
      <c r="DD124" s="189"/>
      <c r="DE124" s="189"/>
      <c r="DF124" s="189"/>
      <c r="DG124" s="189"/>
      <c r="DH124" s="189"/>
      <c r="DI124" s="189"/>
      <c r="DJ124" s="189"/>
    </row>
    <row r="125" spans="1:114">
      <c r="A125" s="181"/>
      <c r="B125" s="181"/>
      <c r="C125" s="2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BA125" s="189"/>
      <c r="BB125" s="189"/>
      <c r="BC125" s="189"/>
      <c r="BD125" s="189"/>
      <c r="BE125" s="189"/>
      <c r="BF125" s="189"/>
      <c r="BG125" s="189"/>
      <c r="BH125" s="189"/>
      <c r="BI125" s="189"/>
      <c r="BJ125" s="189"/>
      <c r="BK125" s="189"/>
      <c r="BL125" s="189"/>
      <c r="BM125" s="189"/>
      <c r="BN125" s="189"/>
      <c r="BO125" s="189"/>
      <c r="BP125" s="189"/>
      <c r="BQ125" s="189"/>
      <c r="BR125" s="189"/>
      <c r="BS125" s="189"/>
      <c r="BT125" s="189"/>
      <c r="BU125" s="189"/>
      <c r="BV125" s="189"/>
      <c r="BW125" s="189"/>
      <c r="BX125" s="189"/>
      <c r="BY125" s="189"/>
      <c r="BZ125" s="189"/>
      <c r="CA125" s="189"/>
      <c r="CB125" s="189"/>
      <c r="CC125" s="189"/>
      <c r="CD125" s="189"/>
      <c r="CE125" s="189"/>
      <c r="CF125" s="189"/>
      <c r="CG125" s="189"/>
      <c r="CH125" s="189"/>
      <c r="CI125" s="189"/>
      <c r="CJ125" s="189"/>
      <c r="CK125" s="189"/>
      <c r="CL125" s="189"/>
      <c r="CM125" s="189"/>
      <c r="CN125" s="189"/>
      <c r="CO125" s="189"/>
      <c r="CP125" s="189"/>
      <c r="CQ125" s="189"/>
      <c r="CR125" s="189"/>
      <c r="CS125" s="189"/>
      <c r="CT125" s="189"/>
      <c r="CU125" s="189"/>
      <c r="CV125" s="189"/>
      <c r="CW125" s="189"/>
      <c r="CX125" s="189"/>
      <c r="CY125" s="189"/>
      <c r="CZ125" s="189"/>
      <c r="DA125" s="189"/>
      <c r="DB125" s="189"/>
      <c r="DC125" s="189"/>
      <c r="DD125" s="189"/>
      <c r="DE125" s="189"/>
      <c r="DF125" s="189"/>
      <c r="DG125" s="189"/>
      <c r="DH125" s="189"/>
      <c r="DI125" s="189"/>
      <c r="DJ125" s="189"/>
    </row>
    <row r="126" spans="1:114">
      <c r="A126" s="181"/>
      <c r="B126" s="181"/>
      <c r="C126" s="2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BA126" s="189"/>
      <c r="BB126" s="189"/>
      <c r="BC126" s="189"/>
      <c r="BD126" s="189"/>
      <c r="BE126" s="189"/>
      <c r="BF126" s="189"/>
      <c r="BG126" s="189"/>
      <c r="BH126" s="189"/>
      <c r="BI126" s="189"/>
      <c r="BJ126" s="189"/>
      <c r="BK126" s="189"/>
      <c r="BL126" s="189"/>
      <c r="BM126" s="189"/>
      <c r="BN126" s="189"/>
      <c r="BO126" s="189"/>
      <c r="BP126" s="189"/>
      <c r="BQ126" s="189"/>
      <c r="BR126" s="189"/>
      <c r="BS126" s="189"/>
      <c r="BT126" s="189"/>
      <c r="BU126" s="189"/>
      <c r="BV126" s="189"/>
      <c r="BW126" s="189"/>
      <c r="BX126" s="189"/>
      <c r="BY126" s="189"/>
      <c r="BZ126" s="189"/>
      <c r="CA126" s="189"/>
      <c r="CB126" s="189"/>
      <c r="CC126" s="189"/>
      <c r="CD126" s="189"/>
      <c r="CE126" s="189"/>
      <c r="CF126" s="189"/>
      <c r="CG126" s="189"/>
      <c r="CH126" s="189"/>
      <c r="CI126" s="189"/>
      <c r="CJ126" s="189"/>
      <c r="CK126" s="189"/>
      <c r="CL126" s="189"/>
      <c r="CM126" s="189"/>
      <c r="CN126" s="189"/>
      <c r="CO126" s="189"/>
      <c r="CP126" s="189"/>
      <c r="CQ126" s="189"/>
      <c r="CR126" s="189"/>
      <c r="CS126" s="189"/>
      <c r="CT126" s="189"/>
      <c r="CU126" s="189"/>
      <c r="CV126" s="189"/>
      <c r="CW126" s="189"/>
      <c r="CX126" s="189"/>
      <c r="CY126" s="189"/>
      <c r="CZ126" s="189"/>
      <c r="DA126" s="189"/>
      <c r="DB126" s="189"/>
      <c r="DC126" s="189"/>
      <c r="DD126" s="189"/>
      <c r="DE126" s="189"/>
      <c r="DF126" s="189"/>
      <c r="DG126" s="189"/>
      <c r="DH126" s="189"/>
      <c r="DI126" s="189"/>
      <c r="DJ126" s="189"/>
    </row>
    <row r="127" spans="1:114">
      <c r="A127" s="181"/>
      <c r="B127" s="181"/>
      <c r="C127" s="2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189"/>
      <c r="BN127" s="189"/>
      <c r="BO127" s="189"/>
      <c r="BP127" s="189"/>
      <c r="BQ127" s="189"/>
      <c r="BR127" s="189"/>
      <c r="BS127" s="189"/>
      <c r="BT127" s="189"/>
      <c r="BU127" s="189"/>
      <c r="BV127" s="189"/>
      <c r="BW127" s="189"/>
      <c r="BX127" s="189"/>
      <c r="BY127" s="189"/>
      <c r="BZ127" s="189"/>
      <c r="CA127" s="189"/>
      <c r="CB127" s="189"/>
      <c r="CC127" s="189"/>
      <c r="CD127" s="189"/>
      <c r="CE127" s="189"/>
      <c r="CF127" s="189"/>
      <c r="CG127" s="189"/>
      <c r="CH127" s="189"/>
      <c r="CI127" s="189"/>
      <c r="CJ127" s="189"/>
      <c r="CK127" s="189"/>
      <c r="CL127" s="189"/>
      <c r="CM127" s="189"/>
      <c r="CN127" s="189"/>
      <c r="CO127" s="189"/>
      <c r="CP127" s="189"/>
      <c r="CQ127" s="189"/>
      <c r="CR127" s="189"/>
      <c r="CS127" s="189"/>
      <c r="CT127" s="189"/>
      <c r="CU127" s="189"/>
      <c r="CV127" s="189"/>
      <c r="CW127" s="189"/>
      <c r="CX127" s="189"/>
      <c r="CY127" s="189"/>
      <c r="CZ127" s="189"/>
      <c r="DA127" s="189"/>
      <c r="DB127" s="189"/>
      <c r="DC127" s="189"/>
      <c r="DD127" s="189"/>
      <c r="DE127" s="189"/>
      <c r="DF127" s="189"/>
      <c r="DG127" s="189"/>
      <c r="DH127" s="189"/>
      <c r="DI127" s="189"/>
      <c r="DJ127" s="189"/>
    </row>
    <row r="128" spans="1:114">
      <c r="A128" s="181"/>
      <c r="B128" s="181"/>
      <c r="C128" s="2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BA128" s="189"/>
      <c r="BB128" s="189"/>
      <c r="BC128" s="189"/>
      <c r="BD128" s="189"/>
      <c r="BE128" s="189"/>
      <c r="BF128" s="189"/>
      <c r="BG128" s="189"/>
      <c r="BH128" s="189"/>
      <c r="BI128" s="189"/>
      <c r="BJ128" s="189"/>
      <c r="BK128" s="189"/>
      <c r="BL128" s="189"/>
      <c r="BM128" s="189"/>
      <c r="BN128" s="189"/>
      <c r="BO128" s="189"/>
      <c r="BP128" s="189"/>
      <c r="BQ128" s="189"/>
      <c r="BR128" s="189"/>
      <c r="BS128" s="189"/>
      <c r="BT128" s="189"/>
      <c r="BU128" s="189"/>
      <c r="BV128" s="189"/>
      <c r="BW128" s="189"/>
      <c r="BX128" s="189"/>
      <c r="BY128" s="189"/>
      <c r="BZ128" s="189"/>
      <c r="CA128" s="189"/>
      <c r="CB128" s="189"/>
      <c r="CC128" s="189"/>
      <c r="CD128" s="189"/>
      <c r="CE128" s="189"/>
      <c r="CF128" s="189"/>
      <c r="CG128" s="189"/>
      <c r="CH128" s="189"/>
      <c r="CI128" s="189"/>
      <c r="CJ128" s="189"/>
      <c r="CK128" s="189"/>
      <c r="CL128" s="189"/>
      <c r="CM128" s="189"/>
      <c r="CN128" s="189"/>
      <c r="CO128" s="189"/>
      <c r="CP128" s="189"/>
      <c r="CQ128" s="189"/>
      <c r="CR128" s="189"/>
      <c r="CS128" s="189"/>
      <c r="CT128" s="189"/>
      <c r="CU128" s="189"/>
      <c r="CV128" s="189"/>
      <c r="CW128" s="189"/>
      <c r="CX128" s="189"/>
      <c r="CY128" s="189"/>
      <c r="CZ128" s="189"/>
      <c r="DA128" s="189"/>
      <c r="DB128" s="189"/>
      <c r="DC128" s="189"/>
      <c r="DD128" s="189"/>
      <c r="DE128" s="189"/>
      <c r="DF128" s="189"/>
      <c r="DG128" s="189"/>
      <c r="DH128" s="189"/>
      <c r="DI128" s="189"/>
      <c r="DJ128" s="189"/>
    </row>
    <row r="129" spans="1:114">
      <c r="A129" s="181"/>
      <c r="B129" s="181"/>
      <c r="C129" s="2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BA129" s="189"/>
      <c r="BB129" s="189"/>
      <c r="BC129" s="189"/>
      <c r="BD129" s="189"/>
      <c r="BE129" s="189"/>
      <c r="BF129" s="189"/>
      <c r="BG129" s="189"/>
      <c r="BH129" s="189"/>
      <c r="BI129" s="189"/>
      <c r="BJ129" s="189"/>
      <c r="BK129" s="189"/>
      <c r="BL129" s="189"/>
      <c r="BM129" s="189"/>
      <c r="BN129" s="189"/>
      <c r="BO129" s="189"/>
      <c r="BP129" s="189"/>
      <c r="BQ129" s="189"/>
      <c r="BR129" s="189"/>
      <c r="BS129" s="189"/>
      <c r="BT129" s="189"/>
      <c r="BU129" s="189"/>
      <c r="BV129" s="189"/>
      <c r="BW129" s="189"/>
      <c r="BX129" s="189"/>
      <c r="BY129" s="189"/>
      <c r="BZ129" s="189"/>
      <c r="CA129" s="189"/>
      <c r="CB129" s="189"/>
      <c r="CC129" s="189"/>
      <c r="CD129" s="189"/>
      <c r="CE129" s="189"/>
      <c r="CF129" s="189"/>
      <c r="CG129" s="189"/>
      <c r="CH129" s="189"/>
      <c r="CI129" s="189"/>
      <c r="CJ129" s="189"/>
      <c r="CK129" s="189"/>
      <c r="CL129" s="189"/>
      <c r="CM129" s="189"/>
      <c r="CN129" s="189"/>
      <c r="CO129" s="189"/>
      <c r="CP129" s="189"/>
      <c r="CQ129" s="189"/>
      <c r="CR129" s="189"/>
      <c r="CS129" s="189"/>
      <c r="CT129" s="189"/>
      <c r="CU129" s="189"/>
      <c r="CV129" s="189"/>
      <c r="CW129" s="189"/>
      <c r="CX129" s="189"/>
      <c r="CY129" s="189"/>
      <c r="CZ129" s="189"/>
      <c r="DA129" s="189"/>
      <c r="DB129" s="189"/>
      <c r="DC129" s="189"/>
      <c r="DD129" s="189"/>
      <c r="DE129" s="189"/>
      <c r="DF129" s="189"/>
      <c r="DG129" s="189"/>
      <c r="DH129" s="189"/>
      <c r="DI129" s="189"/>
      <c r="DJ129" s="189"/>
    </row>
    <row r="130" spans="1:114">
      <c r="A130" s="181"/>
      <c r="B130" s="181"/>
      <c r="C130" s="2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BA130" s="189"/>
      <c r="BB130" s="189"/>
      <c r="BC130" s="189"/>
      <c r="BD130" s="189"/>
      <c r="BE130" s="189"/>
      <c r="BF130" s="189"/>
      <c r="BG130" s="189"/>
      <c r="BH130" s="189"/>
      <c r="BI130" s="189"/>
      <c r="BJ130" s="189"/>
      <c r="BK130" s="189"/>
      <c r="BL130" s="189"/>
      <c r="BM130" s="189"/>
      <c r="BN130" s="189"/>
      <c r="BO130" s="189"/>
      <c r="BP130" s="189"/>
      <c r="BQ130" s="189"/>
      <c r="BR130" s="189"/>
      <c r="BS130" s="189"/>
      <c r="BT130" s="189"/>
      <c r="BU130" s="189"/>
      <c r="BV130" s="189"/>
      <c r="BW130" s="189"/>
      <c r="BX130" s="189"/>
      <c r="BY130" s="189"/>
      <c r="BZ130" s="189"/>
      <c r="CA130" s="189"/>
      <c r="CB130" s="189"/>
      <c r="CC130" s="189"/>
      <c r="CD130" s="189"/>
      <c r="CE130" s="189"/>
      <c r="CF130" s="189"/>
      <c r="CG130" s="189"/>
      <c r="CH130" s="189"/>
      <c r="CI130" s="189"/>
      <c r="CJ130" s="189"/>
      <c r="CK130" s="189"/>
      <c r="CL130" s="189"/>
      <c r="CM130" s="189"/>
      <c r="CN130" s="189"/>
      <c r="CO130" s="189"/>
      <c r="CP130" s="189"/>
      <c r="CQ130" s="189"/>
      <c r="CR130" s="189"/>
      <c r="CS130" s="189"/>
      <c r="CT130" s="189"/>
      <c r="CU130" s="189"/>
      <c r="CV130" s="189"/>
      <c r="CW130" s="189"/>
      <c r="CX130" s="189"/>
      <c r="CY130" s="189"/>
      <c r="CZ130" s="189"/>
      <c r="DA130" s="189"/>
      <c r="DB130" s="189"/>
      <c r="DC130" s="189"/>
      <c r="DD130" s="189"/>
      <c r="DE130" s="189"/>
      <c r="DF130" s="189"/>
      <c r="DG130" s="189"/>
      <c r="DH130" s="189"/>
      <c r="DI130" s="189"/>
      <c r="DJ130" s="189"/>
    </row>
    <row r="131" spans="1:114">
      <c r="A131" s="181"/>
      <c r="B131" s="181"/>
      <c r="C131" s="2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BA131" s="189"/>
      <c r="BB131" s="189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89"/>
      <c r="BN131" s="189"/>
      <c r="BO131" s="189"/>
      <c r="BP131" s="189"/>
      <c r="BQ131" s="189"/>
      <c r="BR131" s="189"/>
      <c r="BS131" s="189"/>
      <c r="BT131" s="189"/>
      <c r="BU131" s="189"/>
      <c r="BV131" s="189"/>
      <c r="BW131" s="189"/>
      <c r="BX131" s="189"/>
      <c r="BY131" s="189"/>
      <c r="BZ131" s="189"/>
      <c r="CA131" s="189"/>
      <c r="CB131" s="189"/>
      <c r="CC131" s="189"/>
      <c r="CD131" s="189"/>
      <c r="CE131" s="189"/>
      <c r="CF131" s="189"/>
      <c r="CG131" s="189"/>
      <c r="CH131" s="189"/>
      <c r="CI131" s="189"/>
      <c r="CJ131" s="189"/>
      <c r="CK131" s="189"/>
      <c r="CL131" s="189"/>
      <c r="CM131" s="189"/>
      <c r="CN131" s="189"/>
      <c r="CO131" s="189"/>
      <c r="CP131" s="189"/>
      <c r="CQ131" s="189"/>
      <c r="CR131" s="189"/>
      <c r="CS131" s="189"/>
      <c r="CT131" s="189"/>
      <c r="CU131" s="189"/>
      <c r="CV131" s="189"/>
      <c r="CW131" s="189"/>
      <c r="CX131" s="189"/>
      <c r="CY131" s="189"/>
      <c r="CZ131" s="189"/>
      <c r="DA131" s="189"/>
      <c r="DB131" s="189"/>
      <c r="DC131" s="189"/>
      <c r="DD131" s="189"/>
      <c r="DE131" s="189"/>
      <c r="DF131" s="189"/>
      <c r="DG131" s="189"/>
      <c r="DH131" s="189"/>
      <c r="DI131" s="189"/>
      <c r="DJ131" s="189"/>
    </row>
    <row r="132" spans="1:114">
      <c r="A132" s="181"/>
      <c r="B132" s="181"/>
      <c r="C132" s="2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BA132" s="189"/>
      <c r="BB132" s="189"/>
      <c r="BC132" s="189"/>
      <c r="BD132" s="189"/>
      <c r="BE132" s="189"/>
      <c r="BF132" s="189"/>
      <c r="BG132" s="189"/>
      <c r="BH132" s="189"/>
      <c r="BI132" s="189"/>
      <c r="BJ132" s="189"/>
      <c r="BK132" s="189"/>
      <c r="BL132" s="189"/>
      <c r="BM132" s="189"/>
      <c r="BN132" s="189"/>
      <c r="BO132" s="189"/>
      <c r="BP132" s="189"/>
      <c r="BQ132" s="189"/>
      <c r="BR132" s="189"/>
      <c r="BS132" s="189"/>
      <c r="BT132" s="189"/>
      <c r="BU132" s="189"/>
      <c r="BV132" s="189"/>
      <c r="BW132" s="189"/>
      <c r="BX132" s="189"/>
      <c r="BY132" s="189"/>
      <c r="BZ132" s="189"/>
      <c r="CA132" s="189"/>
      <c r="CB132" s="189"/>
      <c r="CC132" s="189"/>
      <c r="CD132" s="189"/>
      <c r="CE132" s="189"/>
      <c r="CF132" s="189"/>
      <c r="CG132" s="189"/>
      <c r="CH132" s="189"/>
      <c r="CI132" s="189"/>
      <c r="CJ132" s="189"/>
      <c r="CK132" s="189"/>
      <c r="CL132" s="189"/>
      <c r="CM132" s="189"/>
      <c r="CN132" s="189"/>
      <c r="CO132" s="189"/>
      <c r="CP132" s="189"/>
      <c r="CQ132" s="189"/>
      <c r="CR132" s="189"/>
      <c r="CS132" s="189"/>
      <c r="CT132" s="189"/>
      <c r="CU132" s="189"/>
      <c r="CV132" s="189"/>
      <c r="CW132" s="189"/>
      <c r="CX132" s="189"/>
      <c r="CY132" s="189"/>
      <c r="CZ132" s="189"/>
      <c r="DA132" s="189"/>
      <c r="DB132" s="189"/>
      <c r="DC132" s="189"/>
      <c r="DD132" s="189"/>
      <c r="DE132" s="189"/>
      <c r="DF132" s="189"/>
      <c r="DG132" s="189"/>
      <c r="DH132" s="189"/>
      <c r="DI132" s="189"/>
      <c r="DJ132" s="189"/>
    </row>
    <row r="133" spans="1:114">
      <c r="A133" s="181"/>
      <c r="B133" s="181"/>
      <c r="C133" s="2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  <c r="BS133" s="189"/>
      <c r="BT133" s="189"/>
      <c r="BU133" s="189"/>
      <c r="BV133" s="189"/>
      <c r="BW133" s="189"/>
      <c r="BX133" s="189"/>
      <c r="BY133" s="189"/>
      <c r="BZ133" s="189"/>
      <c r="CA133" s="189"/>
      <c r="CB133" s="189"/>
      <c r="CC133" s="189"/>
      <c r="CD133" s="189"/>
      <c r="CE133" s="189"/>
      <c r="CF133" s="189"/>
      <c r="CG133" s="189"/>
      <c r="CH133" s="189"/>
      <c r="CI133" s="189"/>
      <c r="CJ133" s="189"/>
      <c r="CK133" s="189"/>
      <c r="CL133" s="189"/>
      <c r="CM133" s="189"/>
      <c r="CN133" s="189"/>
      <c r="CO133" s="189"/>
      <c r="CP133" s="189"/>
      <c r="CQ133" s="189"/>
      <c r="CR133" s="189"/>
      <c r="CS133" s="189"/>
      <c r="CT133" s="189"/>
      <c r="CU133" s="189"/>
      <c r="CV133" s="189"/>
      <c r="CW133" s="189"/>
      <c r="CX133" s="189"/>
      <c r="CY133" s="189"/>
      <c r="CZ133" s="189"/>
      <c r="DA133" s="189"/>
      <c r="DB133" s="189"/>
      <c r="DC133" s="189"/>
      <c r="DD133" s="189"/>
      <c r="DE133" s="189"/>
      <c r="DF133" s="189"/>
      <c r="DG133" s="189"/>
      <c r="DH133" s="189"/>
      <c r="DI133" s="189"/>
      <c r="DJ133" s="189"/>
    </row>
    <row r="134" spans="1:114">
      <c r="A134" s="181"/>
      <c r="B134" s="181"/>
      <c r="C134" s="2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1"/>
      <c r="W134" s="181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  <c r="BS134" s="189"/>
      <c r="BT134" s="189"/>
      <c r="BU134" s="189"/>
      <c r="BV134" s="189"/>
      <c r="BW134" s="189"/>
      <c r="BX134" s="189"/>
      <c r="BY134" s="189"/>
      <c r="BZ134" s="189"/>
      <c r="CA134" s="189"/>
      <c r="CB134" s="189"/>
      <c r="CC134" s="189"/>
      <c r="CD134" s="189"/>
      <c r="CE134" s="189"/>
      <c r="CF134" s="189"/>
      <c r="CG134" s="189"/>
      <c r="CH134" s="189"/>
      <c r="CI134" s="189"/>
      <c r="CJ134" s="189"/>
      <c r="CK134" s="189"/>
      <c r="CL134" s="189"/>
      <c r="CM134" s="189"/>
      <c r="CN134" s="189"/>
      <c r="CO134" s="189"/>
      <c r="CP134" s="189"/>
      <c r="CQ134" s="189"/>
      <c r="CR134" s="189"/>
      <c r="CS134" s="189"/>
      <c r="CT134" s="189"/>
      <c r="CU134" s="189"/>
      <c r="CV134" s="189"/>
      <c r="CW134" s="189"/>
      <c r="CX134" s="189"/>
      <c r="CY134" s="189"/>
      <c r="CZ134" s="189"/>
      <c r="DA134" s="189"/>
      <c r="DB134" s="189"/>
      <c r="DC134" s="189"/>
      <c r="DD134" s="189"/>
      <c r="DE134" s="189"/>
      <c r="DF134" s="189"/>
      <c r="DG134" s="189"/>
      <c r="DH134" s="189"/>
      <c r="DI134" s="189"/>
      <c r="DJ134" s="189"/>
    </row>
    <row r="135" spans="1:114">
      <c r="A135" s="181"/>
      <c r="B135" s="181"/>
      <c r="C135" s="2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BA135" s="189"/>
      <c r="BB135" s="189"/>
      <c r="BC135" s="189"/>
      <c r="BD135" s="189"/>
      <c r="BE135" s="189"/>
      <c r="BF135" s="189"/>
      <c r="BG135" s="189"/>
      <c r="BH135" s="189"/>
      <c r="BI135" s="189"/>
      <c r="BJ135" s="189"/>
      <c r="BK135" s="189"/>
      <c r="BL135" s="189"/>
      <c r="BM135" s="189"/>
      <c r="BN135" s="189"/>
      <c r="BO135" s="189"/>
      <c r="BP135" s="189"/>
      <c r="BQ135" s="189"/>
      <c r="BR135" s="189"/>
      <c r="BS135" s="189"/>
      <c r="BT135" s="189"/>
      <c r="BU135" s="189"/>
      <c r="BV135" s="189"/>
      <c r="BW135" s="189"/>
      <c r="BX135" s="189"/>
      <c r="BY135" s="189"/>
      <c r="BZ135" s="189"/>
      <c r="CA135" s="189"/>
      <c r="CB135" s="189"/>
      <c r="CC135" s="189"/>
      <c r="CD135" s="189"/>
      <c r="CE135" s="189"/>
      <c r="CF135" s="189"/>
      <c r="CG135" s="189"/>
      <c r="CH135" s="189"/>
      <c r="CI135" s="189"/>
      <c r="CJ135" s="189"/>
      <c r="CK135" s="189"/>
      <c r="CL135" s="189"/>
      <c r="CM135" s="189"/>
      <c r="CN135" s="189"/>
      <c r="CO135" s="189"/>
      <c r="CP135" s="189"/>
      <c r="CQ135" s="189"/>
      <c r="CR135" s="189"/>
      <c r="CS135" s="189"/>
      <c r="CT135" s="189"/>
      <c r="CU135" s="189"/>
      <c r="CV135" s="189"/>
      <c r="CW135" s="189"/>
      <c r="CX135" s="189"/>
      <c r="CY135" s="189"/>
      <c r="CZ135" s="189"/>
      <c r="DA135" s="189"/>
      <c r="DB135" s="189"/>
      <c r="DC135" s="189"/>
      <c r="DD135" s="189"/>
      <c r="DE135" s="189"/>
      <c r="DF135" s="189"/>
      <c r="DG135" s="189"/>
      <c r="DH135" s="189"/>
      <c r="DI135" s="189"/>
      <c r="DJ135" s="189"/>
    </row>
    <row r="136" spans="1:114">
      <c r="A136" s="181"/>
      <c r="B136" s="181"/>
      <c r="C136" s="2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BA136" s="189"/>
      <c r="BB136" s="189"/>
      <c r="BC136" s="189"/>
      <c r="BD136" s="189"/>
      <c r="BE136" s="189"/>
      <c r="BF136" s="189"/>
      <c r="BG136" s="189"/>
      <c r="BH136" s="189"/>
      <c r="BI136" s="189"/>
      <c r="BJ136" s="189"/>
      <c r="BK136" s="189"/>
      <c r="BL136" s="189"/>
      <c r="BM136" s="189"/>
      <c r="BN136" s="189"/>
      <c r="BO136" s="189"/>
      <c r="BP136" s="189"/>
      <c r="BQ136" s="189"/>
      <c r="BR136" s="189"/>
      <c r="BS136" s="189"/>
      <c r="BT136" s="189"/>
      <c r="BU136" s="189"/>
      <c r="BV136" s="189"/>
      <c r="BW136" s="189"/>
      <c r="BX136" s="189"/>
      <c r="BY136" s="189"/>
      <c r="BZ136" s="189"/>
      <c r="CA136" s="189"/>
      <c r="CB136" s="189"/>
      <c r="CC136" s="189"/>
      <c r="CD136" s="189"/>
      <c r="CE136" s="189"/>
      <c r="CF136" s="189"/>
      <c r="CG136" s="189"/>
      <c r="CH136" s="189"/>
      <c r="CI136" s="189"/>
      <c r="CJ136" s="189"/>
      <c r="CK136" s="189"/>
      <c r="CL136" s="189"/>
      <c r="CM136" s="189"/>
      <c r="CN136" s="189"/>
      <c r="CO136" s="189"/>
      <c r="CP136" s="189"/>
      <c r="CQ136" s="189"/>
      <c r="CR136" s="189"/>
      <c r="CS136" s="189"/>
      <c r="CT136" s="189"/>
      <c r="CU136" s="189"/>
      <c r="CV136" s="189"/>
      <c r="CW136" s="189"/>
      <c r="CX136" s="189"/>
      <c r="CY136" s="189"/>
      <c r="CZ136" s="189"/>
      <c r="DA136" s="189"/>
      <c r="DB136" s="189"/>
      <c r="DC136" s="189"/>
      <c r="DD136" s="189"/>
      <c r="DE136" s="189"/>
      <c r="DF136" s="189"/>
      <c r="DG136" s="189"/>
      <c r="DH136" s="189"/>
      <c r="DI136" s="189"/>
      <c r="DJ136" s="189"/>
    </row>
    <row r="137" spans="1:114">
      <c r="A137" s="181"/>
      <c r="B137" s="181"/>
      <c r="C137" s="2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BA137" s="189"/>
      <c r="BB137" s="189"/>
      <c r="BC137" s="189"/>
      <c r="BD137" s="189"/>
      <c r="BE137" s="189"/>
      <c r="BF137" s="189"/>
      <c r="BG137" s="189"/>
      <c r="BH137" s="189"/>
      <c r="BI137" s="189"/>
      <c r="BJ137" s="189"/>
      <c r="BK137" s="189"/>
      <c r="BL137" s="189"/>
      <c r="BM137" s="189"/>
      <c r="BN137" s="189"/>
      <c r="BO137" s="189"/>
      <c r="BP137" s="189"/>
      <c r="BQ137" s="189"/>
      <c r="BR137" s="189"/>
      <c r="BS137" s="189"/>
      <c r="BT137" s="189"/>
      <c r="BU137" s="189"/>
      <c r="BV137" s="189"/>
      <c r="BW137" s="189"/>
      <c r="BX137" s="189"/>
      <c r="BY137" s="189"/>
      <c r="BZ137" s="189"/>
      <c r="CA137" s="189"/>
      <c r="CB137" s="189"/>
      <c r="CC137" s="189"/>
      <c r="CD137" s="189"/>
      <c r="CE137" s="189"/>
      <c r="CF137" s="189"/>
      <c r="CG137" s="189"/>
      <c r="CH137" s="189"/>
      <c r="CI137" s="189"/>
      <c r="CJ137" s="189"/>
      <c r="CK137" s="189"/>
      <c r="CL137" s="189"/>
      <c r="CM137" s="189"/>
      <c r="CN137" s="189"/>
      <c r="CO137" s="189"/>
      <c r="CP137" s="189"/>
      <c r="CQ137" s="189"/>
      <c r="CR137" s="189"/>
      <c r="CS137" s="189"/>
      <c r="CT137" s="189"/>
      <c r="CU137" s="189"/>
      <c r="CV137" s="189"/>
      <c r="CW137" s="189"/>
      <c r="CX137" s="189"/>
      <c r="CY137" s="189"/>
      <c r="CZ137" s="189"/>
      <c r="DA137" s="189"/>
      <c r="DB137" s="189"/>
      <c r="DC137" s="189"/>
      <c r="DD137" s="189"/>
      <c r="DE137" s="189"/>
      <c r="DF137" s="189"/>
      <c r="DG137" s="189"/>
      <c r="DH137" s="189"/>
      <c r="DI137" s="189"/>
      <c r="DJ137" s="189"/>
    </row>
    <row r="138" spans="1:114">
      <c r="A138" s="181"/>
      <c r="B138" s="181"/>
      <c r="C138" s="2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BA138" s="189"/>
      <c r="BB138" s="189"/>
      <c r="BC138" s="189"/>
      <c r="BD138" s="189"/>
      <c r="BE138" s="189"/>
      <c r="BF138" s="189"/>
      <c r="BG138" s="189"/>
      <c r="BH138" s="189"/>
      <c r="BI138" s="189"/>
      <c r="BJ138" s="189"/>
      <c r="BK138" s="189"/>
      <c r="BL138" s="189"/>
      <c r="BM138" s="189"/>
      <c r="BN138" s="189"/>
      <c r="BO138" s="189"/>
      <c r="BP138" s="189"/>
      <c r="BQ138" s="189"/>
      <c r="BR138" s="189"/>
      <c r="BS138" s="189"/>
      <c r="BT138" s="189"/>
      <c r="BU138" s="189"/>
      <c r="BV138" s="189"/>
      <c r="BW138" s="189"/>
      <c r="BX138" s="189"/>
      <c r="BY138" s="189"/>
      <c r="BZ138" s="189"/>
      <c r="CA138" s="189"/>
      <c r="CB138" s="189"/>
      <c r="CC138" s="189"/>
      <c r="CD138" s="189"/>
      <c r="CE138" s="189"/>
      <c r="CF138" s="189"/>
      <c r="CG138" s="189"/>
      <c r="CH138" s="189"/>
      <c r="CI138" s="189"/>
      <c r="CJ138" s="189"/>
      <c r="CK138" s="189"/>
      <c r="CL138" s="189"/>
      <c r="CM138" s="189"/>
      <c r="CN138" s="189"/>
      <c r="CO138" s="189"/>
      <c r="CP138" s="189"/>
      <c r="CQ138" s="189"/>
      <c r="CR138" s="189"/>
      <c r="CS138" s="189"/>
      <c r="CT138" s="189"/>
      <c r="CU138" s="189"/>
      <c r="CV138" s="189"/>
      <c r="CW138" s="189"/>
      <c r="CX138" s="189"/>
      <c r="CY138" s="189"/>
      <c r="CZ138" s="189"/>
      <c r="DA138" s="189"/>
      <c r="DB138" s="189"/>
      <c r="DC138" s="189"/>
      <c r="DD138" s="189"/>
      <c r="DE138" s="189"/>
      <c r="DF138" s="189"/>
      <c r="DG138" s="189"/>
      <c r="DH138" s="189"/>
      <c r="DI138" s="189"/>
      <c r="DJ138" s="189"/>
    </row>
    <row r="139" spans="1:114">
      <c r="A139" s="181"/>
      <c r="B139" s="181"/>
      <c r="C139" s="2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BA139" s="189"/>
      <c r="BB139" s="189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9"/>
      <c r="BM139" s="189"/>
      <c r="BN139" s="189"/>
      <c r="BO139" s="189"/>
      <c r="BP139" s="189"/>
      <c r="BQ139" s="189"/>
      <c r="BR139" s="189"/>
      <c r="BS139" s="189"/>
      <c r="BT139" s="189"/>
      <c r="BU139" s="189"/>
      <c r="BV139" s="189"/>
      <c r="BW139" s="189"/>
      <c r="BX139" s="189"/>
      <c r="BY139" s="189"/>
      <c r="BZ139" s="189"/>
      <c r="CA139" s="189"/>
      <c r="CB139" s="189"/>
      <c r="CC139" s="189"/>
      <c r="CD139" s="189"/>
      <c r="CE139" s="189"/>
      <c r="CF139" s="189"/>
      <c r="CG139" s="189"/>
      <c r="CH139" s="189"/>
      <c r="CI139" s="189"/>
      <c r="CJ139" s="189"/>
      <c r="CK139" s="189"/>
      <c r="CL139" s="189"/>
      <c r="CM139" s="189"/>
      <c r="CN139" s="189"/>
      <c r="CO139" s="189"/>
      <c r="CP139" s="189"/>
      <c r="CQ139" s="189"/>
      <c r="CR139" s="189"/>
      <c r="CS139" s="189"/>
      <c r="CT139" s="189"/>
      <c r="CU139" s="189"/>
      <c r="CV139" s="189"/>
      <c r="CW139" s="189"/>
      <c r="CX139" s="189"/>
      <c r="CY139" s="189"/>
      <c r="CZ139" s="189"/>
      <c r="DA139" s="189"/>
      <c r="DB139" s="189"/>
      <c r="DC139" s="189"/>
      <c r="DD139" s="189"/>
      <c r="DE139" s="189"/>
      <c r="DF139" s="189"/>
      <c r="DG139" s="189"/>
      <c r="DH139" s="189"/>
      <c r="DI139" s="189"/>
      <c r="DJ139" s="189"/>
    </row>
    <row r="140" spans="1:114">
      <c r="A140" s="181"/>
      <c r="B140" s="181"/>
      <c r="C140" s="2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BA140" s="189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9"/>
      <c r="BM140" s="189"/>
      <c r="BN140" s="189"/>
      <c r="BO140" s="189"/>
      <c r="BP140" s="189"/>
      <c r="BQ140" s="189"/>
      <c r="BR140" s="189"/>
      <c r="BS140" s="189"/>
      <c r="BT140" s="189"/>
      <c r="BU140" s="189"/>
      <c r="BV140" s="189"/>
      <c r="BW140" s="189"/>
      <c r="BX140" s="189"/>
      <c r="BY140" s="189"/>
      <c r="BZ140" s="189"/>
      <c r="CA140" s="189"/>
      <c r="CB140" s="189"/>
      <c r="CC140" s="189"/>
      <c r="CD140" s="189"/>
      <c r="CE140" s="189"/>
      <c r="CF140" s="189"/>
      <c r="CG140" s="189"/>
      <c r="CH140" s="189"/>
      <c r="CI140" s="189"/>
      <c r="CJ140" s="189"/>
      <c r="CK140" s="189"/>
      <c r="CL140" s="189"/>
      <c r="CM140" s="189"/>
      <c r="CN140" s="189"/>
      <c r="CO140" s="189"/>
      <c r="CP140" s="189"/>
      <c r="CQ140" s="189"/>
      <c r="CR140" s="189"/>
      <c r="CS140" s="189"/>
      <c r="CT140" s="189"/>
      <c r="CU140" s="189"/>
      <c r="CV140" s="189"/>
      <c r="CW140" s="189"/>
      <c r="CX140" s="189"/>
      <c r="CY140" s="189"/>
      <c r="CZ140" s="189"/>
      <c r="DA140" s="189"/>
      <c r="DB140" s="189"/>
      <c r="DC140" s="189"/>
      <c r="DD140" s="189"/>
      <c r="DE140" s="189"/>
      <c r="DF140" s="189"/>
      <c r="DG140" s="189"/>
      <c r="DH140" s="189"/>
      <c r="DI140" s="189"/>
      <c r="DJ140" s="189"/>
    </row>
    <row r="141" spans="1:114">
      <c r="A141" s="181"/>
      <c r="B141" s="181"/>
      <c r="C141" s="2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BA141" s="189"/>
      <c r="BB141" s="189"/>
      <c r="BC141" s="189"/>
      <c r="BD141" s="189"/>
      <c r="BE141" s="189"/>
      <c r="BF141" s="189"/>
      <c r="BG141" s="189"/>
      <c r="BH141" s="189"/>
      <c r="BI141" s="189"/>
      <c r="BJ141" s="189"/>
      <c r="BK141" s="189"/>
      <c r="BL141" s="189"/>
      <c r="BM141" s="189"/>
      <c r="BN141" s="189"/>
      <c r="BO141" s="189"/>
      <c r="BP141" s="189"/>
      <c r="BQ141" s="189"/>
      <c r="BR141" s="189"/>
      <c r="BS141" s="189"/>
      <c r="BT141" s="189"/>
      <c r="BU141" s="189"/>
      <c r="BV141" s="189"/>
      <c r="BW141" s="189"/>
      <c r="BX141" s="189"/>
      <c r="BY141" s="189"/>
      <c r="BZ141" s="189"/>
      <c r="CA141" s="189"/>
      <c r="CB141" s="189"/>
      <c r="CC141" s="189"/>
      <c r="CD141" s="189"/>
      <c r="CE141" s="189"/>
      <c r="CF141" s="189"/>
      <c r="CG141" s="189"/>
      <c r="CH141" s="189"/>
      <c r="CI141" s="189"/>
      <c r="CJ141" s="189"/>
      <c r="CK141" s="189"/>
      <c r="CL141" s="189"/>
      <c r="CM141" s="189"/>
      <c r="CN141" s="189"/>
      <c r="CO141" s="189"/>
      <c r="CP141" s="189"/>
      <c r="CQ141" s="189"/>
      <c r="CR141" s="189"/>
      <c r="CS141" s="189"/>
      <c r="CT141" s="189"/>
      <c r="CU141" s="189"/>
      <c r="CV141" s="189"/>
      <c r="CW141" s="189"/>
      <c r="CX141" s="189"/>
      <c r="CY141" s="189"/>
      <c r="CZ141" s="189"/>
      <c r="DA141" s="189"/>
      <c r="DB141" s="189"/>
      <c r="DC141" s="189"/>
      <c r="DD141" s="189"/>
      <c r="DE141" s="189"/>
      <c r="DF141" s="189"/>
      <c r="DG141" s="189"/>
      <c r="DH141" s="189"/>
      <c r="DI141" s="189"/>
      <c r="DJ141" s="189"/>
    </row>
    <row r="142" spans="1:114">
      <c r="A142" s="181"/>
      <c r="B142" s="181"/>
      <c r="C142" s="2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BA142" s="189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89"/>
      <c r="BL142" s="189"/>
      <c r="BM142" s="189"/>
      <c r="BN142" s="189"/>
      <c r="BO142" s="189"/>
      <c r="BP142" s="189"/>
      <c r="BQ142" s="189"/>
      <c r="BR142" s="189"/>
      <c r="BS142" s="189"/>
      <c r="BT142" s="189"/>
      <c r="BU142" s="189"/>
      <c r="BV142" s="189"/>
      <c r="BW142" s="189"/>
      <c r="BX142" s="189"/>
      <c r="BY142" s="189"/>
      <c r="BZ142" s="189"/>
      <c r="CA142" s="189"/>
      <c r="CB142" s="189"/>
      <c r="CC142" s="189"/>
      <c r="CD142" s="189"/>
      <c r="CE142" s="189"/>
      <c r="CF142" s="189"/>
      <c r="CG142" s="189"/>
      <c r="CH142" s="189"/>
      <c r="CI142" s="189"/>
      <c r="CJ142" s="189"/>
      <c r="CK142" s="189"/>
      <c r="CL142" s="189"/>
      <c r="CM142" s="189"/>
      <c r="CN142" s="189"/>
      <c r="CO142" s="189"/>
      <c r="CP142" s="189"/>
      <c r="CQ142" s="189"/>
      <c r="CR142" s="189"/>
      <c r="CS142" s="189"/>
      <c r="CT142" s="189"/>
      <c r="CU142" s="189"/>
      <c r="CV142" s="189"/>
      <c r="CW142" s="189"/>
      <c r="CX142" s="189"/>
      <c r="CY142" s="189"/>
      <c r="CZ142" s="189"/>
      <c r="DA142" s="189"/>
      <c r="DB142" s="189"/>
      <c r="DC142" s="189"/>
      <c r="DD142" s="189"/>
      <c r="DE142" s="189"/>
      <c r="DF142" s="189"/>
      <c r="DG142" s="189"/>
      <c r="DH142" s="189"/>
      <c r="DI142" s="189"/>
      <c r="DJ142" s="189"/>
    </row>
    <row r="143" spans="1:114">
      <c r="A143" s="181"/>
      <c r="B143" s="181"/>
      <c r="C143" s="2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89"/>
      <c r="CN143" s="189"/>
      <c r="CO143" s="189"/>
      <c r="CP143" s="189"/>
      <c r="CQ143" s="189"/>
      <c r="CR143" s="189"/>
      <c r="CS143" s="189"/>
      <c r="CT143" s="189"/>
      <c r="CU143" s="189"/>
      <c r="CV143" s="189"/>
      <c r="CW143" s="189"/>
      <c r="CX143" s="189"/>
      <c r="CY143" s="189"/>
      <c r="CZ143" s="189"/>
      <c r="DA143" s="189"/>
      <c r="DB143" s="189"/>
      <c r="DC143" s="189"/>
      <c r="DD143" s="189"/>
      <c r="DE143" s="189"/>
      <c r="DF143" s="189"/>
      <c r="DG143" s="189"/>
      <c r="DH143" s="189"/>
      <c r="DI143" s="189"/>
      <c r="DJ143" s="189"/>
    </row>
    <row r="144" spans="1:114">
      <c r="A144" s="181"/>
      <c r="B144" s="181"/>
      <c r="C144" s="2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BA144" s="189"/>
      <c r="BB144" s="189"/>
      <c r="BC144" s="189"/>
      <c r="BD144" s="189"/>
      <c r="BE144" s="189"/>
      <c r="BF144" s="189"/>
      <c r="BG144" s="189"/>
      <c r="BH144" s="189"/>
      <c r="BI144" s="189"/>
      <c r="BJ144" s="189"/>
      <c r="BK144" s="189"/>
      <c r="BL144" s="189"/>
      <c r="BM144" s="189"/>
      <c r="BN144" s="189"/>
      <c r="BO144" s="189"/>
      <c r="BP144" s="189"/>
      <c r="BQ144" s="189"/>
      <c r="BR144" s="189"/>
      <c r="BS144" s="189"/>
      <c r="BT144" s="189"/>
      <c r="BU144" s="189"/>
      <c r="BV144" s="189"/>
      <c r="BW144" s="189"/>
      <c r="BX144" s="189"/>
      <c r="BY144" s="189"/>
      <c r="BZ144" s="189"/>
      <c r="CA144" s="189"/>
      <c r="CB144" s="189"/>
      <c r="CC144" s="189"/>
      <c r="CD144" s="189"/>
      <c r="CE144" s="189"/>
      <c r="CF144" s="189"/>
      <c r="CG144" s="189"/>
      <c r="CH144" s="189"/>
      <c r="CI144" s="189"/>
      <c r="CJ144" s="189"/>
      <c r="CK144" s="189"/>
      <c r="CL144" s="189"/>
      <c r="CM144" s="189"/>
      <c r="CN144" s="189"/>
      <c r="CO144" s="189"/>
      <c r="CP144" s="189"/>
      <c r="CQ144" s="189"/>
      <c r="CR144" s="189"/>
      <c r="CS144" s="189"/>
      <c r="CT144" s="189"/>
      <c r="CU144" s="189"/>
      <c r="CV144" s="189"/>
      <c r="CW144" s="189"/>
      <c r="CX144" s="189"/>
      <c r="CY144" s="189"/>
      <c r="CZ144" s="189"/>
      <c r="DA144" s="189"/>
      <c r="DB144" s="189"/>
      <c r="DC144" s="189"/>
      <c r="DD144" s="189"/>
      <c r="DE144" s="189"/>
      <c r="DF144" s="189"/>
      <c r="DG144" s="189"/>
      <c r="DH144" s="189"/>
      <c r="DI144" s="189"/>
      <c r="DJ144" s="189"/>
    </row>
    <row r="145" spans="1:114">
      <c r="A145" s="181"/>
      <c r="B145" s="181"/>
      <c r="C145" s="2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BA145" s="189"/>
      <c r="BB145" s="189"/>
      <c r="BC145" s="189"/>
      <c r="BD145" s="189"/>
      <c r="BE145" s="189"/>
      <c r="BF145" s="189"/>
      <c r="BG145" s="189"/>
      <c r="BH145" s="189"/>
      <c r="BI145" s="189"/>
      <c r="BJ145" s="189"/>
      <c r="BK145" s="189"/>
      <c r="BL145" s="189"/>
      <c r="BM145" s="189"/>
      <c r="BN145" s="189"/>
      <c r="BO145" s="189"/>
      <c r="BP145" s="189"/>
      <c r="BQ145" s="189"/>
      <c r="BR145" s="189"/>
      <c r="BS145" s="189"/>
      <c r="BT145" s="189"/>
      <c r="BU145" s="189"/>
      <c r="BV145" s="189"/>
      <c r="BW145" s="189"/>
      <c r="BX145" s="189"/>
      <c r="BY145" s="189"/>
      <c r="BZ145" s="189"/>
      <c r="CA145" s="189"/>
      <c r="CB145" s="189"/>
      <c r="CC145" s="189"/>
      <c r="CD145" s="189"/>
      <c r="CE145" s="189"/>
      <c r="CF145" s="189"/>
      <c r="CG145" s="189"/>
      <c r="CH145" s="189"/>
      <c r="CI145" s="189"/>
      <c r="CJ145" s="189"/>
      <c r="CK145" s="189"/>
      <c r="CL145" s="189"/>
      <c r="CM145" s="189"/>
      <c r="CN145" s="189"/>
      <c r="CO145" s="189"/>
      <c r="CP145" s="189"/>
      <c r="CQ145" s="189"/>
      <c r="CR145" s="189"/>
      <c r="CS145" s="189"/>
      <c r="CT145" s="189"/>
      <c r="CU145" s="189"/>
      <c r="CV145" s="189"/>
      <c r="CW145" s="189"/>
      <c r="CX145" s="189"/>
      <c r="CY145" s="189"/>
      <c r="CZ145" s="189"/>
      <c r="DA145" s="189"/>
      <c r="DB145" s="189"/>
      <c r="DC145" s="189"/>
      <c r="DD145" s="189"/>
      <c r="DE145" s="189"/>
      <c r="DF145" s="189"/>
      <c r="DG145" s="189"/>
      <c r="DH145" s="189"/>
      <c r="DI145" s="189"/>
      <c r="DJ145" s="189"/>
    </row>
    <row r="146" spans="1:114">
      <c r="A146" s="181"/>
      <c r="B146" s="181"/>
      <c r="C146" s="2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BA146" s="189"/>
      <c r="BB146" s="189"/>
      <c r="BC146" s="189"/>
      <c r="BD146" s="189"/>
      <c r="BE146" s="189"/>
      <c r="BF146" s="189"/>
      <c r="BG146" s="189"/>
      <c r="BH146" s="189"/>
      <c r="BI146" s="189"/>
      <c r="BJ146" s="189"/>
      <c r="BK146" s="189"/>
      <c r="BL146" s="189"/>
      <c r="BM146" s="189"/>
      <c r="BN146" s="189"/>
      <c r="BO146" s="189"/>
      <c r="BP146" s="189"/>
      <c r="BQ146" s="189"/>
      <c r="BR146" s="189"/>
      <c r="BS146" s="189"/>
      <c r="BT146" s="189"/>
      <c r="BU146" s="189"/>
      <c r="BV146" s="189"/>
      <c r="BW146" s="189"/>
      <c r="BX146" s="189"/>
      <c r="BY146" s="189"/>
      <c r="BZ146" s="189"/>
      <c r="CA146" s="189"/>
      <c r="CB146" s="189"/>
      <c r="CC146" s="189"/>
      <c r="CD146" s="189"/>
      <c r="CE146" s="189"/>
      <c r="CF146" s="189"/>
      <c r="CG146" s="189"/>
      <c r="CH146" s="189"/>
      <c r="CI146" s="189"/>
      <c r="CJ146" s="189"/>
      <c r="CK146" s="189"/>
      <c r="CL146" s="189"/>
      <c r="CM146" s="189"/>
      <c r="CN146" s="189"/>
      <c r="CO146" s="189"/>
      <c r="CP146" s="189"/>
      <c r="CQ146" s="189"/>
      <c r="CR146" s="189"/>
      <c r="CS146" s="189"/>
      <c r="CT146" s="189"/>
      <c r="CU146" s="189"/>
      <c r="CV146" s="189"/>
      <c r="CW146" s="189"/>
      <c r="CX146" s="189"/>
      <c r="CY146" s="189"/>
      <c r="CZ146" s="189"/>
      <c r="DA146" s="189"/>
      <c r="DB146" s="189"/>
      <c r="DC146" s="189"/>
      <c r="DD146" s="189"/>
      <c r="DE146" s="189"/>
      <c r="DF146" s="189"/>
      <c r="DG146" s="189"/>
      <c r="DH146" s="189"/>
      <c r="DI146" s="189"/>
      <c r="DJ146" s="189"/>
    </row>
    <row r="147" spans="1:114">
      <c r="A147" s="181"/>
      <c r="B147" s="181"/>
      <c r="C147" s="2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BA147" s="189"/>
      <c r="BB147" s="189"/>
      <c r="BC147" s="189"/>
      <c r="BD147" s="189"/>
      <c r="BE147" s="189"/>
      <c r="BF147" s="189"/>
      <c r="BG147" s="189"/>
      <c r="BH147" s="189"/>
      <c r="BI147" s="189"/>
      <c r="BJ147" s="189"/>
      <c r="BK147" s="189"/>
      <c r="BL147" s="189"/>
      <c r="BM147" s="189"/>
      <c r="BN147" s="189"/>
      <c r="BO147" s="189"/>
      <c r="BP147" s="189"/>
      <c r="BQ147" s="189"/>
      <c r="BR147" s="189"/>
      <c r="BS147" s="189"/>
      <c r="BT147" s="189"/>
      <c r="BU147" s="189"/>
      <c r="BV147" s="189"/>
      <c r="BW147" s="189"/>
      <c r="BX147" s="189"/>
      <c r="BY147" s="189"/>
      <c r="BZ147" s="189"/>
      <c r="CA147" s="189"/>
      <c r="CB147" s="189"/>
      <c r="CC147" s="189"/>
      <c r="CD147" s="189"/>
      <c r="CE147" s="189"/>
      <c r="CF147" s="189"/>
      <c r="CG147" s="189"/>
      <c r="CH147" s="189"/>
      <c r="CI147" s="189"/>
      <c r="CJ147" s="189"/>
      <c r="CK147" s="189"/>
      <c r="CL147" s="189"/>
      <c r="CM147" s="189"/>
      <c r="CN147" s="189"/>
      <c r="CO147" s="189"/>
      <c r="CP147" s="189"/>
      <c r="CQ147" s="189"/>
      <c r="CR147" s="189"/>
      <c r="CS147" s="189"/>
      <c r="CT147" s="189"/>
      <c r="CU147" s="189"/>
      <c r="CV147" s="189"/>
      <c r="CW147" s="189"/>
      <c r="CX147" s="189"/>
      <c r="CY147" s="189"/>
      <c r="CZ147" s="189"/>
      <c r="DA147" s="189"/>
      <c r="DB147" s="189"/>
      <c r="DC147" s="189"/>
      <c r="DD147" s="189"/>
      <c r="DE147" s="189"/>
      <c r="DF147" s="189"/>
      <c r="DG147" s="189"/>
      <c r="DH147" s="189"/>
      <c r="DI147" s="189"/>
      <c r="DJ147" s="189"/>
    </row>
    <row r="148" spans="1:114">
      <c r="A148" s="181"/>
      <c r="B148" s="181"/>
      <c r="C148" s="2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BA148" s="189"/>
      <c r="BB148" s="189"/>
      <c r="BC148" s="189"/>
      <c r="BD148" s="189"/>
      <c r="BE148" s="189"/>
      <c r="BF148" s="189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89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89"/>
      <c r="CE148" s="189"/>
      <c r="CF148" s="189"/>
      <c r="CG148" s="189"/>
      <c r="CH148" s="189"/>
      <c r="CI148" s="189"/>
      <c r="CJ148" s="189"/>
      <c r="CK148" s="189"/>
      <c r="CL148" s="189"/>
      <c r="CM148" s="189"/>
      <c r="CN148" s="189"/>
      <c r="CO148" s="189"/>
      <c r="CP148" s="189"/>
      <c r="CQ148" s="189"/>
      <c r="CR148" s="189"/>
      <c r="CS148" s="189"/>
      <c r="CT148" s="189"/>
      <c r="CU148" s="189"/>
      <c r="CV148" s="189"/>
      <c r="CW148" s="189"/>
      <c r="CX148" s="189"/>
      <c r="CY148" s="189"/>
      <c r="CZ148" s="189"/>
      <c r="DA148" s="189"/>
      <c r="DB148" s="189"/>
      <c r="DC148" s="189"/>
      <c r="DD148" s="189"/>
      <c r="DE148" s="189"/>
      <c r="DF148" s="189"/>
      <c r="DG148" s="189"/>
      <c r="DH148" s="189"/>
      <c r="DI148" s="189"/>
      <c r="DJ148" s="189"/>
    </row>
    <row r="149" spans="1:114">
      <c r="A149" s="181"/>
      <c r="B149" s="181"/>
      <c r="C149" s="2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BA149" s="189"/>
      <c r="BB149" s="189"/>
      <c r="BC149" s="189"/>
      <c r="BD149" s="189"/>
      <c r="BE149" s="189"/>
      <c r="BF149" s="189"/>
      <c r="BG149" s="189"/>
      <c r="BH149" s="189"/>
      <c r="BI149" s="189"/>
      <c r="BJ149" s="189"/>
      <c r="BK149" s="189"/>
      <c r="BL149" s="189"/>
      <c r="BM149" s="189"/>
      <c r="BN149" s="189"/>
      <c r="BO149" s="189"/>
      <c r="BP149" s="189"/>
      <c r="BQ149" s="189"/>
      <c r="BR149" s="189"/>
      <c r="BS149" s="189"/>
      <c r="BT149" s="189"/>
      <c r="BU149" s="189"/>
      <c r="BV149" s="189"/>
      <c r="BW149" s="189"/>
      <c r="BX149" s="189"/>
      <c r="BY149" s="189"/>
      <c r="BZ149" s="189"/>
      <c r="CA149" s="189"/>
      <c r="CB149" s="189"/>
      <c r="CC149" s="189"/>
      <c r="CD149" s="189"/>
      <c r="CE149" s="189"/>
      <c r="CF149" s="189"/>
      <c r="CG149" s="189"/>
      <c r="CH149" s="189"/>
      <c r="CI149" s="189"/>
      <c r="CJ149" s="189"/>
      <c r="CK149" s="189"/>
      <c r="CL149" s="189"/>
      <c r="CM149" s="189"/>
      <c r="CN149" s="189"/>
      <c r="CO149" s="189"/>
      <c r="CP149" s="189"/>
      <c r="CQ149" s="189"/>
      <c r="CR149" s="189"/>
      <c r="CS149" s="189"/>
      <c r="CT149" s="189"/>
      <c r="CU149" s="189"/>
      <c r="CV149" s="189"/>
      <c r="CW149" s="189"/>
      <c r="CX149" s="189"/>
      <c r="CY149" s="189"/>
      <c r="CZ149" s="189"/>
      <c r="DA149" s="189"/>
      <c r="DB149" s="189"/>
      <c r="DC149" s="189"/>
      <c r="DD149" s="189"/>
      <c r="DE149" s="189"/>
      <c r="DF149" s="189"/>
      <c r="DG149" s="189"/>
      <c r="DH149" s="189"/>
      <c r="DI149" s="189"/>
      <c r="DJ149" s="189"/>
    </row>
    <row r="150" spans="1:114">
      <c r="A150" s="181"/>
      <c r="B150" s="181"/>
      <c r="C150" s="2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BA150" s="189"/>
      <c r="BB150" s="189"/>
      <c r="BC150" s="189"/>
      <c r="BD150" s="189"/>
      <c r="BE150" s="189"/>
      <c r="BF150" s="189"/>
      <c r="BG150" s="189"/>
      <c r="BH150" s="189"/>
      <c r="BI150" s="189"/>
      <c r="BJ150" s="189"/>
      <c r="BK150" s="189"/>
      <c r="BL150" s="189"/>
      <c r="BM150" s="189"/>
      <c r="BN150" s="189"/>
      <c r="BO150" s="189"/>
      <c r="BP150" s="189"/>
      <c r="BQ150" s="189"/>
      <c r="BR150" s="189"/>
      <c r="BS150" s="189"/>
      <c r="BT150" s="189"/>
      <c r="BU150" s="189"/>
      <c r="BV150" s="189"/>
      <c r="BW150" s="189"/>
      <c r="BX150" s="189"/>
      <c r="BY150" s="189"/>
      <c r="BZ150" s="189"/>
      <c r="CA150" s="189"/>
      <c r="CB150" s="189"/>
      <c r="CC150" s="189"/>
      <c r="CD150" s="189"/>
      <c r="CE150" s="189"/>
      <c r="CF150" s="189"/>
      <c r="CG150" s="189"/>
      <c r="CH150" s="189"/>
      <c r="CI150" s="189"/>
      <c r="CJ150" s="189"/>
      <c r="CK150" s="189"/>
      <c r="CL150" s="189"/>
      <c r="CM150" s="189"/>
      <c r="CN150" s="189"/>
      <c r="CO150" s="189"/>
      <c r="CP150" s="189"/>
      <c r="CQ150" s="189"/>
      <c r="CR150" s="189"/>
      <c r="CS150" s="189"/>
      <c r="CT150" s="189"/>
      <c r="CU150" s="189"/>
      <c r="CV150" s="189"/>
      <c r="CW150" s="189"/>
      <c r="CX150" s="189"/>
      <c r="CY150" s="189"/>
      <c r="CZ150" s="189"/>
      <c r="DA150" s="189"/>
      <c r="DB150" s="189"/>
      <c r="DC150" s="189"/>
      <c r="DD150" s="189"/>
      <c r="DE150" s="189"/>
      <c r="DF150" s="189"/>
      <c r="DG150" s="189"/>
      <c r="DH150" s="189"/>
      <c r="DI150" s="189"/>
      <c r="DJ150" s="189"/>
    </row>
    <row r="151" spans="1:114">
      <c r="A151" s="181"/>
      <c r="B151" s="181"/>
      <c r="C151" s="281"/>
      <c r="D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BA151" s="189"/>
      <c r="BB151" s="189"/>
      <c r="BC151" s="189"/>
      <c r="BD151" s="189"/>
      <c r="BE151" s="189"/>
      <c r="BF151" s="189"/>
      <c r="BG151" s="189"/>
      <c r="BH151" s="189"/>
      <c r="BI151" s="189"/>
      <c r="BJ151" s="189"/>
      <c r="BK151" s="189"/>
      <c r="BL151" s="189"/>
      <c r="BM151" s="189"/>
      <c r="BN151" s="189"/>
      <c r="BO151" s="189"/>
      <c r="BP151" s="189"/>
      <c r="BQ151" s="189"/>
      <c r="BR151" s="189"/>
      <c r="BS151" s="189"/>
      <c r="BT151" s="189"/>
      <c r="BU151" s="189"/>
      <c r="BV151" s="189"/>
      <c r="BW151" s="189"/>
      <c r="BX151" s="189"/>
      <c r="BY151" s="189"/>
      <c r="BZ151" s="189"/>
      <c r="CA151" s="189"/>
      <c r="CB151" s="189"/>
      <c r="CC151" s="189"/>
      <c r="CD151" s="189"/>
      <c r="CE151" s="189"/>
      <c r="CF151" s="189"/>
      <c r="CG151" s="189"/>
      <c r="CH151" s="189"/>
      <c r="CI151" s="189"/>
      <c r="CJ151" s="189"/>
      <c r="CK151" s="189"/>
      <c r="CL151" s="189"/>
      <c r="CM151" s="189"/>
      <c r="CN151" s="189"/>
      <c r="CO151" s="189"/>
      <c r="CP151" s="189"/>
      <c r="CQ151" s="189"/>
      <c r="CR151" s="189"/>
      <c r="CS151" s="189"/>
      <c r="CT151" s="189"/>
      <c r="CU151" s="189"/>
      <c r="CV151" s="189"/>
      <c r="CW151" s="189"/>
      <c r="CX151" s="189"/>
      <c r="CY151" s="189"/>
      <c r="CZ151" s="189"/>
      <c r="DA151" s="189"/>
      <c r="DB151" s="189"/>
      <c r="DC151" s="189"/>
      <c r="DD151" s="189"/>
      <c r="DE151" s="189"/>
      <c r="DF151" s="189"/>
      <c r="DG151" s="189"/>
      <c r="DH151" s="189"/>
      <c r="DI151" s="189"/>
      <c r="DJ151" s="189"/>
    </row>
    <row r="152" spans="1:114">
      <c r="A152" s="181"/>
      <c r="B152" s="181"/>
      <c r="C152" s="281"/>
      <c r="D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BA152" s="189"/>
      <c r="BB152" s="189"/>
      <c r="BC152" s="189"/>
      <c r="BD152" s="189"/>
      <c r="BE152" s="189"/>
      <c r="BF152" s="189"/>
      <c r="BG152" s="189"/>
      <c r="BH152" s="189"/>
      <c r="BI152" s="189"/>
      <c r="BJ152" s="189"/>
      <c r="BK152" s="189"/>
      <c r="BL152" s="189"/>
      <c r="BM152" s="189"/>
      <c r="BN152" s="189"/>
      <c r="BO152" s="189"/>
      <c r="BP152" s="189"/>
      <c r="BQ152" s="189"/>
      <c r="BR152" s="189"/>
      <c r="BS152" s="189"/>
      <c r="BT152" s="189"/>
      <c r="BU152" s="189"/>
      <c r="BV152" s="189"/>
      <c r="BW152" s="189"/>
      <c r="BX152" s="189"/>
      <c r="BY152" s="189"/>
      <c r="BZ152" s="189"/>
      <c r="CA152" s="189"/>
      <c r="CB152" s="189"/>
      <c r="CC152" s="189"/>
      <c r="CD152" s="189"/>
      <c r="CE152" s="189"/>
      <c r="CF152" s="189"/>
      <c r="CG152" s="189"/>
      <c r="CH152" s="189"/>
      <c r="CI152" s="189"/>
      <c r="CJ152" s="189"/>
      <c r="CK152" s="189"/>
      <c r="CL152" s="189"/>
      <c r="CM152" s="189"/>
      <c r="CN152" s="189"/>
      <c r="CO152" s="189"/>
      <c r="CP152" s="189"/>
      <c r="CQ152" s="189"/>
      <c r="CR152" s="189"/>
      <c r="CS152" s="189"/>
      <c r="CT152" s="189"/>
      <c r="CU152" s="189"/>
      <c r="CV152" s="189"/>
      <c r="CW152" s="189"/>
      <c r="CX152" s="189"/>
      <c r="CY152" s="189"/>
      <c r="CZ152" s="189"/>
      <c r="DA152" s="189"/>
      <c r="DB152" s="189"/>
      <c r="DC152" s="189"/>
      <c r="DD152" s="189"/>
      <c r="DE152" s="189"/>
      <c r="DF152" s="189"/>
      <c r="DG152" s="189"/>
      <c r="DH152" s="189"/>
      <c r="DI152" s="189"/>
      <c r="DJ152" s="189"/>
    </row>
    <row r="153" spans="1:114">
      <c r="C153" s="284"/>
      <c r="BA153" s="189"/>
      <c r="BB153" s="189"/>
      <c r="BC153" s="189"/>
      <c r="BD153" s="189"/>
      <c r="BE153" s="189"/>
      <c r="BF153" s="189"/>
      <c r="BG153" s="189"/>
      <c r="BH153" s="189"/>
      <c r="BI153" s="189"/>
      <c r="BJ153" s="189"/>
      <c r="BK153" s="189"/>
      <c r="BL153" s="189"/>
      <c r="BM153" s="189"/>
      <c r="BN153" s="189"/>
      <c r="BO153" s="189"/>
      <c r="BP153" s="189"/>
      <c r="BQ153" s="189"/>
      <c r="BR153" s="189"/>
      <c r="BS153" s="189"/>
      <c r="BT153" s="189"/>
      <c r="BU153" s="189"/>
      <c r="BV153" s="189"/>
      <c r="BW153" s="189"/>
      <c r="BX153" s="189"/>
      <c r="BY153" s="189"/>
      <c r="BZ153" s="189"/>
      <c r="CA153" s="189"/>
      <c r="CB153" s="189"/>
      <c r="CC153" s="189"/>
      <c r="CD153" s="189"/>
      <c r="CE153" s="189"/>
      <c r="CF153" s="189"/>
      <c r="CG153" s="189"/>
      <c r="CH153" s="189"/>
      <c r="CI153" s="189"/>
      <c r="CJ153" s="189"/>
      <c r="CK153" s="189"/>
      <c r="CL153" s="189"/>
      <c r="CM153" s="189"/>
      <c r="CN153" s="189"/>
      <c r="CO153" s="189"/>
      <c r="CP153" s="189"/>
      <c r="CQ153" s="189"/>
      <c r="CR153" s="189"/>
      <c r="CS153" s="189"/>
      <c r="CT153" s="189"/>
      <c r="CU153" s="189"/>
      <c r="CV153" s="189"/>
      <c r="CW153" s="189"/>
      <c r="CX153" s="189"/>
      <c r="CY153" s="189"/>
      <c r="CZ153" s="189"/>
      <c r="DA153" s="189"/>
      <c r="DB153" s="189"/>
      <c r="DC153" s="189"/>
      <c r="DD153" s="189"/>
      <c r="DE153" s="189"/>
      <c r="DF153" s="189"/>
      <c r="DG153" s="189"/>
      <c r="DH153" s="189"/>
      <c r="DI153" s="189"/>
      <c r="DJ153" s="189"/>
    </row>
    <row r="154" spans="1:114">
      <c r="C154" s="284"/>
      <c r="BA154" s="189"/>
      <c r="BB154" s="189"/>
      <c r="BC154" s="189"/>
      <c r="BD154" s="189"/>
      <c r="BE154" s="189"/>
      <c r="BF154" s="189"/>
      <c r="BG154" s="189"/>
      <c r="BH154" s="189"/>
      <c r="BI154" s="189"/>
      <c r="BJ154" s="189"/>
      <c r="BK154" s="189"/>
      <c r="BL154" s="189"/>
      <c r="BM154" s="189"/>
      <c r="BN154" s="189"/>
      <c r="BO154" s="189"/>
      <c r="BP154" s="189"/>
      <c r="BQ154" s="189"/>
      <c r="BR154" s="189"/>
      <c r="BS154" s="189"/>
      <c r="BT154" s="189"/>
      <c r="BU154" s="189"/>
      <c r="BV154" s="189"/>
      <c r="BW154" s="189"/>
      <c r="BX154" s="189"/>
      <c r="BY154" s="189"/>
      <c r="BZ154" s="189"/>
      <c r="CA154" s="189"/>
      <c r="CB154" s="189"/>
      <c r="CC154" s="189"/>
      <c r="CD154" s="189"/>
      <c r="CE154" s="189"/>
      <c r="CF154" s="189"/>
      <c r="CG154" s="189"/>
      <c r="CH154" s="189"/>
      <c r="CI154" s="189"/>
      <c r="CJ154" s="189"/>
      <c r="CK154" s="189"/>
      <c r="CL154" s="189"/>
      <c r="CM154" s="189"/>
      <c r="CN154" s="189"/>
      <c r="CO154" s="189"/>
      <c r="CP154" s="189"/>
      <c r="CQ154" s="189"/>
      <c r="CR154" s="189"/>
      <c r="CS154" s="189"/>
      <c r="CT154" s="189"/>
      <c r="CU154" s="189"/>
      <c r="CV154" s="189"/>
      <c r="CW154" s="189"/>
      <c r="CX154" s="189"/>
      <c r="CY154" s="189"/>
      <c r="CZ154" s="189"/>
      <c r="DA154" s="189"/>
      <c r="DB154" s="189"/>
      <c r="DC154" s="189"/>
      <c r="DD154" s="189"/>
      <c r="DE154" s="189"/>
      <c r="DF154" s="189"/>
      <c r="DG154" s="189"/>
      <c r="DH154" s="189"/>
      <c r="DI154" s="189"/>
      <c r="DJ154" s="189"/>
    </row>
    <row r="155" spans="1:114">
      <c r="C155" s="284"/>
      <c r="BA155" s="189"/>
      <c r="BB155" s="189"/>
      <c r="BC155" s="189"/>
      <c r="BD155" s="189"/>
      <c r="BE155" s="189"/>
      <c r="BF155" s="189"/>
      <c r="BG155" s="189"/>
      <c r="BH155" s="189"/>
      <c r="BI155" s="189"/>
      <c r="BJ155" s="189"/>
      <c r="BK155" s="189"/>
      <c r="BL155" s="189"/>
      <c r="BM155" s="189"/>
      <c r="BN155" s="189"/>
      <c r="BO155" s="189"/>
      <c r="BP155" s="189"/>
      <c r="BQ155" s="189"/>
      <c r="BR155" s="189"/>
      <c r="BS155" s="189"/>
      <c r="BT155" s="189"/>
      <c r="BU155" s="189"/>
      <c r="BV155" s="189"/>
      <c r="BW155" s="189"/>
      <c r="BX155" s="189"/>
      <c r="BY155" s="189"/>
      <c r="BZ155" s="189"/>
      <c r="CA155" s="189"/>
      <c r="CB155" s="189"/>
      <c r="CC155" s="189"/>
      <c r="CD155" s="189"/>
      <c r="CE155" s="189"/>
      <c r="CF155" s="189"/>
      <c r="CG155" s="189"/>
      <c r="CH155" s="189"/>
      <c r="CI155" s="189"/>
      <c r="CJ155" s="189"/>
      <c r="CK155" s="189"/>
      <c r="CL155" s="189"/>
      <c r="CM155" s="189"/>
      <c r="CN155" s="189"/>
      <c r="CO155" s="189"/>
      <c r="CP155" s="189"/>
      <c r="CQ155" s="189"/>
      <c r="CR155" s="189"/>
      <c r="CS155" s="189"/>
      <c r="CT155" s="189"/>
      <c r="CU155" s="189"/>
      <c r="CV155" s="189"/>
      <c r="CW155" s="189"/>
      <c r="CX155" s="189"/>
      <c r="CY155" s="189"/>
      <c r="CZ155" s="189"/>
      <c r="DA155" s="189"/>
      <c r="DB155" s="189"/>
      <c r="DC155" s="189"/>
      <c r="DD155" s="189"/>
      <c r="DE155" s="189"/>
      <c r="DF155" s="189"/>
      <c r="DG155" s="189"/>
      <c r="DH155" s="189"/>
      <c r="DI155" s="189"/>
      <c r="DJ155" s="189"/>
    </row>
    <row r="156" spans="1:114">
      <c r="C156" s="284"/>
      <c r="BA156" s="189"/>
      <c r="BB156" s="189"/>
      <c r="BC156" s="189"/>
      <c r="BD156" s="189"/>
      <c r="BE156" s="189"/>
      <c r="BF156" s="189"/>
      <c r="BG156" s="189"/>
      <c r="BH156" s="189"/>
      <c r="BI156" s="189"/>
      <c r="BJ156" s="189"/>
      <c r="BK156" s="189"/>
      <c r="BL156" s="189"/>
      <c r="BM156" s="189"/>
      <c r="BN156" s="189"/>
      <c r="BO156" s="189"/>
      <c r="BP156" s="189"/>
      <c r="BQ156" s="189"/>
      <c r="BR156" s="189"/>
      <c r="BS156" s="189"/>
      <c r="BT156" s="189"/>
      <c r="BU156" s="189"/>
      <c r="BV156" s="189"/>
      <c r="BW156" s="189"/>
      <c r="BX156" s="189"/>
      <c r="BY156" s="189"/>
      <c r="BZ156" s="189"/>
      <c r="CA156" s="189"/>
      <c r="CB156" s="189"/>
      <c r="CC156" s="189"/>
      <c r="CD156" s="189"/>
      <c r="CE156" s="189"/>
      <c r="CF156" s="189"/>
      <c r="CG156" s="189"/>
      <c r="CH156" s="189"/>
      <c r="CI156" s="189"/>
      <c r="CJ156" s="189"/>
      <c r="CK156" s="189"/>
      <c r="CL156" s="189"/>
      <c r="CM156" s="189"/>
      <c r="CN156" s="189"/>
      <c r="CO156" s="189"/>
      <c r="CP156" s="189"/>
      <c r="CQ156" s="189"/>
      <c r="CR156" s="189"/>
      <c r="CS156" s="189"/>
      <c r="CT156" s="189"/>
      <c r="CU156" s="189"/>
      <c r="CV156" s="189"/>
      <c r="CW156" s="189"/>
      <c r="CX156" s="189"/>
      <c r="CY156" s="189"/>
      <c r="CZ156" s="189"/>
      <c r="DA156" s="189"/>
      <c r="DB156" s="189"/>
      <c r="DC156" s="189"/>
      <c r="DD156" s="189"/>
      <c r="DE156" s="189"/>
      <c r="DF156" s="189"/>
      <c r="DG156" s="189"/>
      <c r="DH156" s="189"/>
      <c r="DI156" s="189"/>
      <c r="DJ156" s="189"/>
    </row>
    <row r="157" spans="1:114">
      <c r="C157" s="284"/>
      <c r="BA157" s="189"/>
      <c r="BB157" s="189"/>
      <c r="BC157" s="189"/>
      <c r="BD157" s="189"/>
      <c r="BE157" s="189"/>
      <c r="BF157" s="189"/>
      <c r="BG157" s="189"/>
      <c r="BH157" s="189"/>
      <c r="BI157" s="189"/>
      <c r="BJ157" s="189"/>
      <c r="BK157" s="189"/>
      <c r="BL157" s="189"/>
      <c r="BM157" s="189"/>
      <c r="BN157" s="189"/>
      <c r="BO157" s="189"/>
      <c r="BP157" s="189"/>
      <c r="BQ157" s="189"/>
      <c r="BR157" s="189"/>
      <c r="BS157" s="189"/>
      <c r="BT157" s="189"/>
      <c r="BU157" s="189"/>
      <c r="BV157" s="189"/>
      <c r="BW157" s="189"/>
      <c r="BX157" s="189"/>
      <c r="BY157" s="189"/>
      <c r="BZ157" s="189"/>
      <c r="CA157" s="189"/>
      <c r="CB157" s="189"/>
      <c r="CC157" s="189"/>
      <c r="CD157" s="189"/>
      <c r="CE157" s="189"/>
      <c r="CF157" s="189"/>
      <c r="CG157" s="189"/>
      <c r="CH157" s="189"/>
      <c r="CI157" s="189"/>
      <c r="CJ157" s="189"/>
      <c r="CK157" s="189"/>
      <c r="CL157" s="189"/>
      <c r="CM157" s="189"/>
      <c r="CN157" s="189"/>
      <c r="CO157" s="189"/>
      <c r="CP157" s="189"/>
      <c r="CQ157" s="189"/>
      <c r="CR157" s="189"/>
      <c r="CS157" s="189"/>
      <c r="CT157" s="189"/>
      <c r="CU157" s="189"/>
      <c r="CV157" s="189"/>
      <c r="CW157" s="189"/>
      <c r="CX157" s="189"/>
      <c r="CY157" s="189"/>
      <c r="CZ157" s="189"/>
      <c r="DA157" s="189"/>
      <c r="DB157" s="189"/>
      <c r="DC157" s="189"/>
      <c r="DD157" s="189"/>
      <c r="DE157" s="189"/>
      <c r="DF157" s="189"/>
      <c r="DG157" s="189"/>
      <c r="DH157" s="189"/>
      <c r="DI157" s="189"/>
      <c r="DJ157" s="189"/>
    </row>
    <row r="158" spans="1:114">
      <c r="C158" s="284"/>
      <c r="BA158" s="189"/>
      <c r="BB158" s="189"/>
      <c r="BC158" s="189"/>
      <c r="BD158" s="189"/>
      <c r="BE158" s="189"/>
      <c r="BF158" s="189"/>
      <c r="BG158" s="189"/>
      <c r="BH158" s="189"/>
      <c r="BI158" s="189"/>
      <c r="BJ158" s="189"/>
      <c r="BK158" s="189"/>
      <c r="BL158" s="189"/>
      <c r="BM158" s="189"/>
      <c r="BN158" s="189"/>
      <c r="BO158" s="189"/>
      <c r="BP158" s="189"/>
      <c r="BQ158" s="189"/>
      <c r="BR158" s="189"/>
      <c r="BS158" s="189"/>
      <c r="BT158" s="189"/>
      <c r="BU158" s="189"/>
      <c r="BV158" s="189"/>
      <c r="BW158" s="189"/>
      <c r="BX158" s="189"/>
      <c r="BY158" s="189"/>
      <c r="BZ158" s="189"/>
      <c r="CA158" s="189"/>
      <c r="CB158" s="189"/>
      <c r="CC158" s="189"/>
      <c r="CD158" s="189"/>
      <c r="CE158" s="189"/>
      <c r="CF158" s="189"/>
      <c r="CG158" s="189"/>
      <c r="CH158" s="189"/>
      <c r="CI158" s="189"/>
      <c r="CJ158" s="189"/>
      <c r="CK158" s="189"/>
      <c r="CL158" s="189"/>
      <c r="CM158" s="189"/>
      <c r="CN158" s="189"/>
      <c r="CO158" s="189"/>
      <c r="CP158" s="189"/>
      <c r="CQ158" s="189"/>
      <c r="CR158" s="189"/>
      <c r="CS158" s="189"/>
      <c r="CT158" s="189"/>
      <c r="CU158" s="189"/>
      <c r="CV158" s="189"/>
      <c r="CW158" s="189"/>
      <c r="CX158" s="189"/>
      <c r="CY158" s="189"/>
      <c r="CZ158" s="189"/>
      <c r="DA158" s="189"/>
      <c r="DB158" s="189"/>
      <c r="DC158" s="189"/>
      <c r="DD158" s="189"/>
      <c r="DE158" s="189"/>
      <c r="DF158" s="189"/>
      <c r="DG158" s="189"/>
      <c r="DH158" s="189"/>
      <c r="DI158" s="189"/>
      <c r="DJ158" s="189"/>
    </row>
    <row r="159" spans="1:114">
      <c r="C159" s="284"/>
      <c r="BA159" s="189"/>
      <c r="BB159" s="189"/>
      <c r="BC159" s="189"/>
      <c r="BD159" s="189"/>
      <c r="BE159" s="189"/>
      <c r="BF159" s="189"/>
      <c r="BG159" s="189"/>
      <c r="BH159" s="189"/>
      <c r="BI159" s="189"/>
      <c r="BJ159" s="189"/>
      <c r="BK159" s="189"/>
      <c r="BL159" s="189"/>
      <c r="BM159" s="189"/>
      <c r="BN159" s="189"/>
      <c r="BO159" s="189"/>
      <c r="BP159" s="189"/>
      <c r="BQ159" s="189"/>
      <c r="BR159" s="189"/>
      <c r="BS159" s="189"/>
      <c r="BT159" s="189"/>
      <c r="BU159" s="189"/>
      <c r="BV159" s="189"/>
      <c r="BW159" s="189"/>
      <c r="BX159" s="189"/>
      <c r="BY159" s="189"/>
      <c r="BZ159" s="189"/>
      <c r="CA159" s="189"/>
      <c r="CB159" s="189"/>
      <c r="CC159" s="189"/>
      <c r="CD159" s="189"/>
      <c r="CE159" s="189"/>
      <c r="CF159" s="189"/>
      <c r="CG159" s="189"/>
      <c r="CH159" s="189"/>
      <c r="CI159" s="189"/>
      <c r="CJ159" s="189"/>
      <c r="CK159" s="189"/>
      <c r="CL159" s="189"/>
      <c r="CM159" s="189"/>
      <c r="CN159" s="189"/>
      <c r="CO159" s="189"/>
      <c r="CP159" s="189"/>
      <c r="CQ159" s="189"/>
      <c r="CR159" s="189"/>
      <c r="CS159" s="189"/>
      <c r="CT159" s="189"/>
      <c r="CU159" s="189"/>
      <c r="CV159" s="189"/>
      <c r="CW159" s="189"/>
      <c r="CX159" s="189"/>
      <c r="CY159" s="189"/>
      <c r="CZ159" s="189"/>
      <c r="DA159" s="189"/>
      <c r="DB159" s="189"/>
      <c r="DC159" s="189"/>
      <c r="DD159" s="189"/>
      <c r="DE159" s="189"/>
      <c r="DF159" s="189"/>
      <c r="DG159" s="189"/>
      <c r="DH159" s="189"/>
      <c r="DI159" s="189"/>
      <c r="DJ159" s="189"/>
    </row>
    <row r="160" spans="1:114">
      <c r="C160" s="284"/>
      <c r="BA160" s="189"/>
      <c r="BB160" s="189"/>
      <c r="BC160" s="189"/>
      <c r="BD160" s="189"/>
      <c r="BE160" s="189"/>
      <c r="BF160" s="189"/>
      <c r="BG160" s="189"/>
      <c r="BH160" s="189"/>
      <c r="BI160" s="189"/>
      <c r="BJ160" s="189"/>
      <c r="BK160" s="189"/>
      <c r="BL160" s="189"/>
      <c r="BM160" s="189"/>
      <c r="BN160" s="189"/>
      <c r="BO160" s="189"/>
      <c r="BP160" s="189"/>
      <c r="BQ160" s="189"/>
      <c r="BR160" s="189"/>
      <c r="BS160" s="189"/>
      <c r="BT160" s="189"/>
      <c r="BU160" s="189"/>
      <c r="BV160" s="189"/>
      <c r="BW160" s="189"/>
      <c r="BX160" s="189"/>
      <c r="BY160" s="189"/>
      <c r="BZ160" s="189"/>
      <c r="CA160" s="189"/>
      <c r="CB160" s="189"/>
      <c r="CC160" s="189"/>
      <c r="CD160" s="189"/>
      <c r="CE160" s="189"/>
      <c r="CF160" s="189"/>
      <c r="CG160" s="189"/>
      <c r="CH160" s="189"/>
      <c r="CI160" s="189"/>
      <c r="CJ160" s="189"/>
      <c r="CK160" s="189"/>
      <c r="CL160" s="189"/>
      <c r="CM160" s="189"/>
      <c r="CN160" s="189"/>
      <c r="CO160" s="189"/>
      <c r="CP160" s="189"/>
      <c r="CQ160" s="189"/>
      <c r="CR160" s="189"/>
      <c r="CS160" s="189"/>
      <c r="CT160" s="189"/>
      <c r="CU160" s="189"/>
      <c r="CV160" s="189"/>
      <c r="CW160" s="189"/>
      <c r="CX160" s="189"/>
      <c r="CY160" s="189"/>
      <c r="CZ160" s="189"/>
      <c r="DA160" s="189"/>
      <c r="DB160" s="189"/>
      <c r="DC160" s="189"/>
      <c r="DD160" s="189"/>
      <c r="DE160" s="189"/>
      <c r="DF160" s="189"/>
      <c r="DG160" s="189"/>
      <c r="DH160" s="189"/>
      <c r="DI160" s="189"/>
      <c r="DJ160" s="189"/>
    </row>
    <row r="161" spans="3:114">
      <c r="C161" s="284"/>
      <c r="BA161" s="189"/>
      <c r="BB161" s="189"/>
      <c r="BC161" s="189"/>
      <c r="BD161" s="189"/>
      <c r="BE161" s="189"/>
      <c r="BF161" s="189"/>
      <c r="BG161" s="189"/>
      <c r="BH161" s="189"/>
      <c r="BI161" s="189"/>
      <c r="BJ161" s="189"/>
      <c r="BK161" s="189"/>
      <c r="BL161" s="189"/>
      <c r="BM161" s="189"/>
      <c r="BN161" s="189"/>
      <c r="BO161" s="189"/>
      <c r="BP161" s="189"/>
      <c r="BQ161" s="189"/>
      <c r="BR161" s="189"/>
      <c r="BS161" s="189"/>
      <c r="BT161" s="189"/>
      <c r="BU161" s="189"/>
      <c r="BV161" s="189"/>
      <c r="BW161" s="189"/>
      <c r="BX161" s="189"/>
      <c r="BY161" s="189"/>
      <c r="BZ161" s="189"/>
      <c r="CA161" s="189"/>
      <c r="CB161" s="189"/>
      <c r="CC161" s="189"/>
      <c r="CD161" s="189"/>
      <c r="CE161" s="189"/>
      <c r="CF161" s="189"/>
      <c r="CG161" s="189"/>
      <c r="CH161" s="189"/>
      <c r="CI161" s="189"/>
      <c r="CJ161" s="189"/>
      <c r="CK161" s="189"/>
      <c r="CL161" s="189"/>
      <c r="CM161" s="189"/>
      <c r="CN161" s="189"/>
      <c r="CO161" s="189"/>
      <c r="CP161" s="189"/>
      <c r="CQ161" s="189"/>
      <c r="CR161" s="189"/>
      <c r="CS161" s="189"/>
      <c r="CT161" s="189"/>
      <c r="CU161" s="189"/>
      <c r="CV161" s="189"/>
      <c r="CW161" s="189"/>
      <c r="CX161" s="189"/>
      <c r="CY161" s="189"/>
      <c r="CZ161" s="189"/>
      <c r="DA161" s="189"/>
      <c r="DB161" s="189"/>
      <c r="DC161" s="189"/>
      <c r="DD161" s="189"/>
      <c r="DE161" s="189"/>
      <c r="DF161" s="189"/>
      <c r="DG161" s="189"/>
      <c r="DH161" s="189"/>
      <c r="DI161" s="189"/>
      <c r="DJ161" s="189"/>
    </row>
    <row r="162" spans="3:114">
      <c r="C162" s="284"/>
      <c r="BA162" s="189"/>
      <c r="BB162" s="189"/>
      <c r="BC162" s="189"/>
      <c r="BD162" s="189"/>
      <c r="BE162" s="189"/>
      <c r="BF162" s="189"/>
      <c r="BG162" s="189"/>
      <c r="BH162" s="189"/>
      <c r="BI162" s="189"/>
      <c r="BJ162" s="189"/>
      <c r="BK162" s="189"/>
      <c r="BL162" s="189"/>
      <c r="BM162" s="189"/>
      <c r="BN162" s="189"/>
      <c r="BO162" s="189"/>
      <c r="BP162" s="189"/>
      <c r="BQ162" s="189"/>
      <c r="BR162" s="189"/>
      <c r="BS162" s="189"/>
      <c r="BT162" s="189"/>
      <c r="BU162" s="189"/>
      <c r="BV162" s="189"/>
      <c r="BW162" s="189"/>
      <c r="BX162" s="189"/>
      <c r="BY162" s="189"/>
      <c r="BZ162" s="189"/>
      <c r="CA162" s="189"/>
      <c r="CB162" s="189"/>
      <c r="CC162" s="189"/>
      <c r="CD162" s="189"/>
      <c r="CE162" s="189"/>
      <c r="CF162" s="189"/>
      <c r="CG162" s="189"/>
      <c r="CH162" s="189"/>
      <c r="CI162" s="189"/>
      <c r="CJ162" s="189"/>
      <c r="CK162" s="189"/>
      <c r="CL162" s="189"/>
      <c r="CM162" s="189"/>
      <c r="CN162" s="189"/>
      <c r="CO162" s="189"/>
      <c r="CP162" s="189"/>
      <c r="CQ162" s="189"/>
      <c r="CR162" s="189"/>
      <c r="CS162" s="189"/>
      <c r="CT162" s="189"/>
      <c r="CU162" s="189"/>
      <c r="CV162" s="189"/>
      <c r="CW162" s="189"/>
      <c r="CX162" s="189"/>
      <c r="CY162" s="189"/>
      <c r="CZ162" s="189"/>
      <c r="DA162" s="189"/>
      <c r="DB162" s="189"/>
      <c r="DC162" s="189"/>
      <c r="DD162" s="189"/>
      <c r="DE162" s="189"/>
      <c r="DF162" s="189"/>
      <c r="DG162" s="189"/>
      <c r="DH162" s="189"/>
      <c r="DI162" s="189"/>
      <c r="DJ162" s="189"/>
    </row>
    <row r="163" spans="3:114">
      <c r="C163" s="284"/>
      <c r="BA163" s="189"/>
      <c r="BB163" s="189"/>
      <c r="BC163" s="189"/>
      <c r="BD163" s="189"/>
      <c r="BE163" s="189"/>
      <c r="BF163" s="189"/>
      <c r="BG163" s="189"/>
      <c r="BH163" s="189"/>
      <c r="BI163" s="189"/>
      <c r="BJ163" s="189"/>
      <c r="BK163" s="189"/>
      <c r="BL163" s="189"/>
      <c r="BM163" s="189"/>
      <c r="BN163" s="189"/>
      <c r="BO163" s="189"/>
      <c r="BP163" s="189"/>
      <c r="BQ163" s="189"/>
      <c r="BR163" s="189"/>
      <c r="BS163" s="189"/>
      <c r="BT163" s="189"/>
      <c r="BU163" s="189"/>
      <c r="BV163" s="189"/>
      <c r="BW163" s="189"/>
      <c r="BX163" s="189"/>
      <c r="BY163" s="189"/>
      <c r="BZ163" s="189"/>
      <c r="CA163" s="189"/>
      <c r="CB163" s="189"/>
      <c r="CC163" s="189"/>
      <c r="CD163" s="189"/>
      <c r="CE163" s="189"/>
      <c r="CF163" s="189"/>
      <c r="CG163" s="189"/>
      <c r="CH163" s="189"/>
      <c r="CI163" s="189"/>
      <c r="CJ163" s="189"/>
      <c r="CK163" s="189"/>
      <c r="CL163" s="189"/>
      <c r="CM163" s="189"/>
      <c r="CN163" s="189"/>
      <c r="CO163" s="189"/>
      <c r="CP163" s="189"/>
      <c r="CQ163" s="189"/>
      <c r="CR163" s="189"/>
      <c r="CS163" s="189"/>
      <c r="CT163" s="189"/>
      <c r="CU163" s="189"/>
      <c r="CV163" s="189"/>
      <c r="CW163" s="189"/>
      <c r="CX163" s="189"/>
      <c r="CY163" s="189"/>
      <c r="CZ163" s="189"/>
      <c r="DA163" s="189"/>
      <c r="DB163" s="189"/>
      <c r="DC163" s="189"/>
      <c r="DD163" s="189"/>
      <c r="DE163" s="189"/>
      <c r="DF163" s="189"/>
      <c r="DG163" s="189"/>
      <c r="DH163" s="189"/>
      <c r="DI163" s="189"/>
      <c r="DJ163" s="189"/>
    </row>
    <row r="164" spans="3:114">
      <c r="C164" s="284"/>
      <c r="BA164" s="189"/>
      <c r="BB164" s="189"/>
      <c r="BC164" s="189"/>
      <c r="BD164" s="189"/>
      <c r="BE164" s="189"/>
      <c r="BF164" s="189"/>
      <c r="BG164" s="189"/>
      <c r="BH164" s="189"/>
      <c r="BI164" s="189"/>
      <c r="BJ164" s="189"/>
      <c r="BK164" s="189"/>
      <c r="BL164" s="189"/>
      <c r="BM164" s="189"/>
      <c r="BN164" s="189"/>
      <c r="BO164" s="189"/>
      <c r="BP164" s="189"/>
      <c r="BQ164" s="189"/>
      <c r="BR164" s="189"/>
      <c r="BS164" s="189"/>
      <c r="BT164" s="189"/>
      <c r="BU164" s="189"/>
      <c r="BV164" s="189"/>
      <c r="BW164" s="189"/>
      <c r="BX164" s="189"/>
      <c r="BY164" s="189"/>
      <c r="BZ164" s="189"/>
      <c r="CA164" s="189"/>
      <c r="CB164" s="189"/>
      <c r="CC164" s="189"/>
      <c r="CD164" s="189"/>
      <c r="CE164" s="189"/>
      <c r="CF164" s="189"/>
      <c r="CG164" s="189"/>
      <c r="CH164" s="189"/>
      <c r="CI164" s="189"/>
      <c r="CJ164" s="189"/>
      <c r="CK164" s="189"/>
      <c r="CL164" s="189"/>
      <c r="CM164" s="189"/>
      <c r="CN164" s="189"/>
      <c r="CO164" s="189"/>
      <c r="CP164" s="189"/>
      <c r="CQ164" s="189"/>
      <c r="CR164" s="189"/>
      <c r="CS164" s="189"/>
      <c r="CT164" s="189"/>
      <c r="CU164" s="189"/>
      <c r="CV164" s="189"/>
      <c r="CW164" s="189"/>
      <c r="CX164" s="189"/>
      <c r="CY164" s="189"/>
      <c r="CZ164" s="189"/>
      <c r="DA164" s="189"/>
      <c r="DB164" s="189"/>
      <c r="DC164" s="189"/>
      <c r="DD164" s="189"/>
      <c r="DE164" s="189"/>
      <c r="DF164" s="189"/>
      <c r="DG164" s="189"/>
      <c r="DH164" s="189"/>
      <c r="DI164" s="189"/>
      <c r="DJ164" s="189"/>
    </row>
    <row r="165" spans="3:114">
      <c r="C165" s="284"/>
      <c r="BA165" s="189"/>
      <c r="BB165" s="189"/>
      <c r="BC165" s="189"/>
      <c r="BD165" s="189"/>
      <c r="BE165" s="189"/>
      <c r="BF165" s="189"/>
      <c r="BG165" s="189"/>
      <c r="BH165" s="189"/>
      <c r="BI165" s="189"/>
      <c r="BJ165" s="189"/>
      <c r="BK165" s="189"/>
      <c r="BL165" s="189"/>
      <c r="BM165" s="189"/>
      <c r="BN165" s="189"/>
      <c r="BO165" s="189"/>
      <c r="BP165" s="189"/>
      <c r="BQ165" s="189"/>
      <c r="BR165" s="189"/>
      <c r="BS165" s="189"/>
      <c r="BT165" s="189"/>
      <c r="BU165" s="189"/>
      <c r="BV165" s="189"/>
      <c r="BW165" s="189"/>
      <c r="BX165" s="189"/>
      <c r="BY165" s="189"/>
      <c r="BZ165" s="189"/>
      <c r="CA165" s="189"/>
      <c r="CB165" s="189"/>
      <c r="CC165" s="189"/>
      <c r="CD165" s="189"/>
      <c r="CE165" s="189"/>
      <c r="CF165" s="189"/>
      <c r="CG165" s="189"/>
      <c r="CH165" s="189"/>
      <c r="CI165" s="189"/>
      <c r="CJ165" s="189"/>
      <c r="CK165" s="189"/>
      <c r="CL165" s="189"/>
      <c r="CM165" s="189"/>
      <c r="CN165" s="189"/>
      <c r="CO165" s="189"/>
      <c r="CP165" s="189"/>
      <c r="CQ165" s="189"/>
      <c r="CR165" s="189"/>
      <c r="CS165" s="189"/>
      <c r="CT165" s="189"/>
      <c r="CU165" s="189"/>
      <c r="CV165" s="189"/>
      <c r="CW165" s="189"/>
      <c r="CX165" s="189"/>
      <c r="CY165" s="189"/>
      <c r="CZ165" s="189"/>
      <c r="DA165" s="189"/>
      <c r="DB165" s="189"/>
      <c r="DC165" s="189"/>
      <c r="DD165" s="189"/>
      <c r="DE165" s="189"/>
      <c r="DF165" s="189"/>
      <c r="DG165" s="189"/>
      <c r="DH165" s="189"/>
      <c r="DI165" s="189"/>
      <c r="DJ165" s="189"/>
    </row>
    <row r="166" spans="3:114">
      <c r="C166" s="284"/>
      <c r="BA166" s="189"/>
      <c r="BB166" s="189"/>
      <c r="BC166" s="189"/>
      <c r="BD166" s="189"/>
      <c r="BE166" s="189"/>
      <c r="BF166" s="189"/>
      <c r="BG166" s="189"/>
      <c r="BH166" s="189"/>
      <c r="BI166" s="189"/>
      <c r="BJ166" s="189"/>
      <c r="BK166" s="189"/>
      <c r="BL166" s="189"/>
      <c r="BM166" s="189"/>
      <c r="BN166" s="189"/>
      <c r="BO166" s="189"/>
      <c r="BP166" s="189"/>
      <c r="BQ166" s="189"/>
      <c r="BR166" s="189"/>
      <c r="BS166" s="189"/>
      <c r="BT166" s="189"/>
      <c r="BU166" s="189"/>
      <c r="BV166" s="189"/>
      <c r="BW166" s="189"/>
      <c r="BX166" s="189"/>
      <c r="BY166" s="189"/>
      <c r="BZ166" s="189"/>
      <c r="CA166" s="189"/>
      <c r="CB166" s="189"/>
      <c r="CC166" s="189"/>
      <c r="CD166" s="189"/>
      <c r="CE166" s="189"/>
      <c r="CF166" s="189"/>
      <c r="CG166" s="189"/>
      <c r="CH166" s="189"/>
      <c r="CI166" s="189"/>
      <c r="CJ166" s="189"/>
      <c r="CK166" s="189"/>
      <c r="CL166" s="189"/>
      <c r="CM166" s="189"/>
      <c r="CN166" s="189"/>
      <c r="CO166" s="189"/>
      <c r="CP166" s="189"/>
      <c r="CQ166" s="189"/>
      <c r="CR166" s="189"/>
      <c r="CS166" s="189"/>
      <c r="CT166" s="189"/>
      <c r="CU166" s="189"/>
      <c r="CV166" s="189"/>
      <c r="CW166" s="189"/>
      <c r="CX166" s="189"/>
      <c r="CY166" s="189"/>
      <c r="CZ166" s="189"/>
      <c r="DA166" s="189"/>
      <c r="DB166" s="189"/>
      <c r="DC166" s="189"/>
      <c r="DD166" s="189"/>
      <c r="DE166" s="189"/>
      <c r="DF166" s="189"/>
      <c r="DG166" s="189"/>
      <c r="DH166" s="189"/>
      <c r="DI166" s="189"/>
      <c r="DJ166" s="189"/>
    </row>
    <row r="167" spans="3:114">
      <c r="C167" s="284"/>
      <c r="BA167" s="189"/>
      <c r="BB167" s="189"/>
      <c r="BC167" s="189"/>
      <c r="BD167" s="189"/>
      <c r="BE167" s="189"/>
      <c r="BF167" s="189"/>
      <c r="BG167" s="189"/>
      <c r="BH167" s="189"/>
      <c r="BI167" s="189"/>
      <c r="BJ167" s="189"/>
      <c r="BK167" s="189"/>
      <c r="BL167" s="189"/>
      <c r="BM167" s="189"/>
      <c r="BN167" s="189"/>
      <c r="BO167" s="189"/>
      <c r="BP167" s="189"/>
      <c r="BQ167" s="189"/>
      <c r="BR167" s="189"/>
      <c r="BS167" s="189"/>
      <c r="BT167" s="189"/>
      <c r="BU167" s="189"/>
      <c r="BV167" s="189"/>
      <c r="BW167" s="189"/>
      <c r="BX167" s="189"/>
      <c r="BY167" s="189"/>
      <c r="BZ167" s="189"/>
      <c r="CA167" s="189"/>
      <c r="CB167" s="189"/>
      <c r="CC167" s="189"/>
      <c r="CD167" s="189"/>
      <c r="CE167" s="189"/>
      <c r="CF167" s="189"/>
      <c r="CG167" s="189"/>
      <c r="CH167" s="189"/>
      <c r="CI167" s="189"/>
      <c r="CJ167" s="189"/>
      <c r="CK167" s="189"/>
      <c r="CL167" s="189"/>
      <c r="CM167" s="189"/>
      <c r="CN167" s="189"/>
      <c r="CO167" s="189"/>
      <c r="CP167" s="189"/>
      <c r="CQ167" s="189"/>
      <c r="CR167" s="189"/>
      <c r="CS167" s="189"/>
      <c r="CT167" s="189"/>
      <c r="CU167" s="189"/>
      <c r="CV167" s="189"/>
      <c r="CW167" s="189"/>
      <c r="CX167" s="189"/>
      <c r="CY167" s="189"/>
      <c r="CZ167" s="189"/>
      <c r="DA167" s="189"/>
      <c r="DB167" s="189"/>
      <c r="DC167" s="189"/>
      <c r="DD167" s="189"/>
      <c r="DE167" s="189"/>
      <c r="DF167" s="189"/>
      <c r="DG167" s="189"/>
      <c r="DH167" s="189"/>
      <c r="DI167" s="189"/>
      <c r="DJ167" s="189"/>
    </row>
    <row r="168" spans="3:114">
      <c r="C168" s="284"/>
      <c r="BA168" s="189"/>
      <c r="BB168" s="189"/>
      <c r="BC168" s="189"/>
      <c r="BD168" s="189"/>
      <c r="BE168" s="189"/>
      <c r="BF168" s="189"/>
      <c r="BG168" s="189"/>
      <c r="BH168" s="189"/>
      <c r="BI168" s="189"/>
      <c r="BJ168" s="189"/>
      <c r="BK168" s="189"/>
      <c r="BL168" s="189"/>
      <c r="BM168" s="189"/>
      <c r="BN168" s="189"/>
      <c r="BO168" s="189"/>
      <c r="BP168" s="189"/>
      <c r="BQ168" s="189"/>
      <c r="BR168" s="189"/>
      <c r="BS168" s="189"/>
      <c r="BT168" s="189"/>
      <c r="BU168" s="189"/>
      <c r="BV168" s="189"/>
      <c r="BW168" s="189"/>
      <c r="BX168" s="189"/>
      <c r="BY168" s="189"/>
      <c r="BZ168" s="189"/>
      <c r="CA168" s="189"/>
      <c r="CB168" s="189"/>
      <c r="CC168" s="189"/>
      <c r="CD168" s="189"/>
      <c r="CE168" s="189"/>
      <c r="CF168" s="189"/>
      <c r="CG168" s="189"/>
      <c r="CH168" s="189"/>
      <c r="CI168" s="189"/>
      <c r="CJ168" s="189"/>
      <c r="CK168" s="189"/>
      <c r="CL168" s="189"/>
      <c r="CM168" s="189"/>
      <c r="CN168" s="189"/>
      <c r="CO168" s="189"/>
      <c r="CP168" s="189"/>
      <c r="CQ168" s="189"/>
      <c r="CR168" s="189"/>
      <c r="CS168" s="189"/>
      <c r="CT168" s="189"/>
      <c r="CU168" s="189"/>
      <c r="CV168" s="189"/>
      <c r="CW168" s="189"/>
      <c r="CX168" s="189"/>
      <c r="CY168" s="189"/>
      <c r="CZ168" s="189"/>
      <c r="DA168" s="189"/>
      <c r="DB168" s="189"/>
      <c r="DC168" s="189"/>
      <c r="DD168" s="189"/>
      <c r="DE168" s="189"/>
      <c r="DF168" s="189"/>
      <c r="DG168" s="189"/>
      <c r="DH168" s="189"/>
      <c r="DI168" s="189"/>
      <c r="DJ168" s="189"/>
    </row>
    <row r="169" spans="3:114">
      <c r="C169" s="284"/>
      <c r="BA169" s="189"/>
      <c r="BB169" s="189"/>
      <c r="BC169" s="189"/>
      <c r="BD169" s="189"/>
      <c r="BE169" s="189"/>
      <c r="BF169" s="189"/>
      <c r="BG169" s="189"/>
      <c r="BH169" s="189"/>
      <c r="BI169" s="189"/>
      <c r="BJ169" s="189"/>
      <c r="BK169" s="189"/>
      <c r="BL169" s="189"/>
      <c r="BM169" s="189"/>
      <c r="BN169" s="189"/>
      <c r="BO169" s="189"/>
      <c r="BP169" s="189"/>
      <c r="BQ169" s="189"/>
      <c r="BR169" s="189"/>
      <c r="BS169" s="189"/>
      <c r="BT169" s="189"/>
      <c r="BU169" s="189"/>
      <c r="BV169" s="189"/>
      <c r="BW169" s="189"/>
      <c r="BX169" s="189"/>
      <c r="BY169" s="189"/>
      <c r="BZ169" s="189"/>
      <c r="CA169" s="189"/>
      <c r="CB169" s="189"/>
      <c r="CC169" s="189"/>
      <c r="CD169" s="189"/>
      <c r="CE169" s="189"/>
      <c r="CF169" s="189"/>
      <c r="CG169" s="189"/>
      <c r="CH169" s="189"/>
      <c r="CI169" s="189"/>
      <c r="CJ169" s="189"/>
      <c r="CK169" s="189"/>
      <c r="CL169" s="189"/>
      <c r="CM169" s="189"/>
      <c r="CN169" s="189"/>
      <c r="CO169" s="189"/>
      <c r="CP169" s="189"/>
      <c r="CQ169" s="189"/>
      <c r="CR169" s="189"/>
      <c r="CS169" s="189"/>
      <c r="CT169" s="189"/>
      <c r="CU169" s="189"/>
      <c r="CV169" s="189"/>
      <c r="CW169" s="189"/>
      <c r="CX169" s="189"/>
      <c r="CY169" s="189"/>
      <c r="CZ169" s="189"/>
      <c r="DA169" s="189"/>
      <c r="DB169" s="189"/>
      <c r="DC169" s="189"/>
      <c r="DD169" s="189"/>
      <c r="DE169" s="189"/>
      <c r="DF169" s="189"/>
      <c r="DG169" s="189"/>
      <c r="DH169" s="189"/>
      <c r="DI169" s="189"/>
      <c r="DJ169" s="189"/>
    </row>
    <row r="170" spans="3:114">
      <c r="C170" s="284"/>
      <c r="BA170" s="189"/>
      <c r="BB170" s="189"/>
      <c r="BC170" s="189"/>
      <c r="BD170" s="189"/>
      <c r="BE170" s="189"/>
      <c r="BF170" s="189"/>
      <c r="BG170" s="189"/>
      <c r="BH170" s="189"/>
      <c r="BI170" s="189"/>
      <c r="BJ170" s="189"/>
      <c r="BK170" s="189"/>
      <c r="BL170" s="189"/>
      <c r="BM170" s="189"/>
      <c r="BN170" s="189"/>
      <c r="BO170" s="189"/>
      <c r="BP170" s="189"/>
      <c r="BQ170" s="189"/>
      <c r="BR170" s="189"/>
      <c r="BS170" s="189"/>
      <c r="BT170" s="189"/>
      <c r="BU170" s="189"/>
      <c r="BV170" s="189"/>
      <c r="BW170" s="189"/>
      <c r="BX170" s="189"/>
      <c r="BY170" s="189"/>
      <c r="BZ170" s="189"/>
      <c r="CA170" s="189"/>
      <c r="CB170" s="189"/>
      <c r="CC170" s="189"/>
      <c r="CD170" s="189"/>
      <c r="CE170" s="189"/>
      <c r="CF170" s="189"/>
      <c r="CG170" s="189"/>
      <c r="CH170" s="189"/>
      <c r="CI170" s="189"/>
      <c r="CJ170" s="189"/>
      <c r="CK170" s="189"/>
      <c r="CL170" s="189"/>
      <c r="CM170" s="189"/>
      <c r="CN170" s="189"/>
      <c r="CO170" s="189"/>
      <c r="CP170" s="189"/>
      <c r="CQ170" s="189"/>
      <c r="CR170" s="189"/>
      <c r="CS170" s="189"/>
      <c r="CT170" s="189"/>
      <c r="CU170" s="189"/>
      <c r="CV170" s="189"/>
      <c r="CW170" s="189"/>
      <c r="CX170" s="189"/>
      <c r="CY170" s="189"/>
      <c r="CZ170" s="189"/>
      <c r="DA170" s="189"/>
      <c r="DB170" s="189"/>
      <c r="DC170" s="189"/>
      <c r="DD170" s="189"/>
      <c r="DE170" s="189"/>
      <c r="DF170" s="189"/>
      <c r="DG170" s="189"/>
      <c r="DH170" s="189"/>
      <c r="DI170" s="189"/>
      <c r="DJ170" s="189"/>
    </row>
    <row r="171" spans="3:114">
      <c r="C171" s="284"/>
      <c r="BA171" s="189"/>
      <c r="BB171" s="189"/>
      <c r="BC171" s="189"/>
      <c r="BD171" s="189"/>
      <c r="BE171" s="189"/>
      <c r="BF171" s="189"/>
      <c r="BG171" s="189"/>
      <c r="BH171" s="189"/>
      <c r="BI171" s="189"/>
      <c r="BJ171" s="189"/>
      <c r="BK171" s="189"/>
      <c r="BL171" s="189"/>
      <c r="BM171" s="189"/>
      <c r="BN171" s="189"/>
      <c r="BO171" s="189"/>
      <c r="BP171" s="189"/>
      <c r="BQ171" s="189"/>
      <c r="BR171" s="189"/>
      <c r="BS171" s="189"/>
      <c r="BT171" s="189"/>
      <c r="BU171" s="189"/>
      <c r="BV171" s="189"/>
      <c r="BW171" s="189"/>
      <c r="BX171" s="189"/>
      <c r="BY171" s="189"/>
      <c r="BZ171" s="189"/>
      <c r="CA171" s="189"/>
      <c r="CB171" s="189"/>
      <c r="CC171" s="189"/>
      <c r="CD171" s="189"/>
      <c r="CE171" s="189"/>
      <c r="CF171" s="189"/>
      <c r="CG171" s="189"/>
      <c r="CH171" s="189"/>
      <c r="CI171" s="189"/>
      <c r="CJ171" s="189"/>
      <c r="CK171" s="189"/>
      <c r="CL171" s="189"/>
      <c r="CM171" s="189"/>
      <c r="CN171" s="189"/>
      <c r="CO171" s="189"/>
      <c r="CP171" s="189"/>
      <c r="CQ171" s="189"/>
      <c r="CR171" s="189"/>
      <c r="CS171" s="189"/>
      <c r="CT171" s="189"/>
      <c r="CU171" s="189"/>
      <c r="CV171" s="189"/>
      <c r="CW171" s="189"/>
      <c r="CX171" s="189"/>
      <c r="CY171" s="189"/>
      <c r="CZ171" s="189"/>
      <c r="DA171" s="189"/>
      <c r="DB171" s="189"/>
      <c r="DC171" s="189"/>
      <c r="DD171" s="189"/>
      <c r="DE171" s="189"/>
      <c r="DF171" s="189"/>
      <c r="DG171" s="189"/>
      <c r="DH171" s="189"/>
      <c r="DI171" s="189"/>
      <c r="DJ171" s="189"/>
    </row>
    <row r="172" spans="3:114">
      <c r="C172" s="284"/>
      <c r="BA172" s="189"/>
      <c r="BB172" s="189"/>
      <c r="BC172" s="189"/>
      <c r="BD172" s="189"/>
      <c r="BE172" s="189"/>
      <c r="BF172" s="189"/>
      <c r="BG172" s="189"/>
      <c r="BH172" s="189"/>
      <c r="BI172" s="189"/>
      <c r="BJ172" s="189"/>
      <c r="BK172" s="189"/>
      <c r="BL172" s="189"/>
      <c r="BM172" s="189"/>
      <c r="BN172" s="189"/>
      <c r="BO172" s="189"/>
      <c r="BP172" s="189"/>
      <c r="BQ172" s="189"/>
      <c r="BR172" s="189"/>
      <c r="BS172" s="189"/>
      <c r="BT172" s="189"/>
      <c r="BU172" s="189"/>
      <c r="BV172" s="189"/>
      <c r="BW172" s="189"/>
      <c r="BX172" s="189"/>
      <c r="BY172" s="189"/>
      <c r="BZ172" s="189"/>
      <c r="CA172" s="189"/>
      <c r="CB172" s="189"/>
      <c r="CC172" s="189"/>
      <c r="CD172" s="189"/>
      <c r="CE172" s="189"/>
      <c r="CF172" s="189"/>
      <c r="CG172" s="189"/>
      <c r="CH172" s="189"/>
      <c r="CI172" s="189"/>
      <c r="CJ172" s="189"/>
      <c r="CK172" s="189"/>
      <c r="CL172" s="189"/>
      <c r="CM172" s="189"/>
      <c r="CN172" s="189"/>
      <c r="CO172" s="189"/>
      <c r="CP172" s="189"/>
      <c r="CQ172" s="189"/>
      <c r="CR172" s="189"/>
      <c r="CS172" s="189"/>
      <c r="CT172" s="189"/>
      <c r="CU172" s="189"/>
      <c r="CV172" s="189"/>
      <c r="CW172" s="189"/>
      <c r="CX172" s="189"/>
      <c r="CY172" s="189"/>
      <c r="CZ172" s="189"/>
      <c r="DA172" s="189"/>
      <c r="DB172" s="189"/>
      <c r="DC172" s="189"/>
      <c r="DD172" s="189"/>
      <c r="DE172" s="189"/>
      <c r="DF172" s="189"/>
      <c r="DG172" s="189"/>
      <c r="DH172" s="189"/>
      <c r="DI172" s="189"/>
      <c r="DJ172" s="189"/>
    </row>
    <row r="173" spans="3:114">
      <c r="C173" s="284"/>
      <c r="BA173" s="189"/>
      <c r="BB173" s="189"/>
      <c r="BC173" s="189"/>
      <c r="BD173" s="189"/>
      <c r="BE173" s="189"/>
      <c r="BF173" s="189"/>
      <c r="BG173" s="189"/>
      <c r="BH173" s="189"/>
      <c r="BI173" s="189"/>
      <c r="BJ173" s="189"/>
      <c r="BK173" s="189"/>
      <c r="BL173" s="189"/>
      <c r="BM173" s="189"/>
      <c r="BN173" s="189"/>
      <c r="BO173" s="189"/>
      <c r="BP173" s="189"/>
      <c r="BQ173" s="189"/>
      <c r="BR173" s="189"/>
      <c r="BS173" s="189"/>
      <c r="BT173" s="189"/>
      <c r="BU173" s="189"/>
      <c r="BV173" s="189"/>
      <c r="BW173" s="189"/>
      <c r="BX173" s="189"/>
      <c r="BY173" s="189"/>
      <c r="BZ173" s="189"/>
      <c r="CA173" s="189"/>
      <c r="CB173" s="189"/>
      <c r="CC173" s="189"/>
      <c r="CD173" s="189"/>
      <c r="CE173" s="189"/>
      <c r="CF173" s="189"/>
      <c r="CG173" s="189"/>
      <c r="CH173" s="189"/>
      <c r="CI173" s="189"/>
      <c r="CJ173" s="189"/>
      <c r="CK173" s="189"/>
      <c r="CL173" s="189"/>
      <c r="CM173" s="189"/>
      <c r="CN173" s="189"/>
      <c r="CO173" s="189"/>
      <c r="CP173" s="189"/>
      <c r="CQ173" s="189"/>
      <c r="CR173" s="189"/>
      <c r="CS173" s="189"/>
      <c r="CT173" s="189"/>
      <c r="CU173" s="189"/>
      <c r="CV173" s="189"/>
      <c r="CW173" s="189"/>
      <c r="CX173" s="189"/>
      <c r="CY173" s="189"/>
      <c r="CZ173" s="189"/>
      <c r="DA173" s="189"/>
      <c r="DB173" s="189"/>
      <c r="DC173" s="189"/>
      <c r="DD173" s="189"/>
      <c r="DE173" s="189"/>
      <c r="DF173" s="189"/>
      <c r="DG173" s="189"/>
      <c r="DH173" s="189"/>
      <c r="DI173" s="189"/>
      <c r="DJ173" s="189"/>
    </row>
    <row r="174" spans="3:114">
      <c r="C174" s="284"/>
      <c r="BA174" s="189"/>
      <c r="BB174" s="189"/>
      <c r="BC174" s="189"/>
      <c r="BD174" s="189"/>
      <c r="BE174" s="189"/>
      <c r="BF174" s="189"/>
      <c r="BG174" s="189"/>
      <c r="BH174" s="189"/>
      <c r="BI174" s="189"/>
      <c r="BJ174" s="189"/>
      <c r="BK174" s="189"/>
      <c r="BL174" s="189"/>
      <c r="BM174" s="189"/>
      <c r="BN174" s="189"/>
      <c r="BO174" s="189"/>
      <c r="BP174" s="189"/>
      <c r="BQ174" s="189"/>
      <c r="BR174" s="189"/>
      <c r="BS174" s="189"/>
      <c r="BT174" s="189"/>
      <c r="BU174" s="189"/>
      <c r="BV174" s="189"/>
      <c r="BW174" s="189"/>
      <c r="BX174" s="189"/>
      <c r="BY174" s="189"/>
      <c r="BZ174" s="189"/>
      <c r="CA174" s="189"/>
      <c r="CB174" s="189"/>
      <c r="CC174" s="189"/>
      <c r="CD174" s="189"/>
      <c r="CE174" s="189"/>
      <c r="CF174" s="189"/>
      <c r="CG174" s="189"/>
      <c r="CH174" s="189"/>
      <c r="CI174" s="189"/>
      <c r="CJ174" s="189"/>
      <c r="CK174" s="189"/>
      <c r="CL174" s="189"/>
      <c r="CM174" s="189"/>
      <c r="CN174" s="189"/>
      <c r="CO174" s="189"/>
      <c r="CP174" s="189"/>
      <c r="CQ174" s="189"/>
      <c r="CR174" s="189"/>
      <c r="CS174" s="189"/>
      <c r="CT174" s="189"/>
      <c r="CU174" s="189"/>
      <c r="CV174" s="189"/>
      <c r="CW174" s="189"/>
      <c r="CX174" s="189"/>
      <c r="CY174" s="189"/>
      <c r="CZ174" s="189"/>
      <c r="DA174" s="189"/>
      <c r="DB174" s="189"/>
      <c r="DC174" s="189"/>
      <c r="DD174" s="189"/>
      <c r="DE174" s="189"/>
      <c r="DF174" s="189"/>
      <c r="DG174" s="189"/>
      <c r="DH174" s="189"/>
      <c r="DI174" s="189"/>
      <c r="DJ174" s="189"/>
    </row>
    <row r="175" spans="3:114">
      <c r="C175" s="284"/>
      <c r="BA175" s="189"/>
      <c r="BB175" s="189"/>
      <c r="BC175" s="189"/>
      <c r="BD175" s="189"/>
      <c r="BE175" s="189"/>
      <c r="BF175" s="189"/>
      <c r="BG175" s="189"/>
      <c r="BH175" s="189"/>
      <c r="BI175" s="189"/>
      <c r="BJ175" s="189"/>
      <c r="BK175" s="189"/>
      <c r="BL175" s="189"/>
      <c r="BM175" s="189"/>
      <c r="BN175" s="189"/>
      <c r="BO175" s="189"/>
      <c r="BP175" s="189"/>
      <c r="BQ175" s="189"/>
      <c r="BR175" s="189"/>
      <c r="BS175" s="189"/>
      <c r="BT175" s="189"/>
      <c r="BU175" s="189"/>
      <c r="BV175" s="189"/>
      <c r="BW175" s="189"/>
      <c r="BX175" s="189"/>
      <c r="BY175" s="189"/>
      <c r="BZ175" s="189"/>
      <c r="CA175" s="189"/>
      <c r="CB175" s="189"/>
      <c r="CC175" s="189"/>
      <c r="CD175" s="189"/>
      <c r="CE175" s="189"/>
      <c r="CF175" s="189"/>
      <c r="CG175" s="189"/>
      <c r="CH175" s="189"/>
      <c r="CI175" s="189"/>
      <c r="CJ175" s="189"/>
      <c r="CK175" s="189"/>
      <c r="CL175" s="189"/>
      <c r="CM175" s="189"/>
      <c r="CN175" s="189"/>
      <c r="CO175" s="189"/>
      <c r="CP175" s="189"/>
      <c r="CQ175" s="189"/>
      <c r="CR175" s="189"/>
      <c r="CS175" s="189"/>
      <c r="CT175" s="189"/>
      <c r="CU175" s="189"/>
      <c r="CV175" s="189"/>
      <c r="CW175" s="189"/>
      <c r="CX175" s="189"/>
      <c r="CY175" s="189"/>
      <c r="CZ175" s="189"/>
      <c r="DA175" s="189"/>
      <c r="DB175" s="189"/>
      <c r="DC175" s="189"/>
      <c r="DD175" s="189"/>
      <c r="DE175" s="189"/>
      <c r="DF175" s="189"/>
      <c r="DG175" s="189"/>
      <c r="DH175" s="189"/>
      <c r="DI175" s="189"/>
      <c r="DJ175" s="189"/>
    </row>
    <row r="176" spans="3:114">
      <c r="C176" s="284"/>
      <c r="BA176" s="189"/>
      <c r="BB176" s="189"/>
      <c r="BC176" s="189"/>
      <c r="BD176" s="189"/>
      <c r="BE176" s="189"/>
      <c r="BF176" s="189"/>
      <c r="BG176" s="189"/>
      <c r="BH176" s="189"/>
      <c r="BI176" s="189"/>
      <c r="BJ176" s="189"/>
      <c r="BK176" s="189"/>
      <c r="BL176" s="189"/>
      <c r="BM176" s="189"/>
      <c r="BN176" s="189"/>
      <c r="BO176" s="189"/>
      <c r="BP176" s="189"/>
      <c r="BQ176" s="189"/>
      <c r="BR176" s="189"/>
      <c r="BS176" s="189"/>
      <c r="BT176" s="189"/>
      <c r="BU176" s="189"/>
      <c r="BV176" s="189"/>
      <c r="BW176" s="189"/>
      <c r="BX176" s="189"/>
      <c r="BY176" s="189"/>
      <c r="BZ176" s="189"/>
      <c r="CA176" s="189"/>
      <c r="CB176" s="189"/>
      <c r="CC176" s="189"/>
      <c r="CD176" s="189"/>
      <c r="CE176" s="189"/>
      <c r="CF176" s="189"/>
      <c r="CG176" s="189"/>
      <c r="CH176" s="189"/>
      <c r="CI176" s="189"/>
      <c r="CJ176" s="189"/>
      <c r="CK176" s="189"/>
      <c r="CL176" s="189"/>
      <c r="CM176" s="189"/>
      <c r="CN176" s="189"/>
      <c r="CO176" s="189"/>
      <c r="CP176" s="189"/>
      <c r="CQ176" s="189"/>
      <c r="CR176" s="189"/>
      <c r="CS176" s="189"/>
      <c r="CT176" s="189"/>
      <c r="CU176" s="189"/>
      <c r="CV176" s="189"/>
      <c r="CW176" s="189"/>
      <c r="CX176" s="189"/>
      <c r="CY176" s="189"/>
      <c r="CZ176" s="189"/>
      <c r="DA176" s="189"/>
      <c r="DB176" s="189"/>
      <c r="DC176" s="189"/>
      <c r="DD176" s="189"/>
      <c r="DE176" s="189"/>
      <c r="DF176" s="189"/>
      <c r="DG176" s="189"/>
      <c r="DH176" s="189"/>
      <c r="DI176" s="189"/>
      <c r="DJ176" s="189"/>
    </row>
    <row r="177" spans="3:114">
      <c r="C177" s="284"/>
      <c r="BA177" s="189"/>
      <c r="BB177" s="189"/>
      <c r="BC177" s="189"/>
      <c r="BD177" s="189"/>
      <c r="BE177" s="189"/>
      <c r="BF177" s="189"/>
      <c r="BG177" s="189"/>
      <c r="BH177" s="189"/>
      <c r="BI177" s="189"/>
      <c r="BJ177" s="189"/>
      <c r="BK177" s="189"/>
      <c r="BL177" s="189"/>
      <c r="BM177" s="189"/>
      <c r="BN177" s="189"/>
      <c r="BO177" s="189"/>
      <c r="BP177" s="189"/>
      <c r="BQ177" s="189"/>
      <c r="BR177" s="189"/>
      <c r="BS177" s="189"/>
      <c r="BT177" s="189"/>
      <c r="BU177" s="189"/>
      <c r="BV177" s="189"/>
      <c r="BW177" s="189"/>
      <c r="BX177" s="189"/>
      <c r="BY177" s="189"/>
      <c r="BZ177" s="189"/>
      <c r="CA177" s="189"/>
      <c r="CB177" s="189"/>
      <c r="CC177" s="189"/>
      <c r="CD177" s="189"/>
      <c r="CE177" s="189"/>
      <c r="CF177" s="189"/>
      <c r="CG177" s="189"/>
      <c r="CH177" s="189"/>
      <c r="CI177" s="189"/>
      <c r="CJ177" s="189"/>
      <c r="CK177" s="189"/>
      <c r="CL177" s="189"/>
      <c r="CM177" s="189"/>
      <c r="CN177" s="189"/>
      <c r="CO177" s="189"/>
      <c r="CP177" s="189"/>
      <c r="CQ177" s="189"/>
      <c r="CR177" s="189"/>
      <c r="CS177" s="189"/>
      <c r="CT177" s="189"/>
      <c r="CU177" s="189"/>
      <c r="CV177" s="189"/>
      <c r="CW177" s="189"/>
      <c r="CX177" s="189"/>
      <c r="CY177" s="189"/>
      <c r="CZ177" s="189"/>
      <c r="DA177" s="189"/>
      <c r="DB177" s="189"/>
      <c r="DC177" s="189"/>
      <c r="DD177" s="189"/>
      <c r="DE177" s="189"/>
      <c r="DF177" s="189"/>
      <c r="DG177" s="189"/>
      <c r="DH177" s="189"/>
      <c r="DI177" s="189"/>
      <c r="DJ177" s="189"/>
    </row>
    <row r="178" spans="3:114">
      <c r="C178" s="284"/>
      <c r="BA178" s="189"/>
      <c r="BB178" s="189"/>
      <c r="BC178" s="189"/>
      <c r="BD178" s="189"/>
      <c r="BE178" s="189"/>
      <c r="BF178" s="189"/>
      <c r="BG178" s="189"/>
      <c r="BH178" s="189"/>
      <c r="BI178" s="189"/>
      <c r="BJ178" s="189"/>
      <c r="BK178" s="189"/>
      <c r="BL178" s="189"/>
      <c r="BM178" s="189"/>
      <c r="BN178" s="189"/>
      <c r="BO178" s="189"/>
      <c r="BP178" s="189"/>
      <c r="BQ178" s="189"/>
      <c r="BR178" s="189"/>
      <c r="BS178" s="189"/>
      <c r="BT178" s="189"/>
      <c r="BU178" s="189"/>
      <c r="BV178" s="189"/>
      <c r="BW178" s="189"/>
      <c r="BX178" s="189"/>
      <c r="BY178" s="189"/>
      <c r="BZ178" s="189"/>
      <c r="CA178" s="189"/>
      <c r="CB178" s="189"/>
      <c r="CC178" s="189"/>
      <c r="CD178" s="189"/>
      <c r="CE178" s="189"/>
      <c r="CF178" s="189"/>
      <c r="CG178" s="189"/>
      <c r="CH178" s="189"/>
      <c r="CI178" s="189"/>
      <c r="CJ178" s="189"/>
      <c r="CK178" s="189"/>
      <c r="CL178" s="189"/>
      <c r="CM178" s="189"/>
      <c r="CN178" s="189"/>
      <c r="CO178" s="189"/>
      <c r="CP178" s="189"/>
      <c r="CQ178" s="189"/>
      <c r="CR178" s="189"/>
      <c r="CS178" s="189"/>
      <c r="CT178" s="189"/>
      <c r="CU178" s="189"/>
      <c r="CV178" s="189"/>
      <c r="CW178" s="189"/>
      <c r="CX178" s="189"/>
      <c r="CY178" s="189"/>
      <c r="CZ178" s="189"/>
      <c r="DA178" s="189"/>
      <c r="DB178" s="189"/>
      <c r="DC178" s="189"/>
      <c r="DD178" s="189"/>
      <c r="DE178" s="189"/>
      <c r="DF178" s="189"/>
      <c r="DG178" s="189"/>
      <c r="DH178" s="189"/>
      <c r="DI178" s="189"/>
      <c r="DJ178" s="189"/>
    </row>
    <row r="179" spans="3:114">
      <c r="C179" s="284"/>
      <c r="BA179" s="189"/>
      <c r="BB179" s="189"/>
      <c r="BC179" s="189"/>
      <c r="BD179" s="189"/>
      <c r="BE179" s="189"/>
      <c r="BF179" s="189"/>
      <c r="BG179" s="189"/>
      <c r="BH179" s="189"/>
      <c r="BI179" s="189"/>
      <c r="BJ179" s="189"/>
      <c r="BK179" s="189"/>
      <c r="BL179" s="189"/>
      <c r="BM179" s="189"/>
      <c r="BN179" s="189"/>
      <c r="BO179" s="189"/>
      <c r="BP179" s="189"/>
      <c r="BQ179" s="189"/>
      <c r="BR179" s="189"/>
      <c r="BS179" s="189"/>
      <c r="BT179" s="189"/>
      <c r="BU179" s="189"/>
      <c r="BV179" s="189"/>
      <c r="BW179" s="189"/>
      <c r="BX179" s="189"/>
      <c r="BY179" s="189"/>
      <c r="BZ179" s="189"/>
      <c r="CA179" s="189"/>
      <c r="CB179" s="189"/>
      <c r="CC179" s="189"/>
      <c r="CD179" s="189"/>
      <c r="CE179" s="189"/>
      <c r="CF179" s="189"/>
      <c r="CG179" s="189"/>
      <c r="CH179" s="189"/>
      <c r="CI179" s="189"/>
      <c r="CJ179" s="189"/>
      <c r="CK179" s="189"/>
      <c r="CL179" s="189"/>
      <c r="CM179" s="189"/>
      <c r="CN179" s="189"/>
      <c r="CO179" s="189"/>
      <c r="CP179" s="189"/>
      <c r="CQ179" s="189"/>
      <c r="CR179" s="189"/>
      <c r="CS179" s="189"/>
      <c r="CT179" s="189"/>
      <c r="CU179" s="189"/>
      <c r="CV179" s="189"/>
      <c r="CW179" s="189"/>
      <c r="CX179" s="189"/>
      <c r="CY179" s="189"/>
      <c r="CZ179" s="189"/>
      <c r="DA179" s="189"/>
      <c r="DB179" s="189"/>
      <c r="DC179" s="189"/>
      <c r="DD179" s="189"/>
      <c r="DE179" s="189"/>
      <c r="DF179" s="189"/>
      <c r="DG179" s="189"/>
      <c r="DH179" s="189"/>
      <c r="DI179" s="189"/>
      <c r="DJ179" s="189"/>
    </row>
    <row r="180" spans="3:114">
      <c r="C180" s="284"/>
      <c r="BA180" s="189"/>
      <c r="BB180" s="189"/>
      <c r="BC180" s="189"/>
      <c r="BD180" s="189"/>
      <c r="BE180" s="189"/>
      <c r="BF180" s="189"/>
      <c r="BG180" s="189"/>
      <c r="BH180" s="189"/>
      <c r="BI180" s="189"/>
      <c r="BJ180" s="189"/>
      <c r="BK180" s="189"/>
      <c r="BL180" s="189"/>
      <c r="BM180" s="189"/>
      <c r="BN180" s="189"/>
      <c r="BO180" s="189"/>
      <c r="BP180" s="189"/>
      <c r="BQ180" s="189"/>
      <c r="BR180" s="189"/>
      <c r="BS180" s="189"/>
      <c r="BT180" s="189"/>
      <c r="BU180" s="189"/>
      <c r="BV180" s="189"/>
      <c r="BW180" s="189"/>
      <c r="BX180" s="189"/>
      <c r="BY180" s="189"/>
      <c r="BZ180" s="189"/>
      <c r="CA180" s="189"/>
      <c r="CB180" s="189"/>
      <c r="CC180" s="189"/>
      <c r="CD180" s="189"/>
      <c r="CE180" s="189"/>
      <c r="CF180" s="189"/>
      <c r="CG180" s="189"/>
      <c r="CH180" s="189"/>
      <c r="CI180" s="189"/>
      <c r="CJ180" s="189"/>
      <c r="CK180" s="189"/>
      <c r="CL180" s="189"/>
      <c r="CM180" s="189"/>
      <c r="CN180" s="189"/>
      <c r="CO180" s="189"/>
      <c r="CP180" s="189"/>
      <c r="CQ180" s="189"/>
      <c r="CR180" s="189"/>
      <c r="CS180" s="189"/>
      <c r="CT180" s="189"/>
      <c r="CU180" s="189"/>
      <c r="CV180" s="189"/>
      <c r="CW180" s="189"/>
      <c r="CX180" s="189"/>
      <c r="CY180" s="189"/>
      <c r="CZ180" s="189"/>
      <c r="DA180" s="189"/>
      <c r="DB180" s="189"/>
      <c r="DC180" s="189"/>
      <c r="DD180" s="189"/>
      <c r="DE180" s="189"/>
      <c r="DF180" s="189"/>
      <c r="DG180" s="189"/>
      <c r="DH180" s="189"/>
      <c r="DI180" s="189"/>
      <c r="DJ180" s="189"/>
    </row>
    <row r="181" spans="3:114">
      <c r="C181" s="284"/>
      <c r="BA181" s="189"/>
      <c r="BB181" s="189"/>
      <c r="BC181" s="189"/>
      <c r="BD181" s="189"/>
      <c r="BE181" s="189"/>
      <c r="BF181" s="189"/>
      <c r="BG181" s="189"/>
      <c r="BH181" s="189"/>
      <c r="BI181" s="189"/>
      <c r="BJ181" s="189"/>
      <c r="BK181" s="189"/>
      <c r="BL181" s="189"/>
      <c r="BM181" s="189"/>
      <c r="BN181" s="189"/>
      <c r="BO181" s="189"/>
      <c r="BP181" s="189"/>
      <c r="BQ181" s="189"/>
      <c r="BR181" s="189"/>
      <c r="BS181" s="189"/>
      <c r="BT181" s="189"/>
      <c r="BU181" s="189"/>
      <c r="BV181" s="189"/>
      <c r="BW181" s="189"/>
      <c r="BX181" s="189"/>
      <c r="BY181" s="189"/>
      <c r="BZ181" s="189"/>
      <c r="CA181" s="189"/>
      <c r="CB181" s="189"/>
      <c r="CC181" s="189"/>
      <c r="CD181" s="189"/>
      <c r="CE181" s="189"/>
      <c r="CF181" s="189"/>
      <c r="CG181" s="189"/>
      <c r="CH181" s="189"/>
      <c r="CI181" s="189"/>
      <c r="CJ181" s="189"/>
      <c r="CK181" s="189"/>
      <c r="CL181" s="189"/>
      <c r="CM181" s="189"/>
      <c r="CN181" s="189"/>
      <c r="CO181" s="189"/>
      <c r="CP181" s="189"/>
      <c r="CQ181" s="189"/>
      <c r="CR181" s="189"/>
      <c r="CS181" s="189"/>
      <c r="CT181" s="189"/>
      <c r="CU181" s="189"/>
      <c r="CV181" s="189"/>
      <c r="CW181" s="189"/>
      <c r="CX181" s="189"/>
      <c r="CY181" s="189"/>
      <c r="CZ181" s="189"/>
      <c r="DA181" s="189"/>
      <c r="DB181" s="189"/>
      <c r="DC181" s="189"/>
      <c r="DD181" s="189"/>
      <c r="DE181" s="189"/>
      <c r="DF181" s="189"/>
      <c r="DG181" s="189"/>
      <c r="DH181" s="189"/>
      <c r="DI181" s="189"/>
      <c r="DJ181" s="189"/>
    </row>
    <row r="182" spans="3:114">
      <c r="C182" s="284"/>
      <c r="BA182" s="189"/>
      <c r="BB182" s="189"/>
      <c r="BC182" s="189"/>
      <c r="BD182" s="189"/>
      <c r="BE182" s="189"/>
      <c r="BF182" s="189"/>
      <c r="BG182" s="189"/>
      <c r="BH182" s="189"/>
      <c r="BI182" s="189"/>
      <c r="BJ182" s="189"/>
      <c r="BK182" s="189"/>
      <c r="BL182" s="189"/>
      <c r="BM182" s="189"/>
      <c r="BN182" s="189"/>
      <c r="BO182" s="189"/>
      <c r="BP182" s="189"/>
      <c r="BQ182" s="189"/>
      <c r="BR182" s="189"/>
      <c r="BS182" s="189"/>
      <c r="BT182" s="189"/>
      <c r="BU182" s="189"/>
      <c r="BV182" s="189"/>
      <c r="BW182" s="189"/>
      <c r="BX182" s="189"/>
      <c r="BY182" s="189"/>
      <c r="BZ182" s="189"/>
      <c r="CA182" s="189"/>
      <c r="CB182" s="189"/>
      <c r="CC182" s="189"/>
      <c r="CD182" s="189"/>
      <c r="CE182" s="189"/>
      <c r="CF182" s="189"/>
      <c r="CG182" s="189"/>
      <c r="CH182" s="189"/>
      <c r="CI182" s="189"/>
      <c r="CJ182" s="189"/>
      <c r="CK182" s="189"/>
      <c r="CL182" s="189"/>
      <c r="CM182" s="189"/>
      <c r="CN182" s="189"/>
      <c r="CO182" s="189"/>
      <c r="CP182" s="189"/>
      <c r="CQ182" s="189"/>
      <c r="CR182" s="189"/>
      <c r="CS182" s="189"/>
      <c r="CT182" s="189"/>
      <c r="CU182" s="189"/>
      <c r="CV182" s="189"/>
      <c r="CW182" s="189"/>
      <c r="CX182" s="189"/>
      <c r="CY182" s="189"/>
      <c r="CZ182" s="189"/>
      <c r="DA182" s="189"/>
      <c r="DB182" s="189"/>
      <c r="DC182" s="189"/>
      <c r="DD182" s="189"/>
      <c r="DE182" s="189"/>
      <c r="DF182" s="189"/>
      <c r="DG182" s="189"/>
      <c r="DH182" s="189"/>
      <c r="DI182" s="189"/>
      <c r="DJ182" s="189"/>
    </row>
    <row r="183" spans="3:114">
      <c r="C183" s="284"/>
      <c r="BA183" s="189"/>
      <c r="BB183" s="189"/>
      <c r="BC183" s="189"/>
      <c r="BD183" s="189"/>
      <c r="BE183" s="189"/>
      <c r="BF183" s="189"/>
      <c r="BG183" s="189"/>
      <c r="BH183" s="189"/>
      <c r="BI183" s="189"/>
      <c r="BJ183" s="189"/>
      <c r="BK183" s="189"/>
      <c r="BL183" s="189"/>
      <c r="BM183" s="189"/>
      <c r="BN183" s="189"/>
      <c r="BO183" s="189"/>
      <c r="BP183" s="189"/>
      <c r="BQ183" s="189"/>
      <c r="BR183" s="189"/>
      <c r="BS183" s="189"/>
      <c r="BT183" s="189"/>
      <c r="BU183" s="189"/>
      <c r="BV183" s="189"/>
      <c r="BW183" s="189"/>
      <c r="BX183" s="189"/>
      <c r="BY183" s="189"/>
      <c r="BZ183" s="189"/>
      <c r="CA183" s="189"/>
      <c r="CB183" s="189"/>
      <c r="CC183" s="189"/>
      <c r="CD183" s="189"/>
      <c r="CE183" s="189"/>
      <c r="CF183" s="189"/>
      <c r="CG183" s="189"/>
      <c r="CH183" s="189"/>
      <c r="CI183" s="189"/>
      <c r="CJ183" s="189"/>
      <c r="CK183" s="189"/>
      <c r="CL183" s="189"/>
      <c r="CM183" s="189"/>
      <c r="CN183" s="189"/>
      <c r="CO183" s="189"/>
      <c r="CP183" s="189"/>
      <c r="CQ183" s="189"/>
      <c r="CR183" s="189"/>
      <c r="CS183" s="189"/>
      <c r="CT183" s="189"/>
      <c r="CU183" s="189"/>
      <c r="CV183" s="189"/>
      <c r="CW183" s="189"/>
      <c r="CX183" s="189"/>
      <c r="CY183" s="189"/>
      <c r="CZ183" s="189"/>
      <c r="DA183" s="189"/>
      <c r="DB183" s="189"/>
      <c r="DC183" s="189"/>
      <c r="DD183" s="189"/>
      <c r="DE183" s="189"/>
      <c r="DF183" s="189"/>
      <c r="DG183" s="189"/>
      <c r="DH183" s="189"/>
      <c r="DI183" s="189"/>
      <c r="DJ183" s="189"/>
    </row>
    <row r="184" spans="3:114">
      <c r="C184" s="284"/>
      <c r="BA184" s="189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9"/>
      <c r="BM184" s="189"/>
      <c r="BN184" s="189"/>
      <c r="BO184" s="189"/>
      <c r="BP184" s="189"/>
      <c r="BQ184" s="189"/>
      <c r="BR184" s="189"/>
      <c r="BS184" s="189"/>
      <c r="BT184" s="189"/>
      <c r="BU184" s="189"/>
      <c r="BV184" s="189"/>
      <c r="BW184" s="189"/>
      <c r="BX184" s="189"/>
      <c r="BY184" s="189"/>
      <c r="BZ184" s="189"/>
      <c r="CA184" s="189"/>
      <c r="CB184" s="189"/>
      <c r="CC184" s="189"/>
      <c r="CD184" s="189"/>
      <c r="CE184" s="189"/>
      <c r="CF184" s="189"/>
      <c r="CG184" s="189"/>
      <c r="CH184" s="189"/>
      <c r="CI184" s="189"/>
      <c r="CJ184" s="189"/>
      <c r="CK184" s="189"/>
      <c r="CL184" s="189"/>
      <c r="CM184" s="189"/>
      <c r="CN184" s="189"/>
      <c r="CO184" s="189"/>
      <c r="CP184" s="189"/>
      <c r="CQ184" s="189"/>
      <c r="CR184" s="189"/>
      <c r="CS184" s="189"/>
      <c r="CT184" s="189"/>
      <c r="CU184" s="189"/>
      <c r="CV184" s="189"/>
      <c r="CW184" s="189"/>
      <c r="CX184" s="189"/>
      <c r="CY184" s="189"/>
      <c r="CZ184" s="189"/>
      <c r="DA184" s="189"/>
      <c r="DB184" s="189"/>
      <c r="DC184" s="189"/>
      <c r="DD184" s="189"/>
      <c r="DE184" s="189"/>
      <c r="DF184" s="189"/>
      <c r="DG184" s="189"/>
      <c r="DH184" s="189"/>
      <c r="DI184" s="189"/>
      <c r="DJ184" s="189"/>
    </row>
    <row r="185" spans="3:114">
      <c r="C185" s="284"/>
      <c r="BA185" s="189"/>
      <c r="BB185" s="189"/>
      <c r="BC185" s="189"/>
      <c r="BD185" s="189"/>
      <c r="BE185" s="189"/>
      <c r="BF185" s="189"/>
      <c r="BG185" s="189"/>
      <c r="BH185" s="189"/>
      <c r="BI185" s="189"/>
      <c r="BJ185" s="189"/>
      <c r="BK185" s="189"/>
      <c r="BL185" s="189"/>
      <c r="BM185" s="189"/>
      <c r="BN185" s="189"/>
      <c r="BO185" s="189"/>
      <c r="BP185" s="189"/>
      <c r="BQ185" s="189"/>
      <c r="BR185" s="189"/>
      <c r="BS185" s="189"/>
      <c r="BT185" s="189"/>
      <c r="BU185" s="189"/>
      <c r="BV185" s="189"/>
      <c r="BW185" s="189"/>
      <c r="BX185" s="189"/>
      <c r="BY185" s="189"/>
      <c r="BZ185" s="189"/>
      <c r="CA185" s="189"/>
      <c r="CB185" s="189"/>
      <c r="CC185" s="189"/>
      <c r="CD185" s="189"/>
      <c r="CE185" s="189"/>
      <c r="CF185" s="189"/>
      <c r="CG185" s="189"/>
      <c r="CH185" s="189"/>
      <c r="CI185" s="189"/>
      <c r="CJ185" s="189"/>
      <c r="CK185" s="189"/>
      <c r="CL185" s="189"/>
      <c r="CM185" s="189"/>
      <c r="CN185" s="189"/>
      <c r="CO185" s="189"/>
      <c r="CP185" s="189"/>
      <c r="CQ185" s="189"/>
      <c r="CR185" s="189"/>
      <c r="CS185" s="189"/>
      <c r="CT185" s="189"/>
      <c r="CU185" s="189"/>
      <c r="CV185" s="189"/>
      <c r="CW185" s="189"/>
      <c r="CX185" s="189"/>
      <c r="CY185" s="189"/>
      <c r="CZ185" s="189"/>
      <c r="DA185" s="189"/>
      <c r="DB185" s="189"/>
      <c r="DC185" s="189"/>
      <c r="DD185" s="189"/>
      <c r="DE185" s="189"/>
      <c r="DF185" s="189"/>
      <c r="DG185" s="189"/>
      <c r="DH185" s="189"/>
      <c r="DI185" s="189"/>
      <c r="DJ185" s="189"/>
    </row>
    <row r="186" spans="3:114">
      <c r="C186" s="284"/>
      <c r="BA186" s="189"/>
      <c r="BB186" s="189"/>
      <c r="BC186" s="189"/>
      <c r="BD186" s="189"/>
      <c r="BE186" s="189"/>
      <c r="BF186" s="189"/>
      <c r="BG186" s="189"/>
      <c r="BH186" s="189"/>
      <c r="BI186" s="189"/>
      <c r="BJ186" s="189"/>
      <c r="BK186" s="189"/>
      <c r="BL186" s="189"/>
      <c r="BM186" s="189"/>
      <c r="BN186" s="189"/>
      <c r="BO186" s="189"/>
      <c r="BP186" s="189"/>
      <c r="BQ186" s="189"/>
      <c r="BR186" s="189"/>
      <c r="BS186" s="189"/>
      <c r="BT186" s="189"/>
      <c r="BU186" s="189"/>
      <c r="BV186" s="189"/>
      <c r="BW186" s="189"/>
      <c r="BX186" s="189"/>
      <c r="BY186" s="189"/>
      <c r="BZ186" s="189"/>
      <c r="CA186" s="189"/>
      <c r="CB186" s="189"/>
      <c r="CC186" s="189"/>
      <c r="CD186" s="189"/>
      <c r="CE186" s="189"/>
      <c r="CF186" s="189"/>
      <c r="CG186" s="189"/>
      <c r="CH186" s="189"/>
      <c r="CI186" s="189"/>
      <c r="CJ186" s="189"/>
      <c r="CK186" s="189"/>
      <c r="CL186" s="189"/>
      <c r="CM186" s="189"/>
      <c r="CN186" s="189"/>
      <c r="CO186" s="189"/>
      <c r="CP186" s="189"/>
      <c r="CQ186" s="189"/>
      <c r="CR186" s="189"/>
      <c r="CS186" s="189"/>
      <c r="CT186" s="189"/>
      <c r="CU186" s="189"/>
      <c r="CV186" s="189"/>
      <c r="CW186" s="189"/>
      <c r="CX186" s="189"/>
      <c r="CY186" s="189"/>
      <c r="CZ186" s="189"/>
      <c r="DA186" s="189"/>
      <c r="DB186" s="189"/>
      <c r="DC186" s="189"/>
      <c r="DD186" s="189"/>
      <c r="DE186" s="189"/>
      <c r="DF186" s="189"/>
      <c r="DG186" s="189"/>
      <c r="DH186" s="189"/>
      <c r="DI186" s="189"/>
      <c r="DJ186" s="189"/>
    </row>
    <row r="187" spans="3:114">
      <c r="C187" s="284"/>
      <c r="BA187" s="189"/>
      <c r="BB187" s="189"/>
      <c r="BC187" s="189"/>
      <c r="BD187" s="189"/>
      <c r="BE187" s="189"/>
      <c r="BF187" s="189"/>
      <c r="BG187" s="189"/>
      <c r="BH187" s="189"/>
      <c r="BI187" s="189"/>
      <c r="BJ187" s="189"/>
      <c r="BK187" s="189"/>
      <c r="BL187" s="189"/>
      <c r="BM187" s="189"/>
      <c r="BN187" s="189"/>
      <c r="BO187" s="189"/>
      <c r="BP187" s="189"/>
      <c r="BQ187" s="189"/>
      <c r="BR187" s="189"/>
      <c r="BS187" s="189"/>
      <c r="BT187" s="189"/>
      <c r="BU187" s="189"/>
      <c r="BV187" s="189"/>
      <c r="BW187" s="189"/>
      <c r="BX187" s="189"/>
      <c r="BY187" s="189"/>
      <c r="BZ187" s="189"/>
      <c r="CA187" s="189"/>
      <c r="CB187" s="189"/>
      <c r="CC187" s="189"/>
      <c r="CD187" s="189"/>
      <c r="CE187" s="189"/>
      <c r="CF187" s="189"/>
      <c r="CG187" s="189"/>
      <c r="CH187" s="189"/>
      <c r="CI187" s="189"/>
      <c r="CJ187" s="189"/>
      <c r="CK187" s="189"/>
      <c r="CL187" s="189"/>
      <c r="CM187" s="189"/>
      <c r="CN187" s="189"/>
      <c r="CO187" s="189"/>
      <c r="CP187" s="189"/>
      <c r="CQ187" s="189"/>
      <c r="CR187" s="189"/>
      <c r="CS187" s="189"/>
      <c r="CT187" s="189"/>
      <c r="CU187" s="189"/>
      <c r="CV187" s="189"/>
      <c r="CW187" s="189"/>
      <c r="CX187" s="189"/>
      <c r="CY187" s="189"/>
      <c r="CZ187" s="189"/>
      <c r="DA187" s="189"/>
      <c r="DB187" s="189"/>
      <c r="DC187" s="189"/>
      <c r="DD187" s="189"/>
      <c r="DE187" s="189"/>
      <c r="DF187" s="189"/>
      <c r="DG187" s="189"/>
      <c r="DH187" s="189"/>
      <c r="DI187" s="189"/>
      <c r="DJ187" s="189"/>
    </row>
    <row r="188" spans="3:114">
      <c r="C188" s="284"/>
      <c r="BA188" s="189"/>
      <c r="BB188" s="189"/>
      <c r="BC188" s="189"/>
      <c r="BD188" s="189"/>
      <c r="BE188" s="189"/>
      <c r="BF188" s="189"/>
      <c r="BG188" s="189"/>
      <c r="BH188" s="189"/>
      <c r="BI188" s="189"/>
      <c r="BJ188" s="189"/>
      <c r="BK188" s="189"/>
      <c r="BL188" s="189"/>
      <c r="BM188" s="189"/>
      <c r="BN188" s="189"/>
      <c r="BO188" s="189"/>
      <c r="BP188" s="189"/>
      <c r="BQ188" s="189"/>
      <c r="BR188" s="189"/>
      <c r="BS188" s="189"/>
      <c r="BT188" s="189"/>
      <c r="BU188" s="189"/>
      <c r="BV188" s="189"/>
      <c r="BW188" s="189"/>
      <c r="BX188" s="189"/>
      <c r="BY188" s="189"/>
      <c r="BZ188" s="189"/>
      <c r="CA188" s="189"/>
      <c r="CB188" s="189"/>
      <c r="CC188" s="189"/>
      <c r="CD188" s="189"/>
      <c r="CE188" s="189"/>
      <c r="CF188" s="189"/>
      <c r="CG188" s="189"/>
      <c r="CH188" s="189"/>
      <c r="CI188" s="189"/>
      <c r="CJ188" s="189"/>
      <c r="CK188" s="189"/>
      <c r="CL188" s="189"/>
      <c r="CM188" s="189"/>
      <c r="CN188" s="189"/>
      <c r="CO188" s="189"/>
      <c r="CP188" s="189"/>
      <c r="CQ188" s="189"/>
      <c r="CR188" s="189"/>
      <c r="CS188" s="189"/>
      <c r="CT188" s="189"/>
      <c r="CU188" s="189"/>
      <c r="CV188" s="189"/>
      <c r="CW188" s="189"/>
      <c r="CX188" s="189"/>
      <c r="CY188" s="189"/>
      <c r="CZ188" s="189"/>
      <c r="DA188" s="189"/>
      <c r="DB188" s="189"/>
      <c r="DC188" s="189"/>
      <c r="DD188" s="189"/>
      <c r="DE188" s="189"/>
      <c r="DF188" s="189"/>
      <c r="DG188" s="189"/>
      <c r="DH188" s="189"/>
      <c r="DI188" s="189"/>
      <c r="DJ188" s="189"/>
    </row>
    <row r="189" spans="3:114">
      <c r="C189" s="284"/>
      <c r="BA189" s="189"/>
      <c r="BB189" s="189"/>
      <c r="BC189" s="189"/>
      <c r="BD189" s="189"/>
      <c r="BE189" s="189"/>
      <c r="BF189" s="189"/>
      <c r="BG189" s="189"/>
      <c r="BH189" s="189"/>
      <c r="BI189" s="189"/>
      <c r="BJ189" s="189"/>
      <c r="BK189" s="189"/>
      <c r="BL189" s="189"/>
      <c r="BM189" s="189"/>
      <c r="BN189" s="189"/>
      <c r="BO189" s="189"/>
      <c r="BP189" s="189"/>
      <c r="BQ189" s="189"/>
      <c r="BR189" s="189"/>
      <c r="BS189" s="189"/>
      <c r="BT189" s="189"/>
      <c r="BU189" s="189"/>
      <c r="BV189" s="189"/>
      <c r="BW189" s="189"/>
      <c r="BX189" s="189"/>
      <c r="BY189" s="189"/>
      <c r="BZ189" s="189"/>
      <c r="CA189" s="189"/>
      <c r="CB189" s="189"/>
      <c r="CC189" s="189"/>
      <c r="CD189" s="189"/>
      <c r="CE189" s="189"/>
      <c r="CF189" s="189"/>
      <c r="CG189" s="189"/>
      <c r="CH189" s="189"/>
      <c r="CI189" s="189"/>
      <c r="CJ189" s="189"/>
      <c r="CK189" s="189"/>
      <c r="CL189" s="189"/>
      <c r="CM189" s="189"/>
      <c r="CN189" s="189"/>
      <c r="CO189" s="189"/>
      <c r="CP189" s="189"/>
      <c r="CQ189" s="189"/>
      <c r="CR189" s="189"/>
      <c r="CS189" s="189"/>
      <c r="CT189" s="189"/>
      <c r="CU189" s="189"/>
      <c r="CV189" s="189"/>
      <c r="CW189" s="189"/>
      <c r="CX189" s="189"/>
      <c r="CY189" s="189"/>
      <c r="CZ189" s="189"/>
      <c r="DA189" s="189"/>
      <c r="DB189" s="189"/>
      <c r="DC189" s="189"/>
      <c r="DD189" s="189"/>
      <c r="DE189" s="189"/>
      <c r="DF189" s="189"/>
      <c r="DG189" s="189"/>
      <c r="DH189" s="189"/>
      <c r="DI189" s="189"/>
      <c r="DJ189" s="189"/>
    </row>
    <row r="190" spans="3:114">
      <c r="C190" s="284"/>
      <c r="BA190" s="189"/>
      <c r="BB190" s="189"/>
      <c r="BC190" s="189"/>
      <c r="BD190" s="189"/>
      <c r="BE190" s="189"/>
      <c r="BF190" s="189"/>
      <c r="BG190" s="189"/>
      <c r="BH190" s="189"/>
      <c r="BI190" s="189"/>
      <c r="BJ190" s="189"/>
      <c r="BK190" s="189"/>
      <c r="BL190" s="189"/>
      <c r="BM190" s="189"/>
      <c r="BN190" s="189"/>
      <c r="BO190" s="189"/>
      <c r="BP190" s="189"/>
      <c r="BQ190" s="189"/>
      <c r="BR190" s="189"/>
      <c r="BS190" s="189"/>
      <c r="BT190" s="189"/>
      <c r="BU190" s="189"/>
      <c r="BV190" s="189"/>
      <c r="BW190" s="189"/>
      <c r="BX190" s="189"/>
      <c r="BY190" s="189"/>
      <c r="BZ190" s="189"/>
      <c r="CA190" s="189"/>
      <c r="CB190" s="189"/>
      <c r="CC190" s="189"/>
      <c r="CD190" s="189"/>
      <c r="CE190" s="189"/>
      <c r="CF190" s="189"/>
      <c r="CG190" s="189"/>
      <c r="CH190" s="189"/>
      <c r="CI190" s="189"/>
      <c r="CJ190" s="189"/>
      <c r="CK190" s="189"/>
      <c r="CL190" s="189"/>
      <c r="CM190" s="189"/>
      <c r="CN190" s="189"/>
      <c r="CO190" s="189"/>
      <c r="CP190" s="189"/>
      <c r="CQ190" s="189"/>
      <c r="CR190" s="189"/>
      <c r="CS190" s="189"/>
      <c r="CT190" s="189"/>
      <c r="CU190" s="189"/>
      <c r="CV190" s="189"/>
      <c r="CW190" s="189"/>
      <c r="CX190" s="189"/>
      <c r="CY190" s="189"/>
      <c r="CZ190" s="189"/>
      <c r="DA190" s="189"/>
      <c r="DB190" s="189"/>
      <c r="DC190" s="189"/>
      <c r="DD190" s="189"/>
      <c r="DE190" s="189"/>
      <c r="DF190" s="189"/>
      <c r="DG190" s="189"/>
      <c r="DH190" s="189"/>
      <c r="DI190" s="189"/>
      <c r="DJ190" s="189"/>
    </row>
    <row r="191" spans="3:114">
      <c r="C191" s="284"/>
      <c r="BA191" s="189"/>
      <c r="BB191" s="189"/>
      <c r="BC191" s="189"/>
      <c r="BD191" s="189"/>
      <c r="BE191" s="189"/>
      <c r="BF191" s="189"/>
      <c r="BG191" s="189"/>
      <c r="BH191" s="189"/>
      <c r="BI191" s="189"/>
      <c r="BJ191" s="189"/>
      <c r="BK191" s="189"/>
      <c r="BL191" s="189"/>
      <c r="BM191" s="189"/>
      <c r="BN191" s="189"/>
      <c r="BO191" s="189"/>
      <c r="BP191" s="189"/>
      <c r="BQ191" s="189"/>
      <c r="BR191" s="189"/>
      <c r="BS191" s="189"/>
      <c r="BT191" s="189"/>
      <c r="BU191" s="189"/>
      <c r="BV191" s="189"/>
      <c r="BW191" s="189"/>
      <c r="BX191" s="189"/>
      <c r="BY191" s="189"/>
      <c r="BZ191" s="189"/>
      <c r="CA191" s="189"/>
      <c r="CB191" s="189"/>
      <c r="CC191" s="189"/>
      <c r="CD191" s="189"/>
      <c r="CE191" s="189"/>
      <c r="CF191" s="189"/>
      <c r="CG191" s="189"/>
      <c r="CH191" s="189"/>
      <c r="CI191" s="189"/>
      <c r="CJ191" s="189"/>
      <c r="CK191" s="189"/>
      <c r="CL191" s="189"/>
      <c r="CM191" s="189"/>
      <c r="CN191" s="189"/>
      <c r="CO191" s="189"/>
      <c r="CP191" s="189"/>
      <c r="CQ191" s="189"/>
      <c r="CR191" s="189"/>
      <c r="CS191" s="189"/>
      <c r="CT191" s="189"/>
      <c r="CU191" s="189"/>
      <c r="CV191" s="189"/>
      <c r="CW191" s="189"/>
      <c r="CX191" s="189"/>
      <c r="CY191" s="189"/>
      <c r="CZ191" s="189"/>
      <c r="DA191" s="189"/>
      <c r="DB191" s="189"/>
      <c r="DC191" s="189"/>
      <c r="DD191" s="189"/>
      <c r="DE191" s="189"/>
      <c r="DF191" s="189"/>
      <c r="DG191" s="189"/>
      <c r="DH191" s="189"/>
      <c r="DI191" s="189"/>
      <c r="DJ191" s="189"/>
    </row>
    <row r="192" spans="3:114">
      <c r="C192" s="284"/>
      <c r="BA192" s="189"/>
      <c r="BB192" s="189"/>
      <c r="BC192" s="189"/>
      <c r="BD192" s="189"/>
      <c r="BE192" s="189"/>
      <c r="BF192" s="189"/>
      <c r="BG192" s="189"/>
      <c r="BH192" s="189"/>
      <c r="BI192" s="189"/>
      <c r="BJ192" s="189"/>
      <c r="BK192" s="189"/>
      <c r="BL192" s="189"/>
      <c r="BM192" s="189"/>
      <c r="BN192" s="189"/>
      <c r="BO192" s="189"/>
      <c r="BP192" s="189"/>
      <c r="BQ192" s="189"/>
      <c r="BR192" s="189"/>
      <c r="BS192" s="189"/>
      <c r="BT192" s="189"/>
      <c r="BU192" s="189"/>
      <c r="BV192" s="189"/>
      <c r="BW192" s="189"/>
      <c r="BX192" s="189"/>
      <c r="BY192" s="189"/>
      <c r="BZ192" s="189"/>
      <c r="CA192" s="189"/>
      <c r="CB192" s="189"/>
      <c r="CC192" s="189"/>
      <c r="CD192" s="189"/>
      <c r="CE192" s="189"/>
      <c r="CF192" s="189"/>
      <c r="CG192" s="189"/>
      <c r="CH192" s="189"/>
      <c r="CI192" s="189"/>
      <c r="CJ192" s="189"/>
      <c r="CK192" s="189"/>
      <c r="CL192" s="189"/>
      <c r="CM192" s="189"/>
      <c r="CN192" s="189"/>
      <c r="CO192" s="189"/>
      <c r="CP192" s="189"/>
      <c r="CQ192" s="189"/>
      <c r="CR192" s="189"/>
      <c r="CS192" s="189"/>
      <c r="CT192" s="189"/>
      <c r="CU192" s="189"/>
      <c r="CV192" s="189"/>
      <c r="CW192" s="189"/>
      <c r="CX192" s="189"/>
      <c r="CY192" s="189"/>
      <c r="CZ192" s="189"/>
      <c r="DA192" s="189"/>
      <c r="DB192" s="189"/>
      <c r="DC192" s="189"/>
      <c r="DD192" s="189"/>
      <c r="DE192" s="189"/>
      <c r="DF192" s="189"/>
      <c r="DG192" s="189"/>
      <c r="DH192" s="189"/>
      <c r="DI192" s="189"/>
      <c r="DJ192" s="189"/>
    </row>
    <row r="193" spans="3:114">
      <c r="C193" s="284"/>
      <c r="BA193" s="189"/>
      <c r="BB193" s="189"/>
      <c r="BC193" s="189"/>
      <c r="BD193" s="189"/>
      <c r="BE193" s="189"/>
      <c r="BF193" s="189"/>
      <c r="BG193" s="189"/>
      <c r="BH193" s="189"/>
      <c r="BI193" s="189"/>
      <c r="BJ193" s="189"/>
      <c r="BK193" s="189"/>
      <c r="BL193" s="189"/>
      <c r="BM193" s="189"/>
      <c r="BN193" s="189"/>
      <c r="BO193" s="189"/>
      <c r="BP193" s="189"/>
      <c r="BQ193" s="189"/>
      <c r="BR193" s="189"/>
      <c r="BS193" s="189"/>
      <c r="BT193" s="189"/>
      <c r="BU193" s="189"/>
      <c r="BV193" s="189"/>
      <c r="BW193" s="189"/>
      <c r="BX193" s="189"/>
      <c r="BY193" s="189"/>
      <c r="BZ193" s="189"/>
      <c r="CA193" s="189"/>
      <c r="CB193" s="189"/>
      <c r="CC193" s="189"/>
      <c r="CD193" s="189"/>
      <c r="CE193" s="189"/>
      <c r="CF193" s="189"/>
      <c r="CG193" s="189"/>
      <c r="CH193" s="189"/>
      <c r="CI193" s="189"/>
      <c r="CJ193" s="189"/>
      <c r="CK193" s="189"/>
      <c r="CL193" s="189"/>
      <c r="CM193" s="189"/>
      <c r="CN193" s="189"/>
      <c r="CO193" s="189"/>
      <c r="CP193" s="189"/>
      <c r="CQ193" s="189"/>
      <c r="CR193" s="189"/>
      <c r="CS193" s="189"/>
      <c r="CT193" s="189"/>
      <c r="CU193" s="189"/>
      <c r="CV193" s="189"/>
      <c r="CW193" s="189"/>
      <c r="CX193" s="189"/>
      <c r="CY193" s="189"/>
      <c r="CZ193" s="189"/>
      <c r="DA193" s="189"/>
      <c r="DB193" s="189"/>
      <c r="DC193" s="189"/>
      <c r="DD193" s="189"/>
      <c r="DE193" s="189"/>
      <c r="DF193" s="189"/>
      <c r="DG193" s="189"/>
      <c r="DH193" s="189"/>
      <c r="DI193" s="189"/>
      <c r="DJ193" s="189"/>
    </row>
    <row r="194" spans="3:114">
      <c r="C194" s="284"/>
      <c r="BA194" s="189"/>
      <c r="BB194" s="189"/>
      <c r="BC194" s="189"/>
      <c r="BD194" s="189"/>
      <c r="BE194" s="189"/>
      <c r="BF194" s="189"/>
      <c r="BG194" s="189"/>
      <c r="BH194" s="189"/>
      <c r="BI194" s="189"/>
      <c r="BJ194" s="189"/>
      <c r="BK194" s="189"/>
      <c r="BL194" s="189"/>
      <c r="BM194" s="189"/>
      <c r="BN194" s="189"/>
      <c r="BO194" s="189"/>
      <c r="BP194" s="189"/>
      <c r="BQ194" s="189"/>
      <c r="BR194" s="189"/>
      <c r="BS194" s="189"/>
      <c r="BT194" s="189"/>
      <c r="BU194" s="189"/>
      <c r="BV194" s="189"/>
      <c r="BW194" s="189"/>
      <c r="BX194" s="189"/>
      <c r="BY194" s="189"/>
      <c r="BZ194" s="189"/>
      <c r="CA194" s="189"/>
      <c r="CB194" s="189"/>
      <c r="CC194" s="189"/>
      <c r="CD194" s="189"/>
      <c r="CE194" s="189"/>
      <c r="CF194" s="189"/>
      <c r="CG194" s="189"/>
      <c r="CH194" s="189"/>
      <c r="CI194" s="189"/>
      <c r="CJ194" s="189"/>
      <c r="CK194" s="189"/>
      <c r="CL194" s="189"/>
      <c r="CM194" s="189"/>
      <c r="CN194" s="189"/>
      <c r="CO194" s="189"/>
      <c r="CP194" s="189"/>
      <c r="CQ194" s="189"/>
      <c r="CR194" s="189"/>
      <c r="CS194" s="189"/>
      <c r="CT194" s="189"/>
      <c r="CU194" s="189"/>
      <c r="CV194" s="189"/>
      <c r="CW194" s="189"/>
      <c r="CX194" s="189"/>
      <c r="CY194" s="189"/>
      <c r="CZ194" s="189"/>
      <c r="DA194" s="189"/>
      <c r="DB194" s="189"/>
      <c r="DC194" s="189"/>
      <c r="DD194" s="189"/>
      <c r="DE194" s="189"/>
      <c r="DF194" s="189"/>
      <c r="DG194" s="189"/>
      <c r="DH194" s="189"/>
      <c r="DI194" s="189"/>
      <c r="DJ194" s="189"/>
    </row>
    <row r="195" spans="3:114">
      <c r="C195" s="284"/>
    </row>
    <row r="196" spans="3:114">
      <c r="C196" s="284"/>
    </row>
    <row r="197" spans="3:114">
      <c r="C197" s="284"/>
    </row>
    <row r="198" spans="3:114">
      <c r="C198" s="284"/>
    </row>
    <row r="199" spans="3:114">
      <c r="C199" s="284"/>
    </row>
    <row r="200" spans="3:114">
      <c r="C200" s="284"/>
    </row>
    <row r="201" spans="3:114">
      <c r="C201" s="284"/>
    </row>
    <row r="202" spans="3:114">
      <c r="C202" s="284"/>
    </row>
    <row r="203" spans="3:114">
      <c r="C203" s="284"/>
    </row>
    <row r="204" spans="3:114">
      <c r="C204" s="284"/>
    </row>
    <row r="205" spans="3:114">
      <c r="C205" s="284"/>
    </row>
    <row r="206" spans="3:114">
      <c r="C206" s="284"/>
    </row>
    <row r="207" spans="3:114">
      <c r="C207" s="284"/>
    </row>
    <row r="208" spans="3:114">
      <c r="C208" s="284"/>
    </row>
    <row r="209" spans="3:3">
      <c r="C209" s="284"/>
    </row>
    <row r="210" spans="3:3">
      <c r="C210" s="284"/>
    </row>
    <row r="211" spans="3:3">
      <c r="C211" s="284"/>
    </row>
    <row r="212" spans="3:3">
      <c r="C212" s="284"/>
    </row>
    <row r="213" spans="3:3">
      <c r="C213" s="284"/>
    </row>
    <row r="214" spans="3:3">
      <c r="C214" s="284"/>
    </row>
    <row r="215" spans="3:3">
      <c r="C215" s="284"/>
    </row>
    <row r="216" spans="3:3">
      <c r="C216" s="284"/>
    </row>
    <row r="217" spans="3:3">
      <c r="C217" s="284"/>
    </row>
    <row r="218" spans="3:3">
      <c r="C218" s="284"/>
    </row>
    <row r="219" spans="3:3">
      <c r="C219" s="284"/>
    </row>
    <row r="220" spans="3:3">
      <c r="C220" s="284"/>
    </row>
  </sheetData>
  <sheetProtection formatCells="0" formatColumns="0" formatRows="0" sort="0" autoFilter="0" pivotTables="0"/>
  <mergeCells count="34">
    <mergeCell ref="Z12:AA12"/>
    <mergeCell ref="X12:Y12"/>
    <mergeCell ref="Z9:AA9"/>
    <mergeCell ref="X11:Y11"/>
    <mergeCell ref="Z11:AA11"/>
    <mergeCell ref="X9:Y9"/>
    <mergeCell ref="N12:O12"/>
    <mergeCell ref="P12:Q12"/>
    <mergeCell ref="R12:S12"/>
    <mergeCell ref="T12:U12"/>
    <mergeCell ref="V12:W12"/>
    <mergeCell ref="C12:C13"/>
    <mergeCell ref="D12:E12"/>
    <mergeCell ref="F12:G12"/>
    <mergeCell ref="H12:I12"/>
    <mergeCell ref="J12:K12"/>
    <mergeCell ref="L12:M12"/>
    <mergeCell ref="D9:E9"/>
    <mergeCell ref="F9:G9"/>
    <mergeCell ref="H9:I9"/>
    <mergeCell ref="J9:K9"/>
    <mergeCell ref="L9:M9"/>
    <mergeCell ref="T9:U9"/>
    <mergeCell ref="V9:W9"/>
    <mergeCell ref="N11:O11"/>
    <mergeCell ref="P11:Q11"/>
    <mergeCell ref="R11:S11"/>
    <mergeCell ref="T11:U11"/>
    <mergeCell ref="V11:W11"/>
    <mergeCell ref="I6:K6"/>
    <mergeCell ref="H7:L7"/>
    <mergeCell ref="N9:O9"/>
    <mergeCell ref="P9:Q9"/>
    <mergeCell ref="R9:S9"/>
  </mergeCells>
  <printOptions horizontalCentered="1" verticalCentered="1"/>
  <pageMargins left="0.70866141732283505" right="0.70866141732283505" top="0.99" bottom="0.74803149606299202" header="0.31496062992126" footer="0.31496062992126"/>
  <pageSetup scale="21" orientation="landscape" r:id="rId1"/>
  <rowBreaks count="1" manualBreakCount="1">
    <brk id="9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C10:AG97"/>
  <sheetViews>
    <sheetView topLeftCell="A22" workbookViewId="0">
      <selection activeCell="C11" sqref="C11:AG47"/>
    </sheetView>
  </sheetViews>
  <sheetFormatPr defaultRowHeight="12.75"/>
  <cols>
    <col min="3" max="3" width="62.28515625" customWidth="1"/>
    <col min="4" max="25" width="0" hidden="1" customWidth="1"/>
  </cols>
  <sheetData>
    <row r="10" spans="3:33" ht="13.5" thickBot="1"/>
    <row r="11" spans="3:33" ht="16.5" thickTop="1" thickBot="1">
      <c r="C11" s="449" t="s">
        <v>368</v>
      </c>
      <c r="D11" s="572">
        <v>2148900000</v>
      </c>
      <c r="E11" s="572"/>
      <c r="F11" s="571">
        <v>2680500000</v>
      </c>
      <c r="G11" s="571"/>
      <c r="H11" s="571">
        <v>3085600000</v>
      </c>
      <c r="I11" s="571"/>
      <c r="J11" s="571">
        <v>2981000000</v>
      </c>
      <c r="K11" s="571"/>
      <c r="L11" s="571">
        <v>3125000000</v>
      </c>
      <c r="M11" s="571"/>
      <c r="N11" s="571">
        <v>3265000000</v>
      </c>
      <c r="O11" s="571"/>
      <c r="P11" s="557">
        <v>3181000000</v>
      </c>
      <c r="Q11" s="558"/>
      <c r="R11" s="555">
        <v>3362000000</v>
      </c>
      <c r="S11" s="556"/>
      <c r="T11" s="552">
        <v>3457900000</v>
      </c>
      <c r="U11" s="553"/>
      <c r="V11" s="555">
        <v>3625000000</v>
      </c>
      <c r="W11" s="556"/>
      <c r="X11" s="555">
        <v>3773000000</v>
      </c>
      <c r="Y11" s="556"/>
      <c r="Z11" s="555">
        <v>3957200000</v>
      </c>
      <c r="AA11" s="556"/>
      <c r="AB11" s="555">
        <v>4192400000</v>
      </c>
      <c r="AC11" s="556"/>
      <c r="AD11" s="555">
        <v>4372200000</v>
      </c>
      <c r="AE11" s="556"/>
      <c r="AF11" s="555">
        <v>4536400000</v>
      </c>
      <c r="AG11" s="556"/>
    </row>
    <row r="12" spans="3:33" ht="15" thickTop="1" thickBot="1"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570"/>
      <c r="O12" s="570"/>
      <c r="P12" s="451"/>
      <c r="Q12" s="451"/>
      <c r="R12" s="451"/>
      <c r="S12" s="451"/>
      <c r="T12" s="451"/>
      <c r="U12" s="451"/>
      <c r="V12" s="451"/>
      <c r="W12" s="451"/>
      <c r="X12" s="451"/>
      <c r="Y12" s="451"/>
      <c r="Z12" s="451"/>
      <c r="AA12" s="451"/>
      <c r="AB12" s="451"/>
      <c r="AC12" s="451"/>
      <c r="AD12" s="451"/>
      <c r="AE12" s="451"/>
      <c r="AF12" s="451"/>
      <c r="AG12" s="451"/>
    </row>
    <row r="13" spans="3:33" ht="13.5" thickTop="1">
      <c r="C13" s="544" t="s">
        <v>126</v>
      </c>
      <c r="D13" s="546">
        <v>2006</v>
      </c>
      <c r="E13" s="547"/>
      <c r="F13" s="546">
        <v>2007</v>
      </c>
      <c r="G13" s="547"/>
      <c r="H13" s="546">
        <v>2008</v>
      </c>
      <c r="I13" s="547"/>
      <c r="J13" s="546">
        <v>2009</v>
      </c>
      <c r="K13" s="547"/>
      <c r="L13" s="546">
        <v>2010</v>
      </c>
      <c r="M13" s="547"/>
      <c r="N13" s="546">
        <v>2011</v>
      </c>
      <c r="O13" s="547"/>
      <c r="P13" s="546">
        <v>2012</v>
      </c>
      <c r="Q13" s="547"/>
      <c r="R13" s="546">
        <v>2013</v>
      </c>
      <c r="S13" s="547"/>
      <c r="T13" s="546">
        <v>2014</v>
      </c>
      <c r="U13" s="547"/>
      <c r="V13" s="546">
        <v>2015</v>
      </c>
      <c r="W13" s="547"/>
      <c r="X13" s="546">
        <v>2016</v>
      </c>
      <c r="Y13" s="547"/>
      <c r="Z13" s="546" t="s">
        <v>417</v>
      </c>
      <c r="AA13" s="547"/>
      <c r="AB13" s="546" t="s">
        <v>418</v>
      </c>
      <c r="AC13" s="547"/>
      <c r="AD13" s="546" t="s">
        <v>419</v>
      </c>
      <c r="AE13" s="547"/>
      <c r="AF13" s="546" t="s">
        <v>423</v>
      </c>
      <c r="AG13" s="547"/>
    </row>
    <row r="14" spans="3:33" ht="13.5" thickBot="1">
      <c r="C14" s="545" t="s">
        <v>126</v>
      </c>
      <c r="D14" s="452" t="s">
        <v>261</v>
      </c>
      <c r="E14" s="453" t="s">
        <v>149</v>
      </c>
      <c r="F14" s="454" t="s">
        <v>261</v>
      </c>
      <c r="G14" s="455" t="s">
        <v>149</v>
      </c>
      <c r="H14" s="456" t="s">
        <v>261</v>
      </c>
      <c r="I14" s="455" t="s">
        <v>149</v>
      </c>
      <c r="J14" s="452" t="s">
        <v>261</v>
      </c>
      <c r="K14" s="454" t="s">
        <v>149</v>
      </c>
      <c r="L14" s="452" t="s">
        <v>261</v>
      </c>
      <c r="M14" s="453" t="s">
        <v>149</v>
      </c>
      <c r="N14" s="452" t="s">
        <v>261</v>
      </c>
      <c r="O14" s="457" t="s">
        <v>149</v>
      </c>
      <c r="P14" s="452" t="s">
        <v>261</v>
      </c>
      <c r="Q14" s="457" t="s">
        <v>149</v>
      </c>
      <c r="R14" s="452" t="s">
        <v>261</v>
      </c>
      <c r="S14" s="457" t="s">
        <v>149</v>
      </c>
      <c r="T14" s="452" t="s">
        <v>261</v>
      </c>
      <c r="U14" s="457" t="s">
        <v>149</v>
      </c>
      <c r="V14" s="452" t="s">
        <v>261</v>
      </c>
      <c r="W14" s="455" t="s">
        <v>149</v>
      </c>
      <c r="X14" s="452" t="s">
        <v>261</v>
      </c>
      <c r="Y14" s="455" t="s">
        <v>149</v>
      </c>
      <c r="Z14" s="452" t="s">
        <v>261</v>
      </c>
      <c r="AA14" s="455" t="s">
        <v>149</v>
      </c>
      <c r="AB14" s="452" t="s">
        <v>261</v>
      </c>
      <c r="AC14" s="455" t="s">
        <v>149</v>
      </c>
      <c r="AD14" s="452" t="s">
        <v>261</v>
      </c>
      <c r="AE14" s="455" t="s">
        <v>149</v>
      </c>
      <c r="AF14" s="452" t="s">
        <v>261</v>
      </c>
      <c r="AG14" s="455" t="s">
        <v>149</v>
      </c>
    </row>
    <row r="15" spans="3:33" ht="14.25" thickTop="1" thickBot="1">
      <c r="C15" s="458" t="s">
        <v>127</v>
      </c>
      <c r="D15" s="459">
        <v>861248548.4399997</v>
      </c>
      <c r="E15" s="460">
        <v>40.078577339103717</v>
      </c>
      <c r="F15" s="459">
        <v>1128300449.6399999</v>
      </c>
      <c r="G15" s="461">
        <v>42.092909891438154</v>
      </c>
      <c r="H15" s="459">
        <v>1287200216.2899997</v>
      </c>
      <c r="I15" s="460">
        <v>41.716366874837945</v>
      </c>
      <c r="J15" s="459">
        <v>1169267417.1700001</v>
      </c>
      <c r="K15" s="461">
        <v>39.223999234149616</v>
      </c>
      <c r="L15" s="459">
        <v>1140357804.0200005</v>
      </c>
      <c r="M15" s="460">
        <v>36.491449728640013</v>
      </c>
      <c r="N15" s="459">
        <v>1129142807.0900002</v>
      </c>
      <c r="O15" s="460">
        <v>34.583240645941807</v>
      </c>
      <c r="P15" s="459">
        <v>1121018319.5799999</v>
      </c>
      <c r="Q15" s="460">
        <v>35.241066318138948</v>
      </c>
      <c r="R15" s="459">
        <v>1243527724.4700003</v>
      </c>
      <c r="S15" s="462">
        <v>36.987737194229631</v>
      </c>
      <c r="T15" s="459">
        <v>1353669813.1500003</v>
      </c>
      <c r="U15" s="460">
        <v>39.147164844269653</v>
      </c>
      <c r="V15" s="459">
        <v>1326705635</v>
      </c>
      <c r="W15" s="463">
        <v>36.598776137931033</v>
      </c>
      <c r="X15" s="459">
        <v>1486467861.1099999</v>
      </c>
      <c r="Y15" s="463">
        <v>39.39750493267956</v>
      </c>
      <c r="Z15" s="459">
        <v>1578270071.2780819</v>
      </c>
      <c r="AA15" s="463">
        <v>39.883505288539418</v>
      </c>
      <c r="AB15" s="459">
        <v>1699708501.5488997</v>
      </c>
      <c r="AC15" s="463">
        <v>40.542612860149305</v>
      </c>
      <c r="AD15" s="459">
        <v>1751847271.155237</v>
      </c>
      <c r="AE15" s="463">
        <v>40.067866775427404</v>
      </c>
      <c r="AF15" s="459">
        <v>1805182603.0756598</v>
      </c>
      <c r="AG15" s="463">
        <v>39.793285492365307</v>
      </c>
    </row>
    <row r="16" spans="3:33" ht="13.5" thickTop="1">
      <c r="C16" s="464" t="s">
        <v>2</v>
      </c>
      <c r="D16" s="465">
        <v>499381748.50999975</v>
      </c>
      <c r="E16" s="466">
        <v>23.238947764437608</v>
      </c>
      <c r="F16" s="467">
        <v>708017212.35000002</v>
      </c>
      <c r="G16" s="466">
        <v>26.413624784555122</v>
      </c>
      <c r="H16" s="465">
        <v>827975111.18999994</v>
      </c>
      <c r="I16" s="466">
        <v>26.833520585623539</v>
      </c>
      <c r="J16" s="465">
        <v>712439343</v>
      </c>
      <c r="K16" s="466">
        <v>23.899340590405906</v>
      </c>
      <c r="L16" s="465">
        <v>675800345.0200001</v>
      </c>
      <c r="M16" s="466">
        <v>21.625611040640003</v>
      </c>
      <c r="N16" s="465">
        <v>704070354.97000003</v>
      </c>
      <c r="O16" s="466">
        <v>21.564176262480856</v>
      </c>
      <c r="P16" s="465">
        <v>687444134.69000006</v>
      </c>
      <c r="Q16" s="466">
        <v>21.610944190191766</v>
      </c>
      <c r="R16" s="465">
        <v>755696459.51000011</v>
      </c>
      <c r="S16" s="468">
        <v>22.477586541047</v>
      </c>
      <c r="T16" s="465">
        <v>833203582.5200001</v>
      </c>
      <c r="U16" s="466">
        <v>24.095652925764195</v>
      </c>
      <c r="V16" s="469">
        <v>805537586.3599999</v>
      </c>
      <c r="W16" s="470">
        <v>22.221726520275858</v>
      </c>
      <c r="X16" s="469">
        <v>886526735.73000002</v>
      </c>
      <c r="Y16" s="470">
        <v>23.496600469917837</v>
      </c>
      <c r="Z16" s="469">
        <v>968037240.38993371</v>
      </c>
      <c r="AA16" s="470">
        <v>24.462681703980937</v>
      </c>
      <c r="AB16" s="469">
        <v>1082312036.6474168</v>
      </c>
      <c r="AC16" s="470">
        <v>25.816048961153914</v>
      </c>
      <c r="AD16" s="469">
        <v>1134610875.3356886</v>
      </c>
      <c r="AE16" s="470">
        <v>25.950571230403195</v>
      </c>
      <c r="AF16" s="469">
        <v>1173652672.2728231</v>
      </c>
      <c r="AG16" s="470">
        <v>25.87189560604936</v>
      </c>
    </row>
    <row r="17" spans="3:33">
      <c r="C17" s="471" t="s">
        <v>3</v>
      </c>
      <c r="D17" s="472">
        <v>72493703.819999963</v>
      </c>
      <c r="E17" s="468">
        <v>3.3735261678067832</v>
      </c>
      <c r="F17" s="472">
        <v>85402227.900000006</v>
      </c>
      <c r="G17" s="468">
        <v>3.1860558813654167</v>
      </c>
      <c r="H17" s="472">
        <v>111918603.98999999</v>
      </c>
      <c r="I17" s="468">
        <v>3.6271261339771841</v>
      </c>
      <c r="J17" s="472">
        <v>94990514</v>
      </c>
      <c r="K17" s="468">
        <v>3.1865318349547129</v>
      </c>
      <c r="L17" s="472">
        <v>89753928.969999999</v>
      </c>
      <c r="M17" s="468">
        <v>2.8721257270400002</v>
      </c>
      <c r="N17" s="472">
        <v>81640031.710000008</v>
      </c>
      <c r="O17" s="468">
        <v>2.5004603892802453</v>
      </c>
      <c r="P17" s="472">
        <v>82261833.280000001</v>
      </c>
      <c r="Q17" s="468">
        <v>2.5860368839987427</v>
      </c>
      <c r="R17" s="472">
        <v>95618433.910000011</v>
      </c>
      <c r="S17" s="468">
        <v>2.8440938105294471</v>
      </c>
      <c r="T17" s="472">
        <v>104405821.67</v>
      </c>
      <c r="U17" s="468">
        <v>3.0193418453396568</v>
      </c>
      <c r="V17" s="473">
        <v>104766319.15999998</v>
      </c>
      <c r="W17" s="474">
        <v>2.8901053561379304</v>
      </c>
      <c r="X17" s="473">
        <v>123131602.47000001</v>
      </c>
      <c r="Y17" s="474">
        <v>3.2634933069175727</v>
      </c>
      <c r="Z17" s="473">
        <v>131815101.86177273</v>
      </c>
      <c r="AA17" s="474">
        <v>3.3310194547097121</v>
      </c>
      <c r="AB17" s="473">
        <v>133810904.31345932</v>
      </c>
      <c r="AC17" s="474">
        <v>3.1917494588650728</v>
      </c>
      <c r="AD17" s="473">
        <v>136118210.84913096</v>
      </c>
      <c r="AE17" s="474">
        <v>3.1132658810011198</v>
      </c>
      <c r="AF17" s="473">
        <v>139534777.94144413</v>
      </c>
      <c r="AG17" s="474">
        <v>3.0758922921577487</v>
      </c>
    </row>
    <row r="18" spans="3:33">
      <c r="C18" s="471" t="s">
        <v>5</v>
      </c>
      <c r="D18" s="472">
        <v>12681282.079999981</v>
      </c>
      <c r="E18" s="468">
        <v>0.59012899995346368</v>
      </c>
      <c r="F18" s="472">
        <v>39076661.670000002</v>
      </c>
      <c r="G18" s="468">
        <v>1.457812410744264</v>
      </c>
      <c r="H18" s="472">
        <v>62803344.119999997</v>
      </c>
      <c r="I18" s="468">
        <v>2.035368943479388</v>
      </c>
      <c r="J18" s="472">
        <v>54738223</v>
      </c>
      <c r="K18" s="468">
        <v>1.8362369339147935</v>
      </c>
      <c r="L18" s="472">
        <v>20270971.710000001</v>
      </c>
      <c r="M18" s="468">
        <v>0.64867109472000006</v>
      </c>
      <c r="N18" s="472">
        <v>36101185.260000005</v>
      </c>
      <c r="O18" s="468">
        <v>1.1057024581929558</v>
      </c>
      <c r="P18" s="472">
        <v>64016557.520000003</v>
      </c>
      <c r="Q18" s="468">
        <v>2.0124664419993712</v>
      </c>
      <c r="R18" s="472">
        <v>40638726.390000008</v>
      </c>
      <c r="S18" s="468">
        <v>1.2087664006543728</v>
      </c>
      <c r="T18" s="472">
        <v>45020371.5</v>
      </c>
      <c r="U18" s="468">
        <v>1.3019570114809567</v>
      </c>
      <c r="V18" s="473">
        <v>42151728.179999992</v>
      </c>
      <c r="W18" s="474">
        <v>1.1628062946206894</v>
      </c>
      <c r="X18" s="473">
        <v>45254590.029999994</v>
      </c>
      <c r="Y18" s="474">
        <v>1.199432547839915</v>
      </c>
      <c r="Z18" s="473">
        <v>48012031.621269546</v>
      </c>
      <c r="AA18" s="474">
        <v>1.2132829177516817</v>
      </c>
      <c r="AB18" s="473">
        <v>49682058.123167977</v>
      </c>
      <c r="AC18" s="474">
        <v>1.1850505229264376</v>
      </c>
      <c r="AD18" s="473">
        <v>51839849.271573402</v>
      </c>
      <c r="AE18" s="474">
        <v>1.1856696690813184</v>
      </c>
      <c r="AF18" s="473">
        <v>53432291.681422226</v>
      </c>
      <c r="AG18" s="474">
        <v>1.177856707552734</v>
      </c>
    </row>
    <row r="19" spans="3:33">
      <c r="C19" s="471" t="s">
        <v>7</v>
      </c>
      <c r="D19" s="472">
        <v>7371892.8599999985</v>
      </c>
      <c r="E19" s="468">
        <v>0.3430542538042719</v>
      </c>
      <c r="F19" s="472">
        <v>20590669.43</v>
      </c>
      <c r="G19" s="468">
        <v>0.76816524640925199</v>
      </c>
      <c r="H19" s="472">
        <v>11428331.24</v>
      </c>
      <c r="I19" s="468">
        <v>0.37037630412237488</v>
      </c>
      <c r="J19" s="472">
        <v>5206820</v>
      </c>
      <c r="K19" s="468">
        <v>0.17466689030526669</v>
      </c>
      <c r="L19" s="472">
        <v>4938431.08</v>
      </c>
      <c r="M19" s="468">
        <v>0.15802979455999999</v>
      </c>
      <c r="N19" s="472">
        <v>1237096.94</v>
      </c>
      <c r="O19" s="468">
        <v>3.7889645941807042E-2</v>
      </c>
      <c r="P19" s="472">
        <v>1441449.4</v>
      </c>
      <c r="Q19" s="468">
        <v>4.5314347689405843E-2</v>
      </c>
      <c r="R19" s="472">
        <v>1440565.3199999998</v>
      </c>
      <c r="S19" s="468">
        <v>4.284846281975014E-2</v>
      </c>
      <c r="T19" s="472">
        <v>1479399.88</v>
      </c>
      <c r="U19" s="468">
        <v>4.2783188640504351E-2</v>
      </c>
      <c r="V19" s="473">
        <v>1486795.3800000001</v>
      </c>
      <c r="W19" s="474">
        <v>4.1015044965517243E-2</v>
      </c>
      <c r="X19" s="473">
        <v>1330049.99</v>
      </c>
      <c r="Y19" s="474">
        <v>3.5251788762258152E-2</v>
      </c>
      <c r="Z19" s="473">
        <v>3824031.6383632962</v>
      </c>
      <c r="AA19" s="474">
        <v>9.6634783138666136E-2</v>
      </c>
      <c r="AB19" s="473">
        <v>3927280.492599105</v>
      </c>
      <c r="AC19" s="474">
        <v>9.3676187687222232E-2</v>
      </c>
      <c r="AD19" s="473">
        <v>4001898.8219584879</v>
      </c>
      <c r="AE19" s="474">
        <v>9.1530552627018161E-2</v>
      </c>
      <c r="AF19" s="473">
        <v>4065929.2031098236</v>
      </c>
      <c r="AG19" s="474">
        <v>8.9628983403355608E-2</v>
      </c>
    </row>
    <row r="20" spans="3:33">
      <c r="C20" s="471" t="s">
        <v>9</v>
      </c>
      <c r="D20" s="472">
        <v>273156637.07999986</v>
      </c>
      <c r="E20" s="468">
        <v>12.711463403601837</v>
      </c>
      <c r="F20" s="472">
        <v>393174255.16000003</v>
      </c>
      <c r="G20" s="468">
        <v>14.667944605857116</v>
      </c>
      <c r="H20" s="472">
        <v>440064484.29000002</v>
      </c>
      <c r="I20" s="468">
        <v>14.26187724559243</v>
      </c>
      <c r="J20" s="472">
        <v>370776942</v>
      </c>
      <c r="K20" s="468">
        <v>12.438005434417979</v>
      </c>
      <c r="L20" s="472">
        <v>364177041.45999998</v>
      </c>
      <c r="M20" s="468">
        <v>11.653665326719999</v>
      </c>
      <c r="N20" s="472">
        <v>392235880.90999997</v>
      </c>
      <c r="O20" s="468">
        <v>12.013350104441042</v>
      </c>
      <c r="P20" s="472">
        <v>354714031.35000002</v>
      </c>
      <c r="Q20" s="468">
        <v>11.151022676831186</v>
      </c>
      <c r="R20" s="472">
        <v>429195069.32999998</v>
      </c>
      <c r="S20" s="468">
        <v>12.766063930101129</v>
      </c>
      <c r="T20" s="472">
        <v>497589192.80000001</v>
      </c>
      <c r="U20" s="468">
        <v>14.38992431244397</v>
      </c>
      <c r="V20" s="473">
        <v>457115481.22000003</v>
      </c>
      <c r="W20" s="474">
        <v>12.610082240551726</v>
      </c>
      <c r="X20" s="473">
        <v>500656533.33000004</v>
      </c>
      <c r="Y20" s="474">
        <v>13.269454898754308</v>
      </c>
      <c r="Z20" s="473">
        <v>534674178.95462984</v>
      </c>
      <c r="AA20" s="474">
        <v>13.51142673998357</v>
      </c>
      <c r="AB20" s="473">
        <v>614449615.31288278</v>
      </c>
      <c r="AC20" s="474">
        <v>14.656273621622049</v>
      </c>
      <c r="AD20" s="473">
        <v>638486030.78240275</v>
      </c>
      <c r="AE20" s="474">
        <v>14.603312537907753</v>
      </c>
      <c r="AF20" s="473">
        <v>661677024.85438609</v>
      </c>
      <c r="AG20" s="474">
        <v>14.585949758715856</v>
      </c>
    </row>
    <row r="21" spans="3:33">
      <c r="C21" s="471" t="s">
        <v>12</v>
      </c>
      <c r="D21" s="472">
        <v>72376242.180000007</v>
      </c>
      <c r="E21" s="468">
        <v>3.3680600390897673</v>
      </c>
      <c r="F21" s="472">
        <v>94538367.25</v>
      </c>
      <c r="G21" s="468">
        <v>3.526893014362992</v>
      </c>
      <c r="H21" s="472">
        <v>120303864.65000001</v>
      </c>
      <c r="I21" s="468">
        <v>3.8988807573891631</v>
      </c>
      <c r="J21" s="472">
        <v>128684864</v>
      </c>
      <c r="K21" s="468">
        <v>4.3168354243542435</v>
      </c>
      <c r="L21" s="472">
        <v>134261371.03</v>
      </c>
      <c r="M21" s="468">
        <v>4.2963638729599998</v>
      </c>
      <c r="N21" s="472">
        <v>143379590.77000001</v>
      </c>
      <c r="O21" s="468">
        <v>4.3914116621745789</v>
      </c>
      <c r="P21" s="472">
        <v>151766097.75999999</v>
      </c>
      <c r="Q21" s="468">
        <v>4.7710184772084245</v>
      </c>
      <c r="R21" s="472">
        <v>161445470.17000002</v>
      </c>
      <c r="S21" s="468">
        <v>4.802066334622249</v>
      </c>
      <c r="T21" s="472">
        <v>156466946.75</v>
      </c>
      <c r="U21" s="468">
        <v>4.5249124251713466</v>
      </c>
      <c r="V21" s="473">
        <v>170010238.31999999</v>
      </c>
      <c r="W21" s="474">
        <v>4.6899376088275861</v>
      </c>
      <c r="X21" s="473">
        <v>182670922.38</v>
      </c>
      <c r="Y21" s="474">
        <v>4.8415298802014313</v>
      </c>
      <c r="Z21" s="473">
        <v>215336979.83213001</v>
      </c>
      <c r="AA21" s="474">
        <v>5.4416501524342973</v>
      </c>
      <c r="AB21" s="473">
        <v>245382371.50944409</v>
      </c>
      <c r="AC21" s="474">
        <v>5.853028611521899</v>
      </c>
      <c r="AD21" s="473">
        <v>268604268.78180271</v>
      </c>
      <c r="AE21" s="474">
        <v>6.1434579566763343</v>
      </c>
      <c r="AF21" s="473">
        <v>278924613.60401165</v>
      </c>
      <c r="AG21" s="474">
        <v>6.1485894895514424</v>
      </c>
    </row>
    <row r="22" spans="3:33">
      <c r="C22" s="471" t="s">
        <v>14</v>
      </c>
      <c r="D22" s="472">
        <v>56766223.619999953</v>
      </c>
      <c r="E22" s="468">
        <v>2.6416410079575572</v>
      </c>
      <c r="F22" s="472">
        <v>68495722.040000007</v>
      </c>
      <c r="G22" s="468">
        <v>2.5553337825032645</v>
      </c>
      <c r="H22" s="472">
        <v>72926890</v>
      </c>
      <c r="I22" s="468">
        <v>2.3634589707026183</v>
      </c>
      <c r="J22" s="472">
        <v>49121124</v>
      </c>
      <c r="K22" s="468">
        <v>1.6478069104327406</v>
      </c>
      <c r="L22" s="472">
        <v>50811537.57</v>
      </c>
      <c r="M22" s="468">
        <v>1.6259692022400001</v>
      </c>
      <c r="N22" s="472">
        <v>45327985.280000009</v>
      </c>
      <c r="O22" s="468">
        <v>1.3882997022970907</v>
      </c>
      <c r="P22" s="472">
        <v>28965025.329999998</v>
      </c>
      <c r="Q22" s="468">
        <v>0.91056351241747879</v>
      </c>
      <c r="R22" s="472">
        <v>22269382.640000001</v>
      </c>
      <c r="S22" s="468">
        <v>0.66238496847114814</v>
      </c>
      <c r="T22" s="472">
        <v>22270229.460000001</v>
      </c>
      <c r="U22" s="468">
        <v>0.64403914109719773</v>
      </c>
      <c r="V22" s="473">
        <v>22887481.920000002</v>
      </c>
      <c r="W22" s="474">
        <v>0.63137881158620701</v>
      </c>
      <c r="X22" s="473">
        <v>24283642.720000003</v>
      </c>
      <c r="Y22" s="474">
        <v>0.64361629260535391</v>
      </c>
      <c r="Z22" s="473">
        <v>24611471.896720003</v>
      </c>
      <c r="AA22" s="474">
        <v>0.62194157224097857</v>
      </c>
      <c r="AB22" s="473">
        <v>25005255.447067525</v>
      </c>
      <c r="AC22" s="474">
        <v>0.59644250183826741</v>
      </c>
      <c r="AD22" s="473">
        <v>25292815.884708803</v>
      </c>
      <c r="AE22" s="474">
        <v>0.57849174065021736</v>
      </c>
      <c r="AF22" s="473">
        <v>25558390.451498244</v>
      </c>
      <c r="AG22" s="474">
        <v>0.56340689647073106</v>
      </c>
    </row>
    <row r="23" spans="3:33">
      <c r="C23" s="471" t="s">
        <v>404</v>
      </c>
      <c r="D23" s="472">
        <v>4535766.87</v>
      </c>
      <c r="E23" s="468">
        <v>0.21107389222392853</v>
      </c>
      <c r="F23" s="472">
        <v>6739308.9000000004</v>
      </c>
      <c r="G23" s="468">
        <v>0.25141984331281481</v>
      </c>
      <c r="H23" s="472">
        <v>8529592.9000000004</v>
      </c>
      <c r="I23" s="468">
        <v>0.27643223036038372</v>
      </c>
      <c r="J23" s="472">
        <v>8920856</v>
      </c>
      <c r="K23" s="468">
        <v>0.2992571620261657</v>
      </c>
      <c r="L23" s="472">
        <v>11587063.199999999</v>
      </c>
      <c r="M23" s="468">
        <v>0.37078602239999997</v>
      </c>
      <c r="N23" s="472">
        <v>4148584.0999999996</v>
      </c>
      <c r="O23" s="468">
        <v>0.12706230015313935</v>
      </c>
      <c r="P23" s="472">
        <v>4279140.05</v>
      </c>
      <c r="Q23" s="468">
        <v>0.13452185004715497</v>
      </c>
      <c r="R23" s="472">
        <v>5088811.75</v>
      </c>
      <c r="S23" s="468">
        <v>0.15136263384889945</v>
      </c>
      <c r="T23" s="472">
        <v>5971620.4600000009</v>
      </c>
      <c r="U23" s="468">
        <v>0.17269500159056075</v>
      </c>
      <c r="V23" s="473">
        <v>7119542.1799999997</v>
      </c>
      <c r="W23" s="474">
        <v>0.19640116358620691</v>
      </c>
      <c r="X23" s="473">
        <v>9199394.8100000005</v>
      </c>
      <c r="Y23" s="474">
        <v>0.24382175483699972</v>
      </c>
      <c r="Z23" s="473">
        <v>9763444.5850481484</v>
      </c>
      <c r="AA23" s="474">
        <v>0.24672608372202942</v>
      </c>
      <c r="AB23" s="473">
        <v>10054551.448795944</v>
      </c>
      <c r="AC23" s="474">
        <v>0.23982805669296692</v>
      </c>
      <c r="AD23" s="473">
        <v>10267800.944111321</v>
      </c>
      <c r="AE23" s="474">
        <v>0.23484289245943282</v>
      </c>
      <c r="AF23" s="473">
        <v>10459644.536951097</v>
      </c>
      <c r="AG23" s="474">
        <v>0.23057147819749352</v>
      </c>
    </row>
    <row r="24" spans="3:33">
      <c r="C24" s="464" t="s">
        <v>18</v>
      </c>
      <c r="D24" s="465">
        <v>255157132.13</v>
      </c>
      <c r="E24" s="468">
        <v>11.873848579738471</v>
      </c>
      <c r="F24" s="465">
        <v>306787808.32999998</v>
      </c>
      <c r="G24" s="468">
        <v>11.445170987875395</v>
      </c>
      <c r="H24" s="465">
        <v>339912631.83999997</v>
      </c>
      <c r="I24" s="468">
        <v>11.016095146486906</v>
      </c>
      <c r="J24" s="465">
        <v>307544353.24000001</v>
      </c>
      <c r="K24" s="468">
        <v>10.316818290506543</v>
      </c>
      <c r="L24" s="465">
        <v>379756996.48000008</v>
      </c>
      <c r="M24" s="468">
        <v>12.152223887360003</v>
      </c>
      <c r="N24" s="465">
        <v>353577453.33000004</v>
      </c>
      <c r="O24" s="468">
        <v>10.82932475742726</v>
      </c>
      <c r="P24" s="465">
        <v>362250409.59999996</v>
      </c>
      <c r="Q24" s="468">
        <v>11.387941200880224</v>
      </c>
      <c r="R24" s="465">
        <v>398494284.19</v>
      </c>
      <c r="S24" s="468">
        <v>11.852893640392622</v>
      </c>
      <c r="T24" s="465">
        <v>444303244.55000001</v>
      </c>
      <c r="U24" s="468">
        <v>12.848932720726452</v>
      </c>
      <c r="V24" s="469">
        <v>437288820.67000002</v>
      </c>
      <c r="W24" s="474">
        <v>12.063139880551725</v>
      </c>
      <c r="X24" s="469">
        <v>462885204.29000008</v>
      </c>
      <c r="Y24" s="474">
        <v>12.26835950940896</v>
      </c>
      <c r="Z24" s="469">
        <v>499661606.95312899</v>
      </c>
      <c r="AA24" s="474">
        <v>12.6266452783061</v>
      </c>
      <c r="AB24" s="469">
        <v>511157499.43090153</v>
      </c>
      <c r="AC24" s="474">
        <v>12.192479234588816</v>
      </c>
      <c r="AD24" s="469">
        <v>517717933.60039777</v>
      </c>
      <c r="AE24" s="474">
        <v>11.841131091907913</v>
      </c>
      <c r="AF24" s="469">
        <v>530712653.73376775</v>
      </c>
      <c r="AG24" s="474">
        <v>11.698982755792429</v>
      </c>
    </row>
    <row r="25" spans="3:33">
      <c r="C25" s="471" t="s">
        <v>20</v>
      </c>
      <c r="D25" s="472">
        <v>138179769.16</v>
      </c>
      <c r="E25" s="468">
        <v>6.4302559058122766</v>
      </c>
      <c r="F25" s="472">
        <v>173517241.65000001</v>
      </c>
      <c r="G25" s="468">
        <v>6.473316233911584</v>
      </c>
      <c r="H25" s="472">
        <v>213850904.31999999</v>
      </c>
      <c r="I25" s="468">
        <v>6.9306100700025919</v>
      </c>
      <c r="J25" s="472">
        <v>199510659.24000001</v>
      </c>
      <c r="K25" s="468">
        <v>6.6927426782958737</v>
      </c>
      <c r="L25" s="472">
        <v>233496116.37</v>
      </c>
      <c r="M25" s="468">
        <v>7.4718757238400002</v>
      </c>
      <c r="N25" s="472">
        <v>213452220.68000001</v>
      </c>
      <c r="O25" s="468">
        <v>6.5375871571209805</v>
      </c>
      <c r="P25" s="472">
        <v>216501675.27000001</v>
      </c>
      <c r="Q25" s="468">
        <v>6.8060885026721154</v>
      </c>
      <c r="R25" s="472">
        <v>241949355.72999999</v>
      </c>
      <c r="S25" s="468">
        <v>7.196589997917906</v>
      </c>
      <c r="T25" s="472">
        <v>270120228.04000002</v>
      </c>
      <c r="U25" s="468">
        <v>7.8116842025506807</v>
      </c>
      <c r="V25" s="473">
        <v>264099239.14000005</v>
      </c>
      <c r="W25" s="474">
        <v>7.2854962521379321</v>
      </c>
      <c r="X25" s="473">
        <v>273553324.41000003</v>
      </c>
      <c r="Y25" s="474">
        <v>7.2502868913331575</v>
      </c>
      <c r="Z25" s="473">
        <v>296755866.1224637</v>
      </c>
      <c r="AA25" s="474">
        <v>7.4991374234929671</v>
      </c>
      <c r="AB25" s="473">
        <v>303664659.43239713</v>
      </c>
      <c r="AC25" s="474">
        <v>7.2432177137772431</v>
      </c>
      <c r="AD25" s="473">
        <v>307357446.54090571</v>
      </c>
      <c r="AE25" s="474">
        <v>7.0298121435640111</v>
      </c>
      <c r="AF25" s="473">
        <v>315072118.44908243</v>
      </c>
      <c r="AG25" s="474">
        <v>6.9454218862772779</v>
      </c>
    </row>
    <row r="26" spans="3:33">
      <c r="C26" s="471" t="s">
        <v>22</v>
      </c>
      <c r="D26" s="472">
        <v>110592983</v>
      </c>
      <c r="E26" s="468">
        <v>5.1464927637395883</v>
      </c>
      <c r="F26" s="472">
        <v>125446267</v>
      </c>
      <c r="G26" s="468">
        <v>4.6799577317664616</v>
      </c>
      <c r="H26" s="472">
        <v>115860488.59999999</v>
      </c>
      <c r="I26" s="468">
        <v>3.7548771260046667</v>
      </c>
      <c r="J26" s="472">
        <v>97587763</v>
      </c>
      <c r="K26" s="468">
        <v>3.2736586044951359</v>
      </c>
      <c r="L26" s="472">
        <v>129895634.22</v>
      </c>
      <c r="M26" s="468">
        <v>4.15666029504</v>
      </c>
      <c r="N26" s="472">
        <v>120890439.24000001</v>
      </c>
      <c r="O26" s="468">
        <v>3.7026168220520677</v>
      </c>
      <c r="P26" s="472">
        <v>125738855</v>
      </c>
      <c r="Q26" s="468">
        <v>3.9528090223200252</v>
      </c>
      <c r="R26" s="472">
        <v>134703897.09</v>
      </c>
      <c r="S26" s="468">
        <v>4.0066596397977401</v>
      </c>
      <c r="T26" s="472">
        <v>151034703.57999998</v>
      </c>
      <c r="U26" s="468">
        <v>4.3678158298389187</v>
      </c>
      <c r="V26" s="473">
        <v>150309788.34999993</v>
      </c>
      <c r="W26" s="474">
        <v>4.1464769199999978</v>
      </c>
      <c r="X26" s="473">
        <v>164379366.90000004</v>
      </c>
      <c r="Y26" s="474">
        <v>4.3567285157699454</v>
      </c>
      <c r="Z26" s="473">
        <v>176542774.81791821</v>
      </c>
      <c r="AA26" s="474">
        <v>4.4613053375598453</v>
      </c>
      <c r="AB26" s="473">
        <v>180554969.3167702</v>
      </c>
      <c r="AC26" s="474">
        <v>4.3067209549845007</v>
      </c>
      <c r="AD26" s="473">
        <v>182997196.10844272</v>
      </c>
      <c r="AE26" s="474">
        <v>4.185471755830994</v>
      </c>
      <c r="AF26" s="473">
        <v>187590425.73076463</v>
      </c>
      <c r="AG26" s="474">
        <v>4.1352267377383969</v>
      </c>
    </row>
    <row r="27" spans="3:33">
      <c r="C27" s="471" t="s">
        <v>24</v>
      </c>
      <c r="D27" s="472">
        <v>6384379.9699999997</v>
      </c>
      <c r="E27" s="468">
        <v>0.29709991018660709</v>
      </c>
      <c r="F27" s="472">
        <v>7824299.6800000006</v>
      </c>
      <c r="G27" s="468">
        <v>0.29189702219735131</v>
      </c>
      <c r="H27" s="472">
        <v>10201238.92</v>
      </c>
      <c r="I27" s="468">
        <v>0.33060795047964742</v>
      </c>
      <c r="J27" s="472">
        <v>10445931</v>
      </c>
      <c r="K27" s="468">
        <v>0.35041700771553169</v>
      </c>
      <c r="L27" s="472">
        <v>10149691.789999999</v>
      </c>
      <c r="M27" s="468">
        <v>0.32479013727999995</v>
      </c>
      <c r="N27" s="472">
        <v>10764704.380000001</v>
      </c>
      <c r="O27" s="468">
        <v>0.32969998101071979</v>
      </c>
      <c r="P27" s="472">
        <v>9987592.2599999998</v>
      </c>
      <c r="Q27" s="468">
        <v>0.31397649355548568</v>
      </c>
      <c r="R27" s="472">
        <v>10770190.189999999</v>
      </c>
      <c r="S27" s="468">
        <v>0.32035068976799519</v>
      </c>
      <c r="T27" s="472">
        <v>12160117.389999999</v>
      </c>
      <c r="U27" s="468">
        <v>0.35166191590271545</v>
      </c>
      <c r="V27" s="473">
        <v>12114496.520000001</v>
      </c>
      <c r="W27" s="474">
        <v>0.3341930074482759</v>
      </c>
      <c r="X27" s="473">
        <v>12989910.719999999</v>
      </c>
      <c r="Y27" s="474">
        <v>0.34428599840975349</v>
      </c>
      <c r="Z27" s="473">
        <v>13969411.609862907</v>
      </c>
      <c r="AA27" s="474">
        <v>0.35301252425611307</v>
      </c>
      <c r="AB27" s="473">
        <v>14287904.319831902</v>
      </c>
      <c r="AC27" s="474">
        <v>0.34080489265890429</v>
      </c>
      <c r="AD27" s="473">
        <v>14478602.761868656</v>
      </c>
      <c r="AE27" s="474">
        <v>0.33115142861416802</v>
      </c>
      <c r="AF27" s="473">
        <v>14842015.691191558</v>
      </c>
      <c r="AG27" s="474">
        <v>0.3271760799574896</v>
      </c>
    </row>
    <row r="28" spans="3:33">
      <c r="C28" s="471" t="s">
        <v>26</v>
      </c>
      <c r="D28" s="472">
        <v>0</v>
      </c>
      <c r="E28" s="468">
        <v>0</v>
      </c>
      <c r="F28" s="472">
        <v>0</v>
      </c>
      <c r="G28" s="468">
        <v>0</v>
      </c>
      <c r="H28" s="472">
        <v>0</v>
      </c>
      <c r="I28" s="468">
        <v>0</v>
      </c>
      <c r="J28" s="472">
        <v>0</v>
      </c>
      <c r="K28" s="468">
        <v>0</v>
      </c>
      <c r="L28" s="472">
        <v>6215554.0999999996</v>
      </c>
      <c r="M28" s="468">
        <v>0.19889773119999998</v>
      </c>
      <c r="N28" s="472">
        <v>8470089.0300000012</v>
      </c>
      <c r="O28" s="468">
        <v>0.25942079724349165</v>
      </c>
      <c r="P28" s="472">
        <v>10022287.07</v>
      </c>
      <c r="Q28" s="468">
        <v>0.31506718233259984</v>
      </c>
      <c r="R28" s="472">
        <v>11070841.180000002</v>
      </c>
      <c r="S28" s="468">
        <v>0.32929331290898278</v>
      </c>
      <c r="T28" s="472">
        <v>10988195.539999999</v>
      </c>
      <c r="U28" s="468">
        <v>0.31777077243413632</v>
      </c>
      <c r="V28" s="473">
        <v>10765296.66</v>
      </c>
      <c r="W28" s="474">
        <v>0.29697370096551723</v>
      </c>
      <c r="X28" s="473">
        <v>11962602.260000002</v>
      </c>
      <c r="Y28" s="474">
        <v>0.31705810389610395</v>
      </c>
      <c r="Z28" s="473">
        <v>12393554.402884183</v>
      </c>
      <c r="AA28" s="474">
        <v>0.31318999299717432</v>
      </c>
      <c r="AB28" s="473">
        <v>12649966.361902282</v>
      </c>
      <c r="AC28" s="474">
        <v>0.30173567316816813</v>
      </c>
      <c r="AD28" s="473">
        <v>12884688.189180695</v>
      </c>
      <c r="AE28" s="474">
        <v>0.29469576389873964</v>
      </c>
      <c r="AF28" s="473">
        <v>13208093.862729128</v>
      </c>
      <c r="AG28" s="474">
        <v>0.2911580518192648</v>
      </c>
    </row>
    <row r="29" spans="3:33">
      <c r="C29" s="464" t="s">
        <v>28</v>
      </c>
      <c r="D29" s="465">
        <v>15777845.709999993</v>
      </c>
      <c r="E29" s="468">
        <v>0.73422894085345958</v>
      </c>
      <c r="F29" s="465">
        <v>21847073.970000003</v>
      </c>
      <c r="G29" s="468">
        <v>0.81503726804700616</v>
      </c>
      <c r="H29" s="465">
        <v>26594093.5</v>
      </c>
      <c r="I29" s="468">
        <v>0.86187754407570649</v>
      </c>
      <c r="J29" s="465">
        <v>22516562.169999998</v>
      </c>
      <c r="K29" s="468">
        <v>0.75533586615229786</v>
      </c>
      <c r="L29" s="465">
        <v>20544226.239999998</v>
      </c>
      <c r="M29" s="468">
        <v>0.65741523967999993</v>
      </c>
      <c r="N29" s="465">
        <v>16011669.92</v>
      </c>
      <c r="O29" s="468">
        <v>0.49040336661562017</v>
      </c>
      <c r="P29" s="465">
        <v>17998206.289999999</v>
      </c>
      <c r="Q29" s="468">
        <v>0.56580340427538511</v>
      </c>
      <c r="R29" s="465">
        <v>27179432.649999999</v>
      </c>
      <c r="S29" s="468">
        <v>0.8084304773944081</v>
      </c>
      <c r="T29" s="465">
        <v>15038439.810000001</v>
      </c>
      <c r="U29" s="468">
        <v>0.43490094594985401</v>
      </c>
      <c r="V29" s="469">
        <v>13154413.690000001</v>
      </c>
      <c r="W29" s="474">
        <v>0.36288037765517245</v>
      </c>
      <c r="X29" s="469">
        <v>12961290.039999999</v>
      </c>
      <c r="Y29" s="474">
        <v>0.34352743281208586</v>
      </c>
      <c r="Z29" s="469">
        <v>13240668.48346</v>
      </c>
      <c r="AA29" s="474">
        <v>0.33459689890478117</v>
      </c>
      <c r="AB29" s="469">
        <v>13604321.13179737</v>
      </c>
      <c r="AC29" s="474">
        <v>0.32449959764806241</v>
      </c>
      <c r="AD29" s="469">
        <v>13867884.470470348</v>
      </c>
      <c r="AE29" s="474">
        <v>0.31718321372467745</v>
      </c>
      <c r="AF29" s="469">
        <v>14096268.254027514</v>
      </c>
      <c r="AG29" s="474">
        <v>0.31073688947243439</v>
      </c>
    </row>
    <row r="30" spans="3:33">
      <c r="C30" s="471" t="s">
        <v>30</v>
      </c>
      <c r="D30" s="472">
        <v>7506509.4799999958</v>
      </c>
      <c r="E30" s="468">
        <v>0.34931869700777124</v>
      </c>
      <c r="F30" s="472">
        <v>9153048.3600000013</v>
      </c>
      <c r="G30" s="468">
        <v>0.34146794851706774</v>
      </c>
      <c r="H30" s="472">
        <v>18319319.420000002</v>
      </c>
      <c r="I30" s="468">
        <v>0.59370363689395911</v>
      </c>
      <c r="J30" s="472">
        <v>14744246.369999999</v>
      </c>
      <c r="K30" s="468">
        <v>0.49460739248574298</v>
      </c>
      <c r="L30" s="472">
        <v>13257206.299999997</v>
      </c>
      <c r="M30" s="468">
        <v>0.42423060159999992</v>
      </c>
      <c r="N30" s="472">
        <v>10724280.77</v>
      </c>
      <c r="O30" s="468">
        <v>0.32846189188361408</v>
      </c>
      <c r="P30" s="472">
        <v>8544481.8000000007</v>
      </c>
      <c r="Q30" s="468">
        <v>0.2686099276956932</v>
      </c>
      <c r="R30" s="472">
        <v>7991437.5899999999</v>
      </c>
      <c r="S30" s="468">
        <v>0.23769891701368234</v>
      </c>
      <c r="T30" s="472">
        <v>7905297.4699999997</v>
      </c>
      <c r="U30" s="468">
        <v>0.22861556060036436</v>
      </c>
      <c r="V30" s="473">
        <v>8333209.8900000015</v>
      </c>
      <c r="W30" s="474">
        <v>0.22988165213793108</v>
      </c>
      <c r="X30" s="473">
        <v>8120398.3900000006</v>
      </c>
      <c r="Y30" s="474">
        <v>0.21522391704214155</v>
      </c>
      <c r="Z30" s="473">
        <v>8290926.7561900001</v>
      </c>
      <c r="AA30" s="474">
        <v>0.20951497918199738</v>
      </c>
      <c r="AB30" s="473">
        <v>8514781.7786071301</v>
      </c>
      <c r="AC30" s="474">
        <v>0.20310041452645572</v>
      </c>
      <c r="AD30" s="473">
        <v>8676562.6324006654</v>
      </c>
      <c r="AE30" s="474">
        <v>0.1984484385984325</v>
      </c>
      <c r="AF30" s="473">
        <v>8815387.634519076</v>
      </c>
      <c r="AG30" s="474">
        <v>0.19432562460363012</v>
      </c>
    </row>
    <row r="31" spans="3:33">
      <c r="C31" s="471" t="s">
        <v>31</v>
      </c>
      <c r="D31" s="472">
        <v>6027790.6899999976</v>
      </c>
      <c r="E31" s="468">
        <v>0.28050587230676149</v>
      </c>
      <c r="F31" s="472">
        <v>8663338.5800000001</v>
      </c>
      <c r="G31" s="468">
        <v>0.32319860399179257</v>
      </c>
      <c r="H31" s="472">
        <v>7688705.0099999998</v>
      </c>
      <c r="I31" s="468">
        <v>0.24918022459165154</v>
      </c>
      <c r="J31" s="472">
        <v>6834686.9299999997</v>
      </c>
      <c r="K31" s="468">
        <v>0.22927497249245221</v>
      </c>
      <c r="L31" s="472">
        <v>6236916.9700000007</v>
      </c>
      <c r="M31" s="468">
        <v>0.19958134304000003</v>
      </c>
      <c r="N31" s="472">
        <v>3918273.44</v>
      </c>
      <c r="O31" s="468">
        <v>0.12000837488514549</v>
      </c>
      <c r="P31" s="472">
        <v>3475076.76</v>
      </c>
      <c r="Q31" s="468">
        <v>0.10924478968877711</v>
      </c>
      <c r="R31" s="472">
        <v>4557791.26</v>
      </c>
      <c r="S31" s="468">
        <v>0.13556785425342058</v>
      </c>
      <c r="T31" s="472">
        <v>3784205.9000000004</v>
      </c>
      <c r="U31" s="468">
        <v>0.10943653373434745</v>
      </c>
      <c r="V31" s="473">
        <v>1862618.2899999998</v>
      </c>
      <c r="W31" s="474">
        <v>5.1382573517241369E-2</v>
      </c>
      <c r="X31" s="473">
        <v>1438003.6099999999</v>
      </c>
      <c r="Y31" s="474">
        <v>3.8113003180492974E-2</v>
      </c>
      <c r="Z31" s="473">
        <v>1468201.6858099997</v>
      </c>
      <c r="AA31" s="474">
        <v>3.7102033908066302E-2</v>
      </c>
      <c r="AB31" s="473">
        <v>1507843.1313268696</v>
      </c>
      <c r="AC31" s="474">
        <v>3.5966108465959108E-2</v>
      </c>
      <c r="AD31" s="473">
        <v>1536492.15082208</v>
      </c>
      <c r="AE31" s="474">
        <v>3.5142311669687572E-2</v>
      </c>
      <c r="AF31" s="473">
        <v>1561076.0252352334</v>
      </c>
      <c r="AG31" s="474">
        <v>3.4412221700803131E-2</v>
      </c>
    </row>
    <row r="32" spans="3:33">
      <c r="C32" s="471" t="s">
        <v>33</v>
      </c>
      <c r="D32" s="472">
        <v>365979.02</v>
      </c>
      <c r="E32" s="468">
        <v>1.7030993531574296E-2</v>
      </c>
      <c r="F32" s="472">
        <v>564651.91</v>
      </c>
      <c r="G32" s="468">
        <v>2.1065171050177207E-2</v>
      </c>
      <c r="H32" s="472">
        <v>544318.97</v>
      </c>
      <c r="I32" s="468">
        <v>1.76406199766658E-2</v>
      </c>
      <c r="J32" s="472">
        <v>409061.18</v>
      </c>
      <c r="K32" s="468">
        <v>1.3722280442804427E-2</v>
      </c>
      <c r="L32" s="472">
        <v>449587.51</v>
      </c>
      <c r="M32" s="468">
        <v>1.438680032E-2</v>
      </c>
      <c r="N32" s="472">
        <v>553959.80999999994</v>
      </c>
      <c r="O32" s="468">
        <v>1.6966609800918835E-2</v>
      </c>
      <c r="P32" s="472">
        <v>491975.95</v>
      </c>
      <c r="Q32" s="468">
        <v>1.5466078277271297E-2</v>
      </c>
      <c r="R32" s="472">
        <v>767936.98999999987</v>
      </c>
      <c r="S32" s="468">
        <v>2.284167132659131E-2</v>
      </c>
      <c r="T32" s="472">
        <v>644189.07999999984</v>
      </c>
      <c r="U32" s="468">
        <v>1.8629488417825843E-2</v>
      </c>
      <c r="V32" s="473">
        <v>874440.19000000006</v>
      </c>
      <c r="W32" s="474">
        <v>2.4122488000000001E-2</v>
      </c>
      <c r="X32" s="473">
        <v>1198558.77</v>
      </c>
      <c r="Y32" s="474">
        <v>3.1766731248343498E-2</v>
      </c>
      <c r="Z32" s="473">
        <v>1230919.8567899999</v>
      </c>
      <c r="AA32" s="474">
        <v>3.1105828787779236E-2</v>
      </c>
      <c r="AB32" s="473">
        <v>1270309.2922072799</v>
      </c>
      <c r="AC32" s="474">
        <v>3.0300288431621029E-2</v>
      </c>
      <c r="AD32" s="473">
        <v>1299526.4059280474</v>
      </c>
      <c r="AE32" s="474">
        <v>2.9722483096108306E-2</v>
      </c>
      <c r="AF32" s="473">
        <v>1326816.4604525364</v>
      </c>
      <c r="AG32" s="474">
        <v>2.9248224593345747E-2</v>
      </c>
    </row>
    <row r="33" spans="3:33">
      <c r="C33" s="471" t="s">
        <v>36</v>
      </c>
      <c r="D33" s="472">
        <v>1877566.52</v>
      </c>
      <c r="E33" s="468">
        <v>8.7373378007352592E-2</v>
      </c>
      <c r="F33" s="472">
        <v>3466035.12</v>
      </c>
      <c r="G33" s="468">
        <v>0.12930554448796866</v>
      </c>
      <c r="H33" s="472">
        <v>41750.1</v>
      </c>
      <c r="I33" s="468">
        <v>1.3530626134301269E-3</v>
      </c>
      <c r="J33" s="472">
        <v>528567.68999999994</v>
      </c>
      <c r="K33" s="468">
        <v>1.7731220731298222E-2</v>
      </c>
      <c r="L33" s="472">
        <v>600515.46</v>
      </c>
      <c r="M33" s="468">
        <v>1.9216494719999998E-2</v>
      </c>
      <c r="N33" s="472">
        <v>815155.9</v>
      </c>
      <c r="O33" s="468">
        <v>2.496649004594181E-2</v>
      </c>
      <c r="P33" s="472">
        <v>5486671.7800000003</v>
      </c>
      <c r="Q33" s="468">
        <v>0.17248260861364351</v>
      </c>
      <c r="R33" s="472">
        <v>13862266.809999999</v>
      </c>
      <c r="S33" s="468">
        <v>0.41232203480071383</v>
      </c>
      <c r="T33" s="472">
        <v>2704747.36</v>
      </c>
      <c r="U33" s="468">
        <v>7.8219363197316288E-2</v>
      </c>
      <c r="V33" s="473">
        <v>2084145.32</v>
      </c>
      <c r="W33" s="474">
        <v>5.7493664E-2</v>
      </c>
      <c r="X33" s="473">
        <v>2204329.27</v>
      </c>
      <c r="Y33" s="474">
        <v>5.8423781341107879E-2</v>
      </c>
      <c r="Z33" s="473">
        <v>2250620.1846699999</v>
      </c>
      <c r="AA33" s="474">
        <v>5.6874057026938235E-2</v>
      </c>
      <c r="AB33" s="473">
        <v>2311386.9296560897</v>
      </c>
      <c r="AC33" s="474">
        <v>5.5132786224026564E-2</v>
      </c>
      <c r="AD33" s="473">
        <v>2355303.2813195554</v>
      </c>
      <c r="AE33" s="474">
        <v>5.3869980360449092E-2</v>
      </c>
      <c r="AF33" s="473">
        <v>2392988.1338206683</v>
      </c>
      <c r="AG33" s="474">
        <v>5.2750818574655418E-2</v>
      </c>
    </row>
    <row r="34" spans="3:33">
      <c r="C34" s="464" t="s">
        <v>38</v>
      </c>
      <c r="D34" s="465">
        <v>17868340.149999995</v>
      </c>
      <c r="E34" s="468">
        <v>0.83151101261110316</v>
      </c>
      <c r="F34" s="465">
        <v>22895117.909999996</v>
      </c>
      <c r="G34" s="468">
        <v>0.85413609065472851</v>
      </c>
      <c r="H34" s="465">
        <v>38239154.099999994</v>
      </c>
      <c r="I34" s="468">
        <v>1.2392777450090742</v>
      </c>
      <c r="J34" s="465">
        <v>28332415.080000002</v>
      </c>
      <c r="K34" s="468">
        <v>0.95043324656155659</v>
      </c>
      <c r="L34" s="465">
        <v>27428633.469999999</v>
      </c>
      <c r="M34" s="468">
        <v>0.87771627103999994</v>
      </c>
      <c r="N34" s="465">
        <v>25699255.23</v>
      </c>
      <c r="O34" s="468">
        <v>0.78711348330781017</v>
      </c>
      <c r="P34" s="465">
        <v>12706115.310000001</v>
      </c>
      <c r="Q34" s="468">
        <v>0.39943776516818619</v>
      </c>
      <c r="R34" s="465">
        <v>13233490.18</v>
      </c>
      <c r="S34" s="468">
        <v>0.39361957703747769</v>
      </c>
      <c r="T34" s="465">
        <v>17342019.190000001</v>
      </c>
      <c r="U34" s="468">
        <v>0.50151881749038429</v>
      </c>
      <c r="V34" s="469">
        <v>29630001.300000001</v>
      </c>
      <c r="W34" s="474">
        <v>0.81737934620689656</v>
      </c>
      <c r="X34" s="469">
        <v>73943522.299999997</v>
      </c>
      <c r="Y34" s="474">
        <v>1.9598071110522131</v>
      </c>
      <c r="Z34" s="469">
        <v>25292587.005194124</v>
      </c>
      <c r="AA34" s="474">
        <v>0.63915361885156485</v>
      </c>
      <c r="AB34" s="469">
        <v>25697268.397277232</v>
      </c>
      <c r="AC34" s="474">
        <v>0.61294886931774717</v>
      </c>
      <c r="AD34" s="469">
        <v>25992786.983845916</v>
      </c>
      <c r="AE34" s="474">
        <v>0.59450132619381346</v>
      </c>
      <c r="AF34" s="469">
        <v>26265711.247176301</v>
      </c>
      <c r="AG34" s="474">
        <v>0.57899901347271632</v>
      </c>
    </row>
    <row r="35" spans="3:33">
      <c r="C35" s="471" t="s">
        <v>39</v>
      </c>
      <c r="D35" s="472">
        <v>1274186.23</v>
      </c>
      <c r="E35" s="468">
        <v>5.9294812694867145E-2</v>
      </c>
      <c r="F35" s="472">
        <v>2986015.41</v>
      </c>
      <c r="G35" s="468">
        <v>0.11139770229434809</v>
      </c>
      <c r="H35" s="472">
        <v>2856435.93</v>
      </c>
      <c r="I35" s="468">
        <v>9.25731115504278E-2</v>
      </c>
      <c r="J35" s="472">
        <v>2890522.73</v>
      </c>
      <c r="K35" s="468">
        <v>9.696486850050319E-2</v>
      </c>
      <c r="L35" s="472">
        <v>2020524.58</v>
      </c>
      <c r="M35" s="468">
        <v>6.4656786559999999E-2</v>
      </c>
      <c r="N35" s="472">
        <v>1002041.9199999999</v>
      </c>
      <c r="O35" s="468">
        <v>3.0690411026033686E-2</v>
      </c>
      <c r="P35" s="472">
        <v>563371.34</v>
      </c>
      <c r="Q35" s="468">
        <v>1.7710510531279471E-2</v>
      </c>
      <c r="R35" s="472">
        <v>647266.8600000001</v>
      </c>
      <c r="S35" s="468">
        <v>1.9252434860202266E-2</v>
      </c>
      <c r="T35" s="472">
        <v>691442</v>
      </c>
      <c r="U35" s="468">
        <v>1.9996009138494461E-2</v>
      </c>
      <c r="V35" s="473">
        <v>589070.87</v>
      </c>
      <c r="W35" s="474">
        <v>1.6250230896551723E-2</v>
      </c>
      <c r="X35" s="473">
        <v>762242.79999999993</v>
      </c>
      <c r="Y35" s="474">
        <v>2.0202565597667636E-2</v>
      </c>
      <c r="Z35" s="473">
        <v>772533.07779999997</v>
      </c>
      <c r="AA35" s="474">
        <v>1.9522214641665824E-2</v>
      </c>
      <c r="AB35" s="473">
        <v>784893.60704479995</v>
      </c>
      <c r="AC35" s="474">
        <v>1.8721820605018605E-2</v>
      </c>
      <c r="AD35" s="473">
        <v>793919.88352581521</v>
      </c>
      <c r="AE35" s="474">
        <v>1.8158361546265385E-2</v>
      </c>
      <c r="AF35" s="473">
        <v>802256.0423028362</v>
      </c>
      <c r="AG35" s="474">
        <v>1.7684861174121248E-2</v>
      </c>
    </row>
    <row r="36" spans="3:33">
      <c r="C36" s="471" t="s">
        <v>41</v>
      </c>
      <c r="D36" s="472">
        <v>3521417.44</v>
      </c>
      <c r="E36" s="468">
        <v>0.16387069849690539</v>
      </c>
      <c r="F36" s="472">
        <v>3729314.35</v>
      </c>
      <c r="G36" s="468">
        <v>0.13912756388733447</v>
      </c>
      <c r="H36" s="472">
        <v>3925540.16</v>
      </c>
      <c r="I36" s="468">
        <v>0.12722129115893183</v>
      </c>
      <c r="J36" s="472">
        <v>3661578.93</v>
      </c>
      <c r="K36" s="468">
        <v>0.12283055786648776</v>
      </c>
      <c r="L36" s="472">
        <v>3239633.87</v>
      </c>
      <c r="M36" s="468">
        <v>0.10366828384</v>
      </c>
      <c r="N36" s="472">
        <v>3009556.45</v>
      </c>
      <c r="O36" s="468">
        <v>9.2176307810107203E-2</v>
      </c>
      <c r="P36" s="472">
        <v>1376923.26</v>
      </c>
      <c r="Q36" s="468">
        <v>4.3285861678717383E-2</v>
      </c>
      <c r="R36" s="472">
        <v>1995183.6300000001</v>
      </c>
      <c r="S36" s="468">
        <v>5.934514069006544E-2</v>
      </c>
      <c r="T36" s="472">
        <v>2187369.91</v>
      </c>
      <c r="U36" s="468">
        <v>6.3257176610081262E-2</v>
      </c>
      <c r="V36" s="473">
        <v>2017461.7800000003</v>
      </c>
      <c r="W36" s="474">
        <v>5.5654118068965523E-2</v>
      </c>
      <c r="X36" s="473">
        <v>2945277.4899999998</v>
      </c>
      <c r="Y36" s="474">
        <v>7.8061953087728592E-2</v>
      </c>
      <c r="Z36" s="473">
        <v>3985865.8902591188</v>
      </c>
      <c r="AA36" s="474">
        <v>0.10072439831848576</v>
      </c>
      <c r="AB36" s="473">
        <v>4049639.7445032648</v>
      </c>
      <c r="AC36" s="474">
        <v>9.6594784479135221E-2</v>
      </c>
      <c r="AD36" s="473">
        <v>4096210.6015650528</v>
      </c>
      <c r="AE36" s="474">
        <v>9.3687630976740613E-2</v>
      </c>
      <c r="AF36" s="473">
        <v>4139220.8128814856</v>
      </c>
      <c r="AG36" s="474">
        <v>9.1244617160776947E-2</v>
      </c>
    </row>
    <row r="37" spans="3:33">
      <c r="C37" s="471" t="s">
        <v>44</v>
      </c>
      <c r="D37" s="472">
        <v>1902110.17</v>
      </c>
      <c r="E37" s="468">
        <v>8.851552747917539E-2</v>
      </c>
      <c r="F37" s="472">
        <v>2195706.9700000002</v>
      </c>
      <c r="G37" s="468">
        <v>8.1914082074239891E-2</v>
      </c>
      <c r="H37" s="472">
        <v>9210786.3699999992</v>
      </c>
      <c r="I37" s="468">
        <v>0.2985087623152709</v>
      </c>
      <c r="J37" s="472">
        <v>9651406.9600000009</v>
      </c>
      <c r="K37" s="468">
        <v>0.32376407111707484</v>
      </c>
      <c r="L37" s="472">
        <v>7609457.3499999996</v>
      </c>
      <c r="M37" s="468">
        <v>0.24350263519999998</v>
      </c>
      <c r="N37" s="472">
        <v>7452842.79</v>
      </c>
      <c r="O37" s="468">
        <v>0.2282647102603369</v>
      </c>
      <c r="P37" s="472">
        <v>654296.18000000005</v>
      </c>
      <c r="Q37" s="468">
        <v>2.0568883370009432E-2</v>
      </c>
      <c r="R37" s="472">
        <v>309851.25</v>
      </c>
      <c r="S37" s="468">
        <v>9.2162775133848903E-3</v>
      </c>
      <c r="T37" s="472">
        <v>166617.24</v>
      </c>
      <c r="U37" s="468">
        <v>4.8184516614129961E-3</v>
      </c>
      <c r="V37" s="473">
        <v>99518.200000000012</v>
      </c>
      <c r="W37" s="474">
        <v>2.7453296551724141E-3</v>
      </c>
      <c r="X37" s="473">
        <v>278274.19</v>
      </c>
      <c r="Y37" s="474">
        <v>7.3754092234296319E-3</v>
      </c>
      <c r="Z37" s="473">
        <v>282030.891565</v>
      </c>
      <c r="AA37" s="474">
        <v>7.1270315264581018E-3</v>
      </c>
      <c r="AB37" s="473">
        <v>286543.38583003997</v>
      </c>
      <c r="AC37" s="474">
        <v>6.8348293538316946E-3</v>
      </c>
      <c r="AD37" s="473">
        <v>289838.63476708543</v>
      </c>
      <c r="AE37" s="474">
        <v>6.6291257208518691E-3</v>
      </c>
      <c r="AF37" s="473">
        <v>292881.94043213979</v>
      </c>
      <c r="AG37" s="474">
        <v>6.4562635665316066E-3</v>
      </c>
    </row>
    <row r="38" spans="3:33">
      <c r="C38" s="471" t="s">
        <v>46</v>
      </c>
      <c r="D38" s="472">
        <v>3406245.76</v>
      </c>
      <c r="E38" s="468">
        <v>0.15851113406859324</v>
      </c>
      <c r="F38" s="472">
        <v>4400291.1100000003</v>
      </c>
      <c r="G38" s="468">
        <v>0.16415934004849844</v>
      </c>
      <c r="H38" s="472">
        <v>5175563.96</v>
      </c>
      <c r="I38" s="468">
        <v>0.16773282214156079</v>
      </c>
      <c r="J38" s="472">
        <v>4679989.66</v>
      </c>
      <c r="K38" s="468">
        <v>0.15699395035223079</v>
      </c>
      <c r="L38" s="472">
        <v>6380752.96</v>
      </c>
      <c r="M38" s="468">
        <v>0.20418409471999999</v>
      </c>
      <c r="N38" s="472">
        <v>4180845.3600000003</v>
      </c>
      <c r="O38" s="468">
        <v>0.12805039387442574</v>
      </c>
      <c r="P38" s="472">
        <v>3319092.83</v>
      </c>
      <c r="Q38" s="468">
        <v>0.10434117667400189</v>
      </c>
      <c r="R38" s="472">
        <v>3324177.16</v>
      </c>
      <c r="S38" s="468">
        <v>9.8874989886972048E-2</v>
      </c>
      <c r="T38" s="472">
        <v>4965390.66</v>
      </c>
      <c r="U38" s="468">
        <v>0.14359555394892856</v>
      </c>
      <c r="V38" s="473">
        <v>6224101.3200000003</v>
      </c>
      <c r="W38" s="474">
        <v>0.1716993467586207</v>
      </c>
      <c r="X38" s="473">
        <v>9214185.910000002</v>
      </c>
      <c r="Y38" s="474">
        <v>0.24421377975086142</v>
      </c>
      <c r="Z38" s="473">
        <v>9338577.4197850022</v>
      </c>
      <c r="AA38" s="474">
        <v>0.23598952339495102</v>
      </c>
      <c r="AB38" s="473">
        <v>9487994.6585015617</v>
      </c>
      <c r="AC38" s="474">
        <v>0.22631415557918047</v>
      </c>
      <c r="AD38" s="473">
        <v>9597106.5970743299</v>
      </c>
      <c r="AE38" s="474">
        <v>0.21950291837231437</v>
      </c>
      <c r="AF38" s="473">
        <v>9697876.2163436096</v>
      </c>
      <c r="AG38" s="474">
        <v>0.21377912477611341</v>
      </c>
    </row>
    <row r="39" spans="3:33">
      <c r="C39" s="471" t="s">
        <v>49</v>
      </c>
      <c r="D39" s="472">
        <v>5372953.1699999962</v>
      </c>
      <c r="E39" s="468">
        <v>0.25003272232304885</v>
      </c>
      <c r="F39" s="472">
        <v>6458859.3499999996</v>
      </c>
      <c r="G39" s="468">
        <v>0.24095725983958216</v>
      </c>
      <c r="H39" s="472">
        <v>7089990.1699999999</v>
      </c>
      <c r="I39" s="468">
        <v>0.2297767102022297</v>
      </c>
      <c r="J39" s="472">
        <v>4037944.42</v>
      </c>
      <c r="K39" s="468">
        <v>0.13545603555853739</v>
      </c>
      <c r="L39" s="472">
        <v>3597161.86</v>
      </c>
      <c r="M39" s="468">
        <v>0.11510917951999999</v>
      </c>
      <c r="N39" s="472">
        <v>4863937.55</v>
      </c>
      <c r="O39" s="468">
        <v>0.14897205359877486</v>
      </c>
      <c r="P39" s="472">
        <v>3327409.68</v>
      </c>
      <c r="Q39" s="468">
        <v>0.10460263061930211</v>
      </c>
      <c r="R39" s="472">
        <v>3659024.1899999995</v>
      </c>
      <c r="S39" s="468">
        <v>0.10883474687685901</v>
      </c>
      <c r="T39" s="472">
        <v>3154323.14</v>
      </c>
      <c r="U39" s="468">
        <v>9.1220773880100636E-2</v>
      </c>
      <c r="V39" s="473">
        <v>15360647.609999999</v>
      </c>
      <c r="W39" s="474">
        <v>0.42374200303448278</v>
      </c>
      <c r="X39" s="473">
        <v>3994658.91</v>
      </c>
      <c r="Y39" s="474">
        <v>0.10587487172011663</v>
      </c>
      <c r="Z39" s="473">
        <v>4048586.8052850002</v>
      </c>
      <c r="AA39" s="474">
        <v>0.10230938050351258</v>
      </c>
      <c r="AB39" s="473">
        <v>4113364.1941695604</v>
      </c>
      <c r="AC39" s="474">
        <v>9.8114783755594903E-2</v>
      </c>
      <c r="AD39" s="473">
        <v>4160667.8824025108</v>
      </c>
      <c r="AE39" s="474">
        <v>9.5161883774816131E-2</v>
      </c>
      <c r="AF39" s="473">
        <v>4204354.8951677373</v>
      </c>
      <c r="AG39" s="474">
        <v>9.2680427104482349E-2</v>
      </c>
    </row>
    <row r="40" spans="3:33">
      <c r="C40" s="471" t="s">
        <v>50</v>
      </c>
      <c r="D40" s="472">
        <v>2391427.38</v>
      </c>
      <c r="E40" s="468">
        <v>0.11128611754851318</v>
      </c>
      <c r="F40" s="472">
        <v>3124930.72</v>
      </c>
      <c r="G40" s="468">
        <v>0.11658014251072563</v>
      </c>
      <c r="H40" s="472">
        <v>9980837.5099999998</v>
      </c>
      <c r="I40" s="468">
        <v>0.32346504764065337</v>
      </c>
      <c r="J40" s="472">
        <v>3410972.38</v>
      </c>
      <c r="K40" s="468">
        <v>0.11442376316672256</v>
      </c>
      <c r="L40" s="472">
        <v>4581102.8499999996</v>
      </c>
      <c r="M40" s="468">
        <v>0.14659529119999998</v>
      </c>
      <c r="N40" s="472">
        <v>5190031.1599999992</v>
      </c>
      <c r="O40" s="468">
        <v>0.1589596067381317</v>
      </c>
      <c r="P40" s="472">
        <v>3465022.02</v>
      </c>
      <c r="Q40" s="468">
        <v>0.10892870229487583</v>
      </c>
      <c r="R40" s="472">
        <v>3297987.09</v>
      </c>
      <c r="S40" s="468">
        <v>9.8095987209994046E-2</v>
      </c>
      <c r="T40" s="472">
        <v>6176876.2400000002</v>
      </c>
      <c r="U40" s="468">
        <v>0.17863085225136643</v>
      </c>
      <c r="V40" s="473">
        <v>5339201.5199999996</v>
      </c>
      <c r="W40" s="474">
        <v>0.14728831779310345</v>
      </c>
      <c r="X40" s="473">
        <v>56748883</v>
      </c>
      <c r="Y40" s="474">
        <v>1.5040785316724092</v>
      </c>
      <c r="Z40" s="473">
        <v>6864992.9205000028</v>
      </c>
      <c r="AA40" s="474">
        <v>0.17348107046649153</v>
      </c>
      <c r="AB40" s="473">
        <v>6974832.8072280027</v>
      </c>
      <c r="AC40" s="474">
        <v>0.16636849554498623</v>
      </c>
      <c r="AD40" s="473">
        <v>7055043.3845111253</v>
      </c>
      <c r="AE40" s="474">
        <v>0.16136140580282526</v>
      </c>
      <c r="AF40" s="473">
        <v>7129121.340048492</v>
      </c>
      <c r="AG40" s="474">
        <v>0.15715371969069067</v>
      </c>
    </row>
    <row r="41" spans="3:33">
      <c r="C41" s="464" t="s">
        <v>52</v>
      </c>
      <c r="D41" s="465">
        <v>60725640.779999994</v>
      </c>
      <c r="E41" s="468">
        <v>2.8258942147145047</v>
      </c>
      <c r="F41" s="465">
        <v>58512071.479999997</v>
      </c>
      <c r="G41" s="468">
        <v>2.1828789957097556</v>
      </c>
      <c r="H41" s="465">
        <v>45480397.879999995</v>
      </c>
      <c r="I41" s="468">
        <v>1.4739563741249675</v>
      </c>
      <c r="J41" s="465">
        <v>43622195.68</v>
      </c>
      <c r="K41" s="468">
        <v>1.4633410157665214</v>
      </c>
      <c r="L41" s="465">
        <v>31858288.899999999</v>
      </c>
      <c r="M41" s="468">
        <v>1.0194652448000001</v>
      </c>
      <c r="N41" s="465">
        <v>24777629.66</v>
      </c>
      <c r="O41" s="468">
        <v>0.75888605390505359</v>
      </c>
      <c r="P41" s="465">
        <v>35120651.189999998</v>
      </c>
      <c r="Q41" s="468">
        <v>1.1040757997485067</v>
      </c>
      <c r="R41" s="465">
        <v>33675934.090000004</v>
      </c>
      <c r="S41" s="468">
        <v>1.0016637147531231</v>
      </c>
      <c r="T41" s="465">
        <v>29705548.170000002</v>
      </c>
      <c r="U41" s="468">
        <v>0.85906325139535555</v>
      </c>
      <c r="V41" s="469">
        <v>26566961.210000001</v>
      </c>
      <c r="W41" s="474">
        <v>0.73288168855172409</v>
      </c>
      <c r="X41" s="469">
        <v>34276272.32</v>
      </c>
      <c r="Y41" s="474">
        <v>0.90846202809435461</v>
      </c>
      <c r="Z41" s="469">
        <v>32497201.996320002</v>
      </c>
      <c r="AA41" s="474">
        <v>0.82121707258465593</v>
      </c>
      <c r="AB41" s="469">
        <v>33017157.228261121</v>
      </c>
      <c r="AC41" s="474">
        <v>0.78754787778506641</v>
      </c>
      <c r="AD41" s="469">
        <v>33396854.536386132</v>
      </c>
      <c r="AE41" s="474">
        <v>0.76384553626060414</v>
      </c>
      <c r="AF41" s="469">
        <v>33747521.509018183</v>
      </c>
      <c r="AG41" s="474">
        <v>0.74392737653245267</v>
      </c>
    </row>
    <row r="42" spans="3:33">
      <c r="C42" s="471" t="s">
        <v>54</v>
      </c>
      <c r="D42" s="472">
        <v>8168377.7700000005</v>
      </c>
      <c r="E42" s="468">
        <v>0.38011902694401789</v>
      </c>
      <c r="F42" s="472">
        <v>18699178.469999999</v>
      </c>
      <c r="G42" s="468">
        <v>0.69760039059876877</v>
      </c>
      <c r="H42" s="472">
        <v>13798997.720000001</v>
      </c>
      <c r="I42" s="468">
        <v>0.44720630412237494</v>
      </c>
      <c r="J42" s="472">
        <v>14050397.890000001</v>
      </c>
      <c r="K42" s="468">
        <v>0.47133169708151629</v>
      </c>
      <c r="L42" s="472">
        <v>7714681.46</v>
      </c>
      <c r="M42" s="468">
        <v>0.24686980672</v>
      </c>
      <c r="N42" s="472">
        <v>5467464.75</v>
      </c>
      <c r="O42" s="468">
        <v>0.16745680704441041</v>
      </c>
      <c r="P42" s="472">
        <v>12780311.91</v>
      </c>
      <c r="Q42" s="468">
        <v>0.40177025809493871</v>
      </c>
      <c r="R42" s="472">
        <v>6152889.7300000004</v>
      </c>
      <c r="S42" s="468">
        <v>0.18301278197501489</v>
      </c>
      <c r="T42" s="472">
        <v>2751166.12</v>
      </c>
      <c r="U42" s="468">
        <v>7.9561760606148252E-2</v>
      </c>
      <c r="V42" s="473">
        <v>1885665.4</v>
      </c>
      <c r="W42" s="474">
        <v>5.2018355862068967E-2</v>
      </c>
      <c r="X42" s="473">
        <v>4320713.4000000004</v>
      </c>
      <c r="Y42" s="474">
        <v>0.11451665518155314</v>
      </c>
      <c r="Z42" s="473">
        <v>4379043.0309000006</v>
      </c>
      <c r="AA42" s="474">
        <v>0.11066013926260994</v>
      </c>
      <c r="AB42" s="473">
        <v>4449107.7193944007</v>
      </c>
      <c r="AC42" s="474">
        <v>0.10612316857633816</v>
      </c>
      <c r="AD42" s="473">
        <v>4500272.4581674365</v>
      </c>
      <c r="AE42" s="474">
        <v>0.10292924518931972</v>
      </c>
      <c r="AF42" s="473">
        <v>4547525.3189781941</v>
      </c>
      <c r="AG42" s="474">
        <v>0.10024524554664921</v>
      </c>
    </row>
    <row r="43" spans="3:33">
      <c r="C43" s="471" t="s">
        <v>56</v>
      </c>
      <c r="D43" s="472">
        <v>7615600.2199999951</v>
      </c>
      <c r="E43" s="468">
        <v>0.35439528223742356</v>
      </c>
      <c r="F43" s="472">
        <v>10141066.57</v>
      </c>
      <c r="G43" s="468">
        <v>0.37832742286886772</v>
      </c>
      <c r="H43" s="472">
        <v>9427789.2100000009</v>
      </c>
      <c r="I43" s="468">
        <v>0.30554152223230496</v>
      </c>
      <c r="J43" s="472">
        <v>8057798.4800000004</v>
      </c>
      <c r="K43" s="468">
        <v>0.27030521569942972</v>
      </c>
      <c r="L43" s="472">
        <v>7698309.5599999996</v>
      </c>
      <c r="M43" s="468">
        <v>0.24634590591999997</v>
      </c>
      <c r="N43" s="472">
        <v>7094815.5099999998</v>
      </c>
      <c r="O43" s="468">
        <v>0.21729909678407353</v>
      </c>
      <c r="P43" s="472">
        <v>8748262.1099999994</v>
      </c>
      <c r="Q43" s="468">
        <v>0.27501609902546365</v>
      </c>
      <c r="R43" s="472">
        <v>12316700.43</v>
      </c>
      <c r="S43" s="468">
        <v>0.36635039946460435</v>
      </c>
      <c r="T43" s="472">
        <v>14149381.440000001</v>
      </c>
      <c r="U43" s="468">
        <v>0.40919001243529313</v>
      </c>
      <c r="V43" s="473">
        <v>12627752.640000001</v>
      </c>
      <c r="W43" s="474">
        <v>0.34835179696551727</v>
      </c>
      <c r="X43" s="473">
        <v>14232344.130000001</v>
      </c>
      <c r="Y43" s="474">
        <v>0.37721558786111847</v>
      </c>
      <c r="Z43" s="473">
        <v>14424480.775755001</v>
      </c>
      <c r="AA43" s="474">
        <v>0.36451230101473264</v>
      </c>
      <c r="AB43" s="473">
        <v>14655272.468167081</v>
      </c>
      <c r="AC43" s="474">
        <v>0.34956760967863471</v>
      </c>
      <c r="AD43" s="473">
        <v>14823808.101551004</v>
      </c>
      <c r="AE43" s="474">
        <v>0.33904688947328582</v>
      </c>
      <c r="AF43" s="473">
        <v>14979458.086617289</v>
      </c>
      <c r="AG43" s="474">
        <v>0.33020584795470614</v>
      </c>
    </row>
    <row r="44" spans="3:33">
      <c r="C44" s="471" t="s">
        <v>58</v>
      </c>
      <c r="D44" s="472">
        <v>28553597.170000002</v>
      </c>
      <c r="E44" s="468">
        <v>1.3287541146633162</v>
      </c>
      <c r="F44" s="472">
        <v>18195249.18</v>
      </c>
      <c r="G44" s="468">
        <v>0.67880056631225516</v>
      </c>
      <c r="H44" s="472">
        <v>5377701.7699999996</v>
      </c>
      <c r="I44" s="468">
        <v>0.17428382713248636</v>
      </c>
      <c r="J44" s="472">
        <v>2358239.02</v>
      </c>
      <c r="K44" s="468">
        <v>7.9108990942636709E-2</v>
      </c>
      <c r="L44" s="472">
        <v>2576571.9700000002</v>
      </c>
      <c r="M44" s="468">
        <v>8.2450303040000006E-2</v>
      </c>
      <c r="N44" s="472">
        <v>2308669.88</v>
      </c>
      <c r="O44" s="468">
        <v>7.0709644104134758E-2</v>
      </c>
      <c r="P44" s="472">
        <v>2007154.91</v>
      </c>
      <c r="Q44" s="468">
        <v>6.3098236718013193E-2</v>
      </c>
      <c r="R44" s="472">
        <v>2179410.2600000002</v>
      </c>
      <c r="S44" s="468">
        <v>6.4824814396192754E-2</v>
      </c>
      <c r="T44" s="472">
        <v>2329494.69</v>
      </c>
      <c r="U44" s="468">
        <v>6.7367323809248383E-2</v>
      </c>
      <c r="V44" s="473">
        <v>2068334.6199999999</v>
      </c>
      <c r="W44" s="474">
        <v>5.7057506758620688E-2</v>
      </c>
      <c r="X44" s="473">
        <v>4729306.28</v>
      </c>
      <c r="Y44" s="474">
        <v>0.12534604505698385</v>
      </c>
      <c r="Z44" s="473">
        <v>4793151.9147800002</v>
      </c>
      <c r="AA44" s="474">
        <v>0.12112483358890123</v>
      </c>
      <c r="AB44" s="473">
        <v>4869842.3454164807</v>
      </c>
      <c r="AC44" s="474">
        <v>0.11615881942124991</v>
      </c>
      <c r="AD44" s="473">
        <v>4925845.532388771</v>
      </c>
      <c r="AE44" s="474">
        <v>0.11266285925595285</v>
      </c>
      <c r="AF44" s="473">
        <v>4977566.9104788527</v>
      </c>
      <c r="AG44" s="474">
        <v>0.10972504431881784</v>
      </c>
    </row>
    <row r="45" spans="3:33">
      <c r="C45" s="471" t="s">
        <v>52</v>
      </c>
      <c r="D45" s="472">
        <v>16388065.619999999</v>
      </c>
      <c r="E45" s="468">
        <v>0.76262579086974736</v>
      </c>
      <c r="F45" s="472">
        <v>11476577.26</v>
      </c>
      <c r="G45" s="468">
        <v>0.42815061592986386</v>
      </c>
      <c r="H45" s="472">
        <v>16875909.18</v>
      </c>
      <c r="I45" s="468">
        <v>0.5469247206378014</v>
      </c>
      <c r="J45" s="472">
        <v>19155760.289999999</v>
      </c>
      <c r="K45" s="468">
        <v>0.64259511204293862</v>
      </c>
      <c r="L45" s="472">
        <v>13868725.91</v>
      </c>
      <c r="M45" s="468">
        <v>0.44379922911999997</v>
      </c>
      <c r="N45" s="472">
        <v>9906679.5199999996</v>
      </c>
      <c r="O45" s="468">
        <v>0.30342050597243492</v>
      </c>
      <c r="P45" s="472">
        <v>11584922.26</v>
      </c>
      <c r="Q45" s="468">
        <v>0.36419120591009113</v>
      </c>
      <c r="R45" s="472">
        <v>13026933.670000002</v>
      </c>
      <c r="S45" s="468">
        <v>0.38747571891731114</v>
      </c>
      <c r="T45" s="472">
        <v>10475505.92</v>
      </c>
      <c r="U45" s="468">
        <v>0.30294415454466583</v>
      </c>
      <c r="V45" s="473">
        <v>9985208.5499999989</v>
      </c>
      <c r="W45" s="474">
        <v>0.27545402896551718</v>
      </c>
      <c r="X45" s="473">
        <v>10993908.51</v>
      </c>
      <c r="Y45" s="474">
        <v>0.29138373999469919</v>
      </c>
      <c r="Z45" s="473">
        <v>8900526.2748850007</v>
      </c>
      <c r="AA45" s="474">
        <v>0.224919798718412</v>
      </c>
      <c r="AB45" s="473">
        <v>9042934.6952831615</v>
      </c>
      <c r="AC45" s="474">
        <v>0.21569828010884365</v>
      </c>
      <c r="AD45" s="473">
        <v>9146928.4442789182</v>
      </c>
      <c r="AE45" s="474">
        <v>0.20920654234204561</v>
      </c>
      <c r="AF45" s="473">
        <v>9242971.1929438468</v>
      </c>
      <c r="AG45" s="474">
        <v>0.20375123871227949</v>
      </c>
    </row>
    <row r="46" spans="3:33">
      <c r="C46" s="475" t="s">
        <v>398</v>
      </c>
      <c r="D46" s="465">
        <v>12337841.16</v>
      </c>
      <c r="E46" s="468">
        <v>0.57414682674856898</v>
      </c>
      <c r="F46" s="465">
        <v>10241165.600000001</v>
      </c>
      <c r="G46" s="468">
        <v>0.38206176459615748</v>
      </c>
      <c r="H46" s="465">
        <v>8998827.7799999993</v>
      </c>
      <c r="I46" s="468">
        <v>0.29163947951775987</v>
      </c>
      <c r="J46" s="465">
        <v>54812548</v>
      </c>
      <c r="K46" s="468">
        <v>1.8387302247567929</v>
      </c>
      <c r="L46" s="465">
        <v>4969313.91</v>
      </c>
      <c r="M46" s="468">
        <v>0.15901804512000001</v>
      </c>
      <c r="N46" s="465">
        <v>5006443.9800000004</v>
      </c>
      <c r="O46" s="468">
        <v>0.15333672220520675</v>
      </c>
      <c r="P46" s="465">
        <v>5498802.5</v>
      </c>
      <c r="Q46" s="468">
        <v>0.17286395787488212</v>
      </c>
      <c r="R46" s="465">
        <v>8633294.2100000009</v>
      </c>
      <c r="S46" s="468">
        <v>0.25679042861392032</v>
      </c>
      <c r="T46" s="465">
        <v>8522051.1899999995</v>
      </c>
      <c r="U46" s="468">
        <v>0.24645163798837441</v>
      </c>
      <c r="V46" s="469">
        <v>7929787.8700000001</v>
      </c>
      <c r="W46" s="474">
        <v>0.21875276882758621</v>
      </c>
      <c r="X46" s="469">
        <v>4282946.67</v>
      </c>
      <c r="Y46" s="474">
        <v>0.11351568168566127</v>
      </c>
      <c r="Z46" s="473">
        <v>4340766.4500449998</v>
      </c>
      <c r="AA46" s="474">
        <v>0.10969287501377237</v>
      </c>
      <c r="AB46" s="473">
        <v>4410218.7132457197</v>
      </c>
      <c r="AC46" s="474">
        <v>0.10519556133111629</v>
      </c>
      <c r="AD46" s="473">
        <v>4460936.2284480454</v>
      </c>
      <c r="AE46" s="474">
        <v>0.10202955556580316</v>
      </c>
      <c r="AF46" s="473">
        <v>4507776.0588467494</v>
      </c>
      <c r="AG46" s="474">
        <v>9.936901637524799E-2</v>
      </c>
    </row>
    <row r="47" spans="3:33" ht="13.5" thickBot="1">
      <c r="C47" s="464" t="s">
        <v>122</v>
      </c>
      <c r="D47" s="465">
        <v>189875.77</v>
      </c>
      <c r="E47" s="476">
        <v>8.8359518823584154E-3</v>
      </c>
      <c r="F47" s="465">
        <v>86112.85</v>
      </c>
      <c r="G47" s="476">
        <v>3.2125666853199033E-3</v>
      </c>
      <c r="H47" s="465">
        <v>2235692.06</v>
      </c>
      <c r="I47" s="476">
        <v>7.2455666969147001E-2</v>
      </c>
      <c r="J47" s="465">
        <v>6019555.9299999997</v>
      </c>
      <c r="K47" s="476">
        <v>0.20193075914122777</v>
      </c>
      <c r="L47" s="465">
        <v>2781827</v>
      </c>
      <c r="M47" s="476">
        <v>8.9018463999999992E-2</v>
      </c>
      <c r="N47" s="465">
        <v>4014349.98</v>
      </c>
      <c r="O47" s="476">
        <v>0.12295099479326187</v>
      </c>
      <c r="P47" s="465">
        <v>5036438.91</v>
      </c>
      <c r="Q47" s="476">
        <v>0.15832879314680917</v>
      </c>
      <c r="R47" s="465">
        <v>6614829.6400000006</v>
      </c>
      <c r="S47" s="476">
        <v>0.19675281499107675</v>
      </c>
      <c r="T47" s="465">
        <v>5554927.7199999997</v>
      </c>
      <c r="U47" s="476">
        <v>0.1606445449550305</v>
      </c>
      <c r="V47" s="469">
        <v>6598063.9000000004</v>
      </c>
      <c r="W47" s="477">
        <v>0.18201555586206897</v>
      </c>
      <c r="X47" s="469">
        <v>11591889.76</v>
      </c>
      <c r="Y47" s="477">
        <v>0.30723269970845479</v>
      </c>
      <c r="Z47" s="473">
        <v>35200000</v>
      </c>
      <c r="AA47" s="477">
        <v>0.88951784089760444</v>
      </c>
      <c r="AB47" s="473">
        <v>29510000</v>
      </c>
      <c r="AC47" s="477">
        <v>0.70389275832458742</v>
      </c>
      <c r="AD47" s="473">
        <v>21800000</v>
      </c>
      <c r="AE47" s="477">
        <v>0.49860482137139195</v>
      </c>
      <c r="AF47" s="473">
        <v>22200000</v>
      </c>
      <c r="AG47" s="477">
        <v>0.48937483467066401</v>
      </c>
    </row>
    <row r="48" spans="3:33" ht="14.25" thickTop="1" thickBot="1">
      <c r="C48" s="458" t="s">
        <v>61</v>
      </c>
      <c r="D48" s="459">
        <v>788059673.71999991</v>
      </c>
      <c r="E48" s="460">
        <v>36.67270108985992</v>
      </c>
      <c r="F48" s="459">
        <v>951337553.28000009</v>
      </c>
      <c r="G48" s="461">
        <v>35.491048434247347</v>
      </c>
      <c r="H48" s="459">
        <v>1272080504.76</v>
      </c>
      <c r="I48" s="460">
        <v>41.226358074928697</v>
      </c>
      <c r="J48" s="459">
        <v>1301362942.0244999</v>
      </c>
      <c r="K48" s="461">
        <v>43.655247971301577</v>
      </c>
      <c r="L48" s="459">
        <v>1252601635.5500002</v>
      </c>
      <c r="M48" s="460">
        <v>40.083252337600008</v>
      </c>
      <c r="N48" s="459">
        <v>1318816400.96</v>
      </c>
      <c r="O48" s="460">
        <v>40.392539079938743</v>
      </c>
      <c r="P48" s="459">
        <v>1316574561.6500001</v>
      </c>
      <c r="Q48" s="460">
        <v>41.388700460547</v>
      </c>
      <c r="R48" s="459">
        <v>1444790063.1899998</v>
      </c>
      <c r="S48" s="460">
        <v>42.974124425639495</v>
      </c>
      <c r="T48" s="459">
        <v>1456693340.7400002</v>
      </c>
      <c r="U48" s="460">
        <v>42.126531731397677</v>
      </c>
      <c r="V48" s="459">
        <v>1617955701.3999999</v>
      </c>
      <c r="W48" s="463">
        <v>44.633260728275857</v>
      </c>
      <c r="X48" s="459">
        <v>1615873839.74</v>
      </c>
      <c r="Y48" s="463">
        <v>42.827294983832495</v>
      </c>
      <c r="Z48" s="459">
        <v>1775396383.9499998</v>
      </c>
      <c r="AA48" s="463">
        <v>44.864964721267562</v>
      </c>
      <c r="AB48" s="459">
        <v>1811232693.04</v>
      </c>
      <c r="AC48" s="463">
        <v>43.202764360270969</v>
      </c>
      <c r="AD48" s="459">
        <v>1782872693.04</v>
      </c>
      <c r="AE48" s="463">
        <v>40.777473423905583</v>
      </c>
      <c r="AF48" s="459">
        <v>1602472693.04</v>
      </c>
      <c r="AG48" s="463">
        <v>35.324766181112778</v>
      </c>
    </row>
    <row r="49" spans="3:33" ht="14.25" thickTop="1" thickBot="1">
      <c r="C49" s="458" t="s">
        <v>125</v>
      </c>
      <c r="D49" s="459">
        <v>788059673.71999991</v>
      </c>
      <c r="E49" s="460">
        <v>36.67270108985992</v>
      </c>
      <c r="F49" s="459">
        <v>868878314.29000008</v>
      </c>
      <c r="G49" s="461">
        <v>32.414785088229806</v>
      </c>
      <c r="H49" s="459">
        <v>1198709645.3</v>
      </c>
      <c r="I49" s="460">
        <v>38.848510672154525</v>
      </c>
      <c r="J49" s="459">
        <v>1188998245.3844998</v>
      </c>
      <c r="K49" s="461">
        <v>39.885885454025491</v>
      </c>
      <c r="L49" s="459">
        <v>1189351266.7400002</v>
      </c>
      <c r="M49" s="460">
        <v>38.059240535680004</v>
      </c>
      <c r="N49" s="459">
        <v>1251701212.99</v>
      </c>
      <c r="O49" s="460">
        <v>38.336943736294025</v>
      </c>
      <c r="P49" s="478">
        <v>1257836588.6500001</v>
      </c>
      <c r="Q49" s="460">
        <v>39.542175059729644</v>
      </c>
      <c r="R49" s="459">
        <v>1367570835.7599998</v>
      </c>
      <c r="S49" s="460">
        <v>40.677300290303378</v>
      </c>
      <c r="T49" s="459">
        <v>1388967503.7200003</v>
      </c>
      <c r="U49" s="460">
        <v>40.167948862604483</v>
      </c>
      <c r="V49" s="479">
        <v>1389952592.8299999</v>
      </c>
      <c r="W49" s="463">
        <v>38.343519802206892</v>
      </c>
      <c r="X49" s="479">
        <v>1551054394.74</v>
      </c>
      <c r="Y49" s="463">
        <v>41.109313404187645</v>
      </c>
      <c r="Z49" s="479">
        <v>1492296383.9499998</v>
      </c>
      <c r="AA49" s="463">
        <v>37.710916404275743</v>
      </c>
      <c r="AB49" s="479">
        <v>1495432693.04</v>
      </c>
      <c r="AC49" s="463">
        <v>35.670086180707948</v>
      </c>
      <c r="AD49" s="479">
        <v>1505272693.04</v>
      </c>
      <c r="AE49" s="463">
        <v>34.428267074699235</v>
      </c>
      <c r="AF49" s="479">
        <v>1519372693.04</v>
      </c>
      <c r="AG49" s="463">
        <v>33.492917137818537</v>
      </c>
    </row>
    <row r="50" spans="3:33" ht="13.5" thickTop="1">
      <c r="C50" s="464" t="s">
        <v>62</v>
      </c>
      <c r="D50" s="465">
        <v>436259421.93999994</v>
      </c>
      <c r="E50" s="466">
        <v>20.301522729768717</v>
      </c>
      <c r="F50" s="465">
        <v>494161800.55000007</v>
      </c>
      <c r="G50" s="466">
        <v>18.435433708263385</v>
      </c>
      <c r="H50" s="469">
        <v>495163943.19999993</v>
      </c>
      <c r="I50" s="466">
        <v>16.04757399533316</v>
      </c>
      <c r="J50" s="469">
        <v>485900381.46449983</v>
      </c>
      <c r="K50" s="466">
        <v>16.299912159157994</v>
      </c>
      <c r="L50" s="469">
        <v>525725762.2100001</v>
      </c>
      <c r="M50" s="466">
        <v>16.823224390720004</v>
      </c>
      <c r="N50" s="469">
        <v>621510541.74999988</v>
      </c>
      <c r="O50" s="466">
        <v>19.035544923430319</v>
      </c>
      <c r="P50" s="469">
        <v>658054102.25</v>
      </c>
      <c r="Q50" s="466">
        <v>20.687019875825214</v>
      </c>
      <c r="R50" s="469">
        <v>597567511.00999999</v>
      </c>
      <c r="S50" s="466">
        <v>17.77416748988697</v>
      </c>
      <c r="T50" s="469">
        <v>635026761.19000006</v>
      </c>
      <c r="U50" s="466">
        <v>18.364520697243993</v>
      </c>
      <c r="V50" s="469">
        <v>641171576.11000001</v>
      </c>
      <c r="W50" s="470">
        <v>17.687491754758621</v>
      </c>
      <c r="X50" s="469">
        <v>733222773.36999989</v>
      </c>
      <c r="Y50" s="474">
        <v>19.433415673734427</v>
      </c>
      <c r="Z50" s="469">
        <v>746959296.76999998</v>
      </c>
      <c r="AA50" s="474">
        <v>18.875955139239867</v>
      </c>
      <c r="AB50" s="469">
        <v>744099605.86000001</v>
      </c>
      <c r="AC50" s="474">
        <v>17.748774111725982</v>
      </c>
      <c r="AD50" s="469">
        <v>754139605.86000001</v>
      </c>
      <c r="AE50" s="470">
        <v>17.248515755454921</v>
      </c>
      <c r="AF50" s="469">
        <v>763439605.86000001</v>
      </c>
      <c r="AG50" s="470">
        <v>16.829195085530376</v>
      </c>
    </row>
    <row r="51" spans="3:33">
      <c r="C51" s="464" t="s">
        <v>63</v>
      </c>
      <c r="D51" s="465">
        <v>211619268.66999999</v>
      </c>
      <c r="E51" s="468">
        <v>9.8477950891153601</v>
      </c>
      <c r="F51" s="465">
        <v>256098289.82000002</v>
      </c>
      <c r="G51" s="468">
        <v>9.5541238507741095</v>
      </c>
      <c r="H51" s="465">
        <v>274699862.86000001</v>
      </c>
      <c r="I51" s="468">
        <v>8.902640097873995</v>
      </c>
      <c r="J51" s="465">
        <v>259160937.78449979</v>
      </c>
      <c r="K51" s="468">
        <v>8.6937583959912725</v>
      </c>
      <c r="L51" s="465">
        <v>283662646.70999998</v>
      </c>
      <c r="M51" s="468">
        <v>9.0772046947199989</v>
      </c>
      <c r="N51" s="465">
        <v>371258246.90999997</v>
      </c>
      <c r="O51" s="468">
        <v>11.370849828790199</v>
      </c>
      <c r="P51" s="465">
        <v>374653307.63</v>
      </c>
      <c r="Q51" s="468">
        <v>11.777846828984597</v>
      </c>
      <c r="R51" s="465">
        <v>371004370.17000002</v>
      </c>
      <c r="S51" s="468">
        <v>11.035228143069602</v>
      </c>
      <c r="T51" s="465">
        <v>387342557.38999999</v>
      </c>
      <c r="U51" s="468">
        <v>11.201670302495733</v>
      </c>
      <c r="V51" s="480">
        <v>382177081.81999993</v>
      </c>
      <c r="W51" s="474">
        <v>10.542816050206895</v>
      </c>
      <c r="X51" s="480">
        <v>422565274.35999995</v>
      </c>
      <c r="Y51" s="474">
        <v>11.199715726477603</v>
      </c>
      <c r="Z51" s="480">
        <v>434246239.98000002</v>
      </c>
      <c r="AA51" s="474">
        <v>10.973573233094108</v>
      </c>
      <c r="AB51" s="480">
        <v>429046239.98000002</v>
      </c>
      <c r="AC51" s="474">
        <v>10.233905161244158</v>
      </c>
      <c r="AD51" s="480">
        <v>430146239.98000002</v>
      </c>
      <c r="AE51" s="474">
        <v>9.8382105114130187</v>
      </c>
      <c r="AF51" s="480">
        <v>432946239.98000002</v>
      </c>
      <c r="AG51" s="474">
        <v>9.543828586103519</v>
      </c>
    </row>
    <row r="52" spans="3:33" hidden="1">
      <c r="C52" s="471" t="s">
        <v>65</v>
      </c>
      <c r="D52" s="472">
        <v>122073803.08999999</v>
      </c>
      <c r="E52" s="468">
        <v>5.6807577407045455</v>
      </c>
      <c r="F52" s="472">
        <v>147753470.87000003</v>
      </c>
      <c r="G52" s="468">
        <v>5.5121608233538533</v>
      </c>
      <c r="H52" s="472">
        <v>158140128.56</v>
      </c>
      <c r="I52" s="468">
        <v>5.1251013922737876</v>
      </c>
      <c r="J52" s="472">
        <v>149173408.38193399</v>
      </c>
      <c r="K52" s="468">
        <v>5.004139831665011</v>
      </c>
      <c r="L52" s="472">
        <v>165721016.36000001</v>
      </c>
      <c r="M52" s="468">
        <v>5.3030725235200009</v>
      </c>
      <c r="N52" s="472">
        <v>220303195.69999999</v>
      </c>
      <c r="O52" s="468">
        <v>6.747417938744257</v>
      </c>
      <c r="P52" s="472">
        <v>223106865.93000001</v>
      </c>
      <c r="Q52" s="468">
        <v>7.0137336035837787</v>
      </c>
      <c r="R52" s="472">
        <v>221767124</v>
      </c>
      <c r="S52" s="468">
        <v>6.5962856632956575</v>
      </c>
      <c r="T52" s="472">
        <v>226610175</v>
      </c>
      <c r="U52" s="468">
        <v>6.5534045229763738</v>
      </c>
      <c r="V52" s="481">
        <v>223344011</v>
      </c>
      <c r="W52" s="474">
        <v>6.1612140965517241</v>
      </c>
      <c r="X52" s="481"/>
      <c r="Y52" s="474">
        <v>0</v>
      </c>
      <c r="Z52" s="481"/>
      <c r="AA52" s="474">
        <v>0</v>
      </c>
      <c r="AB52" s="481"/>
      <c r="AC52" s="474">
        <v>0</v>
      </c>
      <c r="AD52" s="481"/>
      <c r="AE52" s="474">
        <v>0</v>
      </c>
      <c r="AF52" s="481"/>
      <c r="AG52" s="474">
        <v>0</v>
      </c>
    </row>
    <row r="53" spans="3:33" hidden="1">
      <c r="C53" s="471" t="s">
        <v>67</v>
      </c>
      <c r="D53" s="472">
        <v>24568593.439999998</v>
      </c>
      <c r="E53" s="468">
        <v>1.1433102256968681</v>
      </c>
      <c r="F53" s="472">
        <v>26916847.73</v>
      </c>
      <c r="G53" s="468">
        <v>1.0041726442827832</v>
      </c>
      <c r="H53" s="472">
        <v>29446439.690000001</v>
      </c>
      <c r="I53" s="468">
        <v>0.95431811284677226</v>
      </c>
      <c r="J53" s="472">
        <v>27786106.092939563</v>
      </c>
      <c r="K53" s="468">
        <v>0.93210688000468167</v>
      </c>
      <c r="L53" s="472">
        <v>22646761.260000002</v>
      </c>
      <c r="M53" s="468">
        <v>0.72469636032000007</v>
      </c>
      <c r="N53" s="472">
        <v>29343979.530000001</v>
      </c>
      <c r="O53" s="468">
        <v>0.89874363032159255</v>
      </c>
      <c r="P53" s="472">
        <v>29398079.799999997</v>
      </c>
      <c r="Q53" s="468">
        <v>0.92417729644765789</v>
      </c>
      <c r="R53" s="472">
        <v>31182223</v>
      </c>
      <c r="S53" s="468">
        <v>0.92749027364663894</v>
      </c>
      <c r="T53" s="472">
        <v>33518109</v>
      </c>
      <c r="U53" s="468">
        <v>0.96931978946759589</v>
      </c>
      <c r="V53" s="481">
        <v>32308047</v>
      </c>
      <c r="W53" s="474">
        <v>0.89125646896551725</v>
      </c>
      <c r="X53" s="481"/>
      <c r="Y53" s="474">
        <v>0</v>
      </c>
      <c r="Z53" s="481"/>
      <c r="AA53" s="474">
        <v>0</v>
      </c>
      <c r="AB53" s="481"/>
      <c r="AC53" s="474">
        <v>0</v>
      </c>
      <c r="AD53" s="481"/>
      <c r="AE53" s="474">
        <v>0</v>
      </c>
      <c r="AF53" s="481"/>
      <c r="AG53" s="474">
        <v>0</v>
      </c>
    </row>
    <row r="54" spans="3:33" hidden="1">
      <c r="C54" s="471" t="s">
        <v>69</v>
      </c>
      <c r="D54" s="472">
        <v>31579861.260000002</v>
      </c>
      <c r="E54" s="468">
        <v>1.4695826357671367</v>
      </c>
      <c r="F54" s="472">
        <v>40145380.400000006</v>
      </c>
      <c r="G54" s="468">
        <v>1.4976825368401419</v>
      </c>
      <c r="H54" s="472">
        <v>42046795.229999997</v>
      </c>
      <c r="I54" s="468">
        <v>1.3626780927534352</v>
      </c>
      <c r="J54" s="472">
        <v>39675992.256736048</v>
      </c>
      <c r="K54" s="468">
        <v>1.33096250441919</v>
      </c>
      <c r="L54" s="472">
        <v>59935832.810000002</v>
      </c>
      <c r="M54" s="468">
        <v>1.91794664992</v>
      </c>
      <c r="N54" s="472">
        <v>76702574.069999993</v>
      </c>
      <c r="O54" s="468">
        <v>2.3492365718223582</v>
      </c>
      <c r="P54" s="472">
        <v>77127985.669999987</v>
      </c>
      <c r="Q54" s="468">
        <v>2.4246458871424079</v>
      </c>
      <c r="R54" s="472">
        <v>74530520</v>
      </c>
      <c r="S54" s="468">
        <v>2.2168506841165971</v>
      </c>
      <c r="T54" s="472">
        <v>80871754</v>
      </c>
      <c r="U54" s="468">
        <v>2.3387534052459586</v>
      </c>
      <c r="V54" s="481">
        <v>79335800</v>
      </c>
      <c r="W54" s="474">
        <v>2.1885737931034486</v>
      </c>
      <c r="X54" s="481"/>
      <c r="Y54" s="474">
        <v>0</v>
      </c>
      <c r="Z54" s="481"/>
      <c r="AA54" s="474">
        <v>0</v>
      </c>
      <c r="AB54" s="481"/>
      <c r="AC54" s="474">
        <v>0</v>
      </c>
      <c r="AD54" s="481"/>
      <c r="AE54" s="474">
        <v>0</v>
      </c>
      <c r="AF54" s="481"/>
      <c r="AG54" s="474">
        <v>0</v>
      </c>
    </row>
    <row r="55" spans="3:33" hidden="1">
      <c r="C55" s="471" t="s">
        <v>71</v>
      </c>
      <c r="D55" s="472">
        <v>29479999.799999997</v>
      </c>
      <c r="E55" s="468">
        <v>1.3718646656428868</v>
      </c>
      <c r="F55" s="472">
        <v>37349335.560000002</v>
      </c>
      <c r="G55" s="468">
        <v>1.3933719664241748</v>
      </c>
      <c r="H55" s="472">
        <v>40930764.380000003</v>
      </c>
      <c r="I55" s="468">
        <v>1.3265090867254343</v>
      </c>
      <c r="J55" s="472">
        <v>38622888.658217676</v>
      </c>
      <c r="K55" s="468">
        <v>1.2956353122515154</v>
      </c>
      <c r="L55" s="472">
        <v>32139632.719999999</v>
      </c>
      <c r="M55" s="468">
        <v>1.0284682470399999</v>
      </c>
      <c r="N55" s="472">
        <v>40786208.719999999</v>
      </c>
      <c r="O55" s="468">
        <v>1.2491947540581929</v>
      </c>
      <c r="P55" s="472">
        <v>40846412.990000002</v>
      </c>
      <c r="Q55" s="468">
        <v>1.2840745988682805</v>
      </c>
      <c r="R55" s="472">
        <v>39082445</v>
      </c>
      <c r="S55" s="468">
        <v>1.1624760559190956</v>
      </c>
      <c r="T55" s="472">
        <v>41645483</v>
      </c>
      <c r="U55" s="468">
        <v>1.204357644813326</v>
      </c>
      <c r="V55" s="481">
        <v>42685710</v>
      </c>
      <c r="W55" s="474">
        <v>1.1775368275862068</v>
      </c>
      <c r="X55" s="481"/>
      <c r="Y55" s="474">
        <v>0</v>
      </c>
      <c r="Z55" s="481"/>
      <c r="AA55" s="474">
        <v>0</v>
      </c>
      <c r="AB55" s="481"/>
      <c r="AC55" s="474">
        <v>0</v>
      </c>
      <c r="AD55" s="481"/>
      <c r="AE55" s="474">
        <v>0</v>
      </c>
      <c r="AF55" s="481"/>
      <c r="AG55" s="474">
        <v>0</v>
      </c>
    </row>
    <row r="56" spans="3:33" hidden="1">
      <c r="C56" s="471" t="s">
        <v>128</v>
      </c>
      <c r="D56" s="472">
        <v>3917011.08</v>
      </c>
      <c r="E56" s="468">
        <v>0.18227982130392292</v>
      </c>
      <c r="F56" s="472">
        <v>3933255.26</v>
      </c>
      <c r="G56" s="468">
        <v>0.14673587987315798</v>
      </c>
      <c r="H56" s="472">
        <v>4135735</v>
      </c>
      <c r="I56" s="468">
        <v>0.13403341327456572</v>
      </c>
      <c r="J56" s="472">
        <v>3902542.3946725391</v>
      </c>
      <c r="K56" s="468">
        <v>0.13091386765087348</v>
      </c>
      <c r="L56" s="472">
        <v>3219403.56</v>
      </c>
      <c r="M56" s="468">
        <v>0.10302091392000001</v>
      </c>
      <c r="N56" s="472">
        <v>4122288.89</v>
      </c>
      <c r="O56" s="468">
        <v>0.12625693384379785</v>
      </c>
      <c r="P56" s="472">
        <v>4173963.2399999998</v>
      </c>
      <c r="Q56" s="468">
        <v>0.13121544294247092</v>
      </c>
      <c r="R56" s="472">
        <v>4442058</v>
      </c>
      <c r="S56" s="468">
        <v>0.13212546103509815</v>
      </c>
      <c r="T56" s="472">
        <v>4697036</v>
      </c>
      <c r="U56" s="468">
        <v>0.13583492871395933</v>
      </c>
      <c r="V56" s="481">
        <v>4503513</v>
      </c>
      <c r="W56" s="474">
        <v>0.12423484137931035</v>
      </c>
      <c r="X56" s="481"/>
      <c r="Y56" s="474">
        <v>0</v>
      </c>
      <c r="Z56" s="481"/>
      <c r="AA56" s="474">
        <v>0</v>
      </c>
      <c r="AB56" s="481"/>
      <c r="AC56" s="474">
        <v>0</v>
      </c>
      <c r="AD56" s="481"/>
      <c r="AE56" s="474">
        <v>0</v>
      </c>
      <c r="AF56" s="481"/>
      <c r="AG56" s="474">
        <v>0</v>
      </c>
    </row>
    <row r="57" spans="3:33">
      <c r="C57" s="464" t="s">
        <v>74</v>
      </c>
      <c r="D57" s="465">
        <v>15461447.869999999</v>
      </c>
      <c r="E57" s="468">
        <v>0.71950522918702586</v>
      </c>
      <c r="F57" s="465">
        <v>27511729.489999998</v>
      </c>
      <c r="G57" s="468">
        <v>1.0263655844058945</v>
      </c>
      <c r="H57" s="465">
        <v>21753186.010000002</v>
      </c>
      <c r="I57" s="468">
        <v>0.7049904721934146</v>
      </c>
      <c r="J57" s="465">
        <v>21646046.59</v>
      </c>
      <c r="K57" s="468">
        <v>0.72613373331096953</v>
      </c>
      <c r="L57" s="465">
        <v>18835767.040000003</v>
      </c>
      <c r="M57" s="468">
        <v>0.6027445452800001</v>
      </c>
      <c r="N57" s="465">
        <v>12829673.57</v>
      </c>
      <c r="O57" s="468">
        <v>0.39294559173047472</v>
      </c>
      <c r="P57" s="465">
        <v>10336327.24</v>
      </c>
      <c r="Q57" s="468">
        <v>0.32493955485696324</v>
      </c>
      <c r="R57" s="465">
        <v>12119032.27</v>
      </c>
      <c r="S57" s="468">
        <v>0.36047091820345034</v>
      </c>
      <c r="T57" s="465">
        <v>11957808.1</v>
      </c>
      <c r="U57" s="468">
        <v>0.34581127562971742</v>
      </c>
      <c r="V57" s="480">
        <v>14740493.810000001</v>
      </c>
      <c r="W57" s="474">
        <v>0.40663431200000005</v>
      </c>
      <c r="X57" s="480">
        <v>10907612.039999999</v>
      </c>
      <c r="Y57" s="474">
        <v>0.28909652902199839</v>
      </c>
      <c r="Z57" s="480">
        <v>10188146.970000001</v>
      </c>
      <c r="AA57" s="474">
        <v>0.25745847998584859</v>
      </c>
      <c r="AB57" s="480">
        <v>10188146.970000001</v>
      </c>
      <c r="AC57" s="474">
        <v>0.24301466868619409</v>
      </c>
      <c r="AD57" s="480">
        <v>10188146.970000001</v>
      </c>
      <c r="AE57" s="474">
        <v>0.23302106422396049</v>
      </c>
      <c r="AF57" s="480">
        <v>10188146.970000001</v>
      </c>
      <c r="AG57" s="474">
        <v>0.22458660986685478</v>
      </c>
    </row>
    <row r="58" spans="3:33">
      <c r="C58" s="464" t="s">
        <v>76</v>
      </c>
      <c r="D58" s="465">
        <v>112547776.84</v>
      </c>
      <c r="E58" s="468">
        <v>5.2374599488110203</v>
      </c>
      <c r="F58" s="465">
        <v>137071242.36000001</v>
      </c>
      <c r="G58" s="468">
        <v>5.1136445573587022</v>
      </c>
      <c r="H58" s="465">
        <v>121034828</v>
      </c>
      <c r="I58" s="468">
        <v>3.9225702618615506</v>
      </c>
      <c r="J58" s="465">
        <v>109956288.45999999</v>
      </c>
      <c r="K58" s="468">
        <v>3.6885705622274405</v>
      </c>
      <c r="L58" s="465">
        <v>112683384.09</v>
      </c>
      <c r="M58" s="468">
        <v>3.6058682908800002</v>
      </c>
      <c r="N58" s="465">
        <v>110492923</v>
      </c>
      <c r="O58" s="468">
        <v>3.3841630321592646</v>
      </c>
      <c r="P58" s="465">
        <v>153691947.66</v>
      </c>
      <c r="Q58" s="468">
        <v>4.8315607563659224</v>
      </c>
      <c r="R58" s="465">
        <v>77138116.629999995</v>
      </c>
      <c r="S58" s="468">
        <v>2.2944115594883998</v>
      </c>
      <c r="T58" s="465">
        <v>82668934.020000011</v>
      </c>
      <c r="U58" s="468">
        <v>2.3907265687266843</v>
      </c>
      <c r="V58" s="480">
        <v>84046561.560000002</v>
      </c>
      <c r="W58" s="474">
        <v>2.3185258361379311</v>
      </c>
      <c r="X58" s="480">
        <v>91122367.090000004</v>
      </c>
      <c r="Y58" s="474">
        <v>2.4151170710310099</v>
      </c>
      <c r="Z58" s="480">
        <v>82621863.819999993</v>
      </c>
      <c r="AA58" s="474">
        <v>2.0878869862529061</v>
      </c>
      <c r="AB58" s="480">
        <v>90075798.819999993</v>
      </c>
      <c r="AC58" s="474">
        <v>2.1485497285564352</v>
      </c>
      <c r="AD58" s="480">
        <v>92195798.819999993</v>
      </c>
      <c r="AE58" s="474">
        <v>2.1086821010017838</v>
      </c>
      <c r="AF58" s="480">
        <v>92825798.819999993</v>
      </c>
      <c r="AG58" s="474">
        <v>2.046243691473415</v>
      </c>
    </row>
    <row r="59" spans="3:33">
      <c r="C59" s="464" t="s">
        <v>78</v>
      </c>
      <c r="D59" s="465">
        <v>20449366.720000003</v>
      </c>
      <c r="E59" s="468">
        <v>0.95162021127088292</v>
      </c>
      <c r="F59" s="465">
        <v>22633631.750000004</v>
      </c>
      <c r="G59" s="468">
        <v>0.8443809643723188</v>
      </c>
      <c r="H59" s="465">
        <v>22151878.379999999</v>
      </c>
      <c r="I59" s="468">
        <v>0.71791153681617836</v>
      </c>
      <c r="J59" s="465">
        <v>5130736.91</v>
      </c>
      <c r="K59" s="468">
        <v>0.17211462294532037</v>
      </c>
      <c r="L59" s="465">
        <v>28005189.850000001</v>
      </c>
      <c r="M59" s="468">
        <v>0.89616607520000002</v>
      </c>
      <c r="N59" s="465">
        <v>23542025.550000001</v>
      </c>
      <c r="O59" s="468">
        <v>0.72104213016845331</v>
      </c>
      <c r="P59" s="465">
        <v>22543512.98</v>
      </c>
      <c r="Q59" s="468">
        <v>0.70869264319396419</v>
      </c>
      <c r="R59" s="465">
        <v>20415784.169999998</v>
      </c>
      <c r="S59" s="468">
        <v>0.6072511650803093</v>
      </c>
      <c r="T59" s="465">
        <v>21273630.079999998</v>
      </c>
      <c r="U59" s="468">
        <v>0.61521819832846525</v>
      </c>
      <c r="V59" s="480">
        <v>20121139.949999999</v>
      </c>
      <c r="W59" s="474">
        <v>0.55506592965517232</v>
      </c>
      <c r="X59" s="480">
        <v>20436434.789999999</v>
      </c>
      <c r="Y59" s="474">
        <v>0.5416494776040286</v>
      </c>
      <c r="Z59" s="480">
        <v>21226969.719999999</v>
      </c>
      <c r="AA59" s="474">
        <v>0.53641387142423935</v>
      </c>
      <c r="AB59" s="480">
        <v>20226969.719999999</v>
      </c>
      <c r="AC59" s="474">
        <v>0.48246755366854299</v>
      </c>
      <c r="AD59" s="480">
        <v>20226969.719999999</v>
      </c>
      <c r="AE59" s="474">
        <v>0.46262681762041991</v>
      </c>
      <c r="AF59" s="480">
        <v>20226969.719999999</v>
      </c>
      <c r="AG59" s="474">
        <v>0.44588152984745605</v>
      </c>
    </row>
    <row r="60" spans="3:33">
      <c r="C60" s="464" t="s">
        <v>79</v>
      </c>
      <c r="D60" s="465">
        <v>23398994.059999999</v>
      </c>
      <c r="E60" s="468">
        <v>1.0888824077434966</v>
      </c>
      <c r="F60" s="465">
        <v>27098929.48</v>
      </c>
      <c r="G60" s="468">
        <v>1.0109654721134116</v>
      </c>
      <c r="H60" s="465">
        <v>22531993.84</v>
      </c>
      <c r="I60" s="468">
        <v>0.73023054964998702</v>
      </c>
      <c r="J60" s="465">
        <v>24512028.640000001</v>
      </c>
      <c r="K60" s="468">
        <v>0.82227536531365319</v>
      </c>
      <c r="L60" s="465">
        <v>30256278.469999999</v>
      </c>
      <c r="M60" s="468">
        <v>0.96820091104000006</v>
      </c>
      <c r="N60" s="465">
        <v>45092350.030000001</v>
      </c>
      <c r="O60" s="468">
        <v>1.3810826961715161</v>
      </c>
      <c r="P60" s="465">
        <v>56859854.539999999</v>
      </c>
      <c r="Q60" s="468">
        <v>1.7874836384784658</v>
      </c>
      <c r="R60" s="465">
        <v>67922775.540000007</v>
      </c>
      <c r="S60" s="468">
        <v>2.0203086121356337</v>
      </c>
      <c r="T60" s="465">
        <v>75516395.409999996</v>
      </c>
      <c r="U60" s="468">
        <v>2.1838802570924547</v>
      </c>
      <c r="V60" s="480">
        <v>81802749.749999985</v>
      </c>
      <c r="W60" s="474">
        <v>2.2566275793103445</v>
      </c>
      <c r="X60" s="480">
        <v>81326080.649999991</v>
      </c>
      <c r="Y60" s="474">
        <v>2.1554752358865623</v>
      </c>
      <c r="Z60" s="480">
        <v>95363625.909999996</v>
      </c>
      <c r="AA60" s="474">
        <v>2.4098763244213077</v>
      </c>
      <c r="AB60" s="480">
        <v>88610000</v>
      </c>
      <c r="AC60" s="474">
        <v>2.113586489838756</v>
      </c>
      <c r="AD60" s="480">
        <v>91430000</v>
      </c>
      <c r="AE60" s="474">
        <v>2.0911669182562553</v>
      </c>
      <c r="AF60" s="480">
        <v>91430000</v>
      </c>
      <c r="AG60" s="474">
        <v>2.0154748258530994</v>
      </c>
    </row>
    <row r="61" spans="3:33">
      <c r="C61" s="464" t="s">
        <v>81</v>
      </c>
      <c r="D61" s="465">
        <v>2663918.17</v>
      </c>
      <c r="E61" s="468">
        <v>0.12396659546744847</v>
      </c>
      <c r="F61" s="465">
        <v>4927168.12</v>
      </c>
      <c r="G61" s="468">
        <v>0.18381526282409999</v>
      </c>
      <c r="H61" s="465">
        <v>8361199.96</v>
      </c>
      <c r="I61" s="468">
        <v>0.27097484962406015</v>
      </c>
      <c r="J61" s="465">
        <v>8038103.2300000004</v>
      </c>
      <c r="K61" s="468">
        <v>0.26964452297886615</v>
      </c>
      <c r="L61" s="465">
        <v>8015830.71</v>
      </c>
      <c r="M61" s="468">
        <v>0.25650658271999999</v>
      </c>
      <c r="N61" s="465">
        <v>7376287.9199999999</v>
      </c>
      <c r="O61" s="468">
        <v>0.2259199975497703</v>
      </c>
      <c r="P61" s="465">
        <v>7110247.5800000001</v>
      </c>
      <c r="Q61" s="468">
        <v>0.22352240113171959</v>
      </c>
      <c r="R61" s="465">
        <v>7928041.8099999996</v>
      </c>
      <c r="S61" s="468">
        <v>0.23581326026174895</v>
      </c>
      <c r="T61" s="465">
        <v>8033102.0199999996</v>
      </c>
      <c r="U61" s="468">
        <v>0.23231157696868041</v>
      </c>
      <c r="V61" s="480">
        <v>7918742.3199999994</v>
      </c>
      <c r="W61" s="474">
        <v>0.218448064</v>
      </c>
      <c r="X61" s="480">
        <v>9597174.6300000008</v>
      </c>
      <c r="Y61" s="474">
        <v>0.25436455420090115</v>
      </c>
      <c r="Z61" s="480">
        <v>9323779.5199999996</v>
      </c>
      <c r="AA61" s="474">
        <v>0.23561557464874153</v>
      </c>
      <c r="AB61" s="480">
        <v>9323779.5199999996</v>
      </c>
      <c r="AC61" s="474">
        <v>0.22239718347485926</v>
      </c>
      <c r="AD61" s="480">
        <v>9323779.5199999996</v>
      </c>
      <c r="AE61" s="474">
        <v>0.21325144137962579</v>
      </c>
      <c r="AF61" s="480">
        <v>9323779.5199999996</v>
      </c>
      <c r="AG61" s="474">
        <v>0.2055325703200776</v>
      </c>
    </row>
    <row r="62" spans="3:33">
      <c r="C62" s="464" t="s">
        <v>83</v>
      </c>
      <c r="D62" s="465">
        <v>6072666.8299999991</v>
      </c>
      <c r="E62" s="468">
        <v>0.28259420308064587</v>
      </c>
      <c r="F62" s="465">
        <v>13072586.5</v>
      </c>
      <c r="G62" s="468">
        <v>0.48769209102779337</v>
      </c>
      <c r="H62" s="465">
        <v>18592791.149999999</v>
      </c>
      <c r="I62" s="468">
        <v>0.60256647491573756</v>
      </c>
      <c r="J62" s="465">
        <v>49824327.469999999</v>
      </c>
      <c r="K62" s="468">
        <v>1.6713964263669909</v>
      </c>
      <c r="L62" s="465">
        <v>39035362.68</v>
      </c>
      <c r="M62" s="468">
        <v>1.2491316057599999</v>
      </c>
      <c r="N62" s="465">
        <v>45400496.520000003</v>
      </c>
      <c r="O62" s="468">
        <v>1.3905205672281777</v>
      </c>
      <c r="P62" s="465">
        <v>25853418.300000001</v>
      </c>
      <c r="Q62" s="468">
        <v>0.81274499528450184</v>
      </c>
      <c r="R62" s="465">
        <v>17425749.960000001</v>
      </c>
      <c r="S62" s="468">
        <v>0.51831498988697211</v>
      </c>
      <c r="T62" s="465">
        <v>18426863.34</v>
      </c>
      <c r="U62" s="468">
        <v>0.53289173602475481</v>
      </c>
      <c r="V62" s="480">
        <v>19618046.830000006</v>
      </c>
      <c r="W62" s="474">
        <v>0.54118749875862082</v>
      </c>
      <c r="X62" s="480">
        <v>27120821.130000003</v>
      </c>
      <c r="Y62" s="474">
        <v>0.71881317598727812</v>
      </c>
      <c r="Z62" s="480">
        <v>24921800</v>
      </c>
      <c r="AA62" s="474">
        <v>0.62978368543414542</v>
      </c>
      <c r="AB62" s="480">
        <v>24921800</v>
      </c>
      <c r="AC62" s="474">
        <v>0.59445186528003058</v>
      </c>
      <c r="AD62" s="480">
        <v>24921800</v>
      </c>
      <c r="AE62" s="474">
        <v>0.57000594666300719</v>
      </c>
      <c r="AF62" s="480">
        <v>24921800</v>
      </c>
      <c r="AG62" s="474">
        <v>0.5493739529142051</v>
      </c>
    </row>
    <row r="63" spans="3:33">
      <c r="C63" s="464" t="s">
        <v>85</v>
      </c>
      <c r="D63" s="465">
        <v>3904147.64</v>
      </c>
      <c r="E63" s="468">
        <v>0.18168121550560754</v>
      </c>
      <c r="F63" s="465">
        <v>5748223.0299999993</v>
      </c>
      <c r="G63" s="468">
        <v>0.21444592538705462</v>
      </c>
      <c r="H63" s="465">
        <v>6038203</v>
      </c>
      <c r="I63" s="468">
        <v>0.19568975239823697</v>
      </c>
      <c r="J63" s="465">
        <v>7631912.3799999999</v>
      </c>
      <c r="K63" s="468">
        <v>0.25601853002348207</v>
      </c>
      <c r="L63" s="465">
        <v>5231302.66</v>
      </c>
      <c r="M63" s="468">
        <v>0.16740168512</v>
      </c>
      <c r="N63" s="465">
        <v>5518538.25</v>
      </c>
      <c r="O63" s="468">
        <v>0.16902107963246554</v>
      </c>
      <c r="P63" s="465">
        <v>7005486.3200000003</v>
      </c>
      <c r="Q63" s="468">
        <v>0.2202290575290789</v>
      </c>
      <c r="R63" s="465">
        <v>23613640.459999997</v>
      </c>
      <c r="S63" s="468">
        <v>0.70236884176085645</v>
      </c>
      <c r="T63" s="465">
        <v>29807470.829999998</v>
      </c>
      <c r="U63" s="468">
        <v>0.8620107819775007</v>
      </c>
      <c r="V63" s="480">
        <v>30746760.07</v>
      </c>
      <c r="W63" s="474">
        <v>0.84818648468965518</v>
      </c>
      <c r="X63" s="480">
        <v>34369555.549999997</v>
      </c>
      <c r="Y63" s="474">
        <v>0.91093441690962096</v>
      </c>
      <c r="Z63" s="480">
        <v>32959947.539999999</v>
      </c>
      <c r="AA63" s="474">
        <v>0.83291083442838376</v>
      </c>
      <c r="AB63" s="480">
        <v>32959947.539999999</v>
      </c>
      <c r="AC63" s="474">
        <v>0.78618327306554714</v>
      </c>
      <c r="AD63" s="480">
        <v>32959947.539999999</v>
      </c>
      <c r="AE63" s="474">
        <v>0.75385269521064913</v>
      </c>
      <c r="AF63" s="480">
        <v>32959947.539999999</v>
      </c>
      <c r="AG63" s="474">
        <v>0.72656616568203858</v>
      </c>
    </row>
    <row r="64" spans="3:33">
      <c r="C64" s="464" t="s">
        <v>129</v>
      </c>
      <c r="D64" s="465">
        <v>40141835.139999993</v>
      </c>
      <c r="E64" s="468">
        <v>1.8680178295872305</v>
      </c>
      <c r="F64" s="465">
        <v>0</v>
      </c>
      <c r="G64" s="468">
        <v>0</v>
      </c>
      <c r="H64" s="465">
        <v>68265521.540000007</v>
      </c>
      <c r="I64" s="468">
        <v>2.2123905088151417</v>
      </c>
      <c r="J64" s="465">
        <v>26511453.920000002</v>
      </c>
      <c r="K64" s="468">
        <v>0.88934766588393155</v>
      </c>
      <c r="L64" s="465">
        <v>19371879.949999999</v>
      </c>
      <c r="M64" s="468">
        <v>0.6199001583999999</v>
      </c>
      <c r="N64" s="465">
        <v>10524223.029999999</v>
      </c>
      <c r="O64" s="468">
        <v>0.32233454915773352</v>
      </c>
      <c r="P64" s="465">
        <v>8948881.8499999996</v>
      </c>
      <c r="Q64" s="468">
        <v>0.28132291260609871</v>
      </c>
      <c r="R64" s="465">
        <v>8075119.8499999996</v>
      </c>
      <c r="S64" s="468">
        <v>0.24018797888161808</v>
      </c>
      <c r="T64" s="465">
        <v>66246313.219999999</v>
      </c>
      <c r="U64" s="468">
        <v>1.9157960964747391</v>
      </c>
      <c r="V64" s="480">
        <v>28485480.849999994</v>
      </c>
      <c r="W64" s="474">
        <v>0.78580636827586192</v>
      </c>
      <c r="X64" s="480">
        <v>35777453.129999995</v>
      </c>
      <c r="Y64" s="474">
        <v>0.94824948661542519</v>
      </c>
      <c r="Z64" s="480">
        <v>36106923.310000002</v>
      </c>
      <c r="AA64" s="474">
        <v>0.91243614955018715</v>
      </c>
      <c r="AB64" s="480">
        <v>38746923.310000002</v>
      </c>
      <c r="AC64" s="474">
        <v>0.92421818791145882</v>
      </c>
      <c r="AD64" s="480">
        <v>42746923.310000002</v>
      </c>
      <c r="AE64" s="474">
        <v>0.97769825968619917</v>
      </c>
      <c r="AF64" s="480">
        <v>48616923.310000002</v>
      </c>
      <c r="AG64" s="474">
        <v>1.0717071534697116</v>
      </c>
    </row>
    <row r="65" spans="3:33">
      <c r="C65" s="464" t="s">
        <v>86</v>
      </c>
      <c r="D65" s="465">
        <v>259768574.91000003</v>
      </c>
      <c r="E65" s="468">
        <v>12.088444083484575</v>
      </c>
      <c r="F65" s="465">
        <v>298508977.88999999</v>
      </c>
      <c r="G65" s="468">
        <v>11.136317026301063</v>
      </c>
      <c r="H65" s="465">
        <v>346538078.38999999</v>
      </c>
      <c r="I65" s="468">
        <v>11.230816644736842</v>
      </c>
      <c r="J65" s="465">
        <v>412466515</v>
      </c>
      <c r="K65" s="468">
        <v>13.836515095605501</v>
      </c>
      <c r="L65" s="465">
        <v>423148492.50000012</v>
      </c>
      <c r="M65" s="468">
        <v>13.540751760000003</v>
      </c>
      <c r="N65" s="465">
        <v>454762150.30000001</v>
      </c>
      <c r="O65" s="468">
        <v>13.928396640122513</v>
      </c>
      <c r="P65" s="465">
        <v>481633606.48000002</v>
      </c>
      <c r="Q65" s="468">
        <v>15.140949590694749</v>
      </c>
      <c r="R65" s="465">
        <v>482967769.27999985</v>
      </c>
      <c r="S65" s="468">
        <v>14.36548986555621</v>
      </c>
      <c r="T65" s="465">
        <v>492148010.12000006</v>
      </c>
      <c r="U65" s="468">
        <v>14.232569192862721</v>
      </c>
      <c r="V65" s="469">
        <v>487041860.10000014</v>
      </c>
      <c r="W65" s="474">
        <v>13.435637520000004</v>
      </c>
      <c r="X65" s="469">
        <v>554987593.7299999</v>
      </c>
      <c r="Y65" s="474">
        <v>14.70945119878081</v>
      </c>
      <c r="Z65" s="469">
        <v>562418105</v>
      </c>
      <c r="AA65" s="474">
        <v>14.212526660264835</v>
      </c>
      <c r="AB65" s="469">
        <v>550214105</v>
      </c>
      <c r="AC65" s="474">
        <v>13.124084176128232</v>
      </c>
      <c r="AD65" s="469">
        <v>556714105</v>
      </c>
      <c r="AE65" s="474">
        <v>12.733042976076117</v>
      </c>
      <c r="AF65" s="469">
        <v>561514105</v>
      </c>
      <c r="AG65" s="474">
        <v>12.377967220703642</v>
      </c>
    </row>
    <row r="66" spans="3:33">
      <c r="C66" s="471" t="s">
        <v>88</v>
      </c>
      <c r="D66" s="472">
        <v>34076058.170000002</v>
      </c>
      <c r="E66" s="468">
        <v>1.5857442491507283</v>
      </c>
      <c r="F66" s="472">
        <v>39187983.710000001</v>
      </c>
      <c r="G66" s="468">
        <v>1.4619654433874278</v>
      </c>
      <c r="H66" s="472">
        <v>42104253.460000001</v>
      </c>
      <c r="I66" s="468">
        <v>1.3645402339901478</v>
      </c>
      <c r="J66" s="472">
        <v>46907484</v>
      </c>
      <c r="K66" s="468">
        <v>1.573548607849715</v>
      </c>
      <c r="L66" s="472">
        <v>51591720.359999999</v>
      </c>
      <c r="M66" s="468">
        <v>1.6509350515199999</v>
      </c>
      <c r="N66" s="472">
        <v>59330834.700000003</v>
      </c>
      <c r="O66" s="468">
        <v>1.8171771730474733</v>
      </c>
      <c r="P66" s="472">
        <v>65188636.469999999</v>
      </c>
      <c r="Q66" s="468">
        <v>2.0493126837472491</v>
      </c>
      <c r="R66" s="472">
        <v>64036543.990000002</v>
      </c>
      <c r="S66" s="468">
        <v>1.9047157641284951</v>
      </c>
      <c r="T66" s="472">
        <v>61864914.020000003</v>
      </c>
      <c r="U66" s="468">
        <v>1.7890891587379623</v>
      </c>
      <c r="V66" s="473">
        <v>60836104.649999991</v>
      </c>
      <c r="W66" s="474">
        <v>1.6782373696551722</v>
      </c>
      <c r="X66" s="473">
        <v>114057703.71999997</v>
      </c>
      <c r="Y66" s="474">
        <v>3.0229977132255494</v>
      </c>
      <c r="Z66" s="473">
        <v>101425625</v>
      </c>
      <c r="AA66" s="474">
        <v>2.5630654250480136</v>
      </c>
      <c r="AB66" s="473">
        <v>75515625</v>
      </c>
      <c r="AC66" s="474">
        <v>1.8012504770537163</v>
      </c>
      <c r="AD66" s="473">
        <v>75515625</v>
      </c>
      <c r="AE66" s="474">
        <v>1.7271768217373404</v>
      </c>
      <c r="AF66" s="473">
        <v>75515625</v>
      </c>
      <c r="AG66" s="474">
        <v>1.6646597522264348</v>
      </c>
    </row>
    <row r="67" spans="3:33">
      <c r="C67" s="471" t="s">
        <v>90</v>
      </c>
      <c r="D67" s="472">
        <v>9796008.3399999999</v>
      </c>
      <c r="E67" s="468">
        <v>0.45586152636232491</v>
      </c>
      <c r="F67" s="472">
        <v>11417546.32</v>
      </c>
      <c r="G67" s="468">
        <v>0.42594837977989186</v>
      </c>
      <c r="H67" s="472">
        <v>30206318.57</v>
      </c>
      <c r="I67" s="468">
        <v>0.97894472938812538</v>
      </c>
      <c r="J67" s="472">
        <v>19907692</v>
      </c>
      <c r="K67" s="468">
        <v>0.66781925528346198</v>
      </c>
      <c r="L67" s="472">
        <v>20073795.120000001</v>
      </c>
      <c r="M67" s="468">
        <v>0.64236144384000005</v>
      </c>
      <c r="N67" s="472">
        <v>17323007.039999999</v>
      </c>
      <c r="O67" s="468">
        <v>0.5305668312404288</v>
      </c>
      <c r="P67" s="472">
        <v>16130418.140000001</v>
      </c>
      <c r="Q67" s="468">
        <v>0.50708639232945618</v>
      </c>
      <c r="R67" s="472">
        <v>13086355.520000001</v>
      </c>
      <c r="S67" s="468">
        <v>0.38924317430101135</v>
      </c>
      <c r="T67" s="472">
        <v>22587777.399999999</v>
      </c>
      <c r="U67" s="468">
        <v>0.65322240087914629</v>
      </c>
      <c r="V67" s="473">
        <v>16655316.650000002</v>
      </c>
      <c r="W67" s="474">
        <v>0.45945701103448278</v>
      </c>
      <c r="X67" s="473">
        <v>22568289.629999999</v>
      </c>
      <c r="Y67" s="474">
        <v>0.59815238881526633</v>
      </c>
      <c r="Z67" s="473">
        <v>20596480</v>
      </c>
      <c r="AA67" s="474">
        <v>0.52048114828666725</v>
      </c>
      <c r="AB67" s="473">
        <v>20596480</v>
      </c>
      <c r="AC67" s="474">
        <v>0.49128136628184332</v>
      </c>
      <c r="AD67" s="473">
        <v>19596480</v>
      </c>
      <c r="AE67" s="474">
        <v>0.44820639494991082</v>
      </c>
      <c r="AF67" s="473">
        <v>16596480</v>
      </c>
      <c r="AG67" s="474">
        <v>0.36585133586103519</v>
      </c>
    </row>
    <row r="68" spans="3:33">
      <c r="C68" s="471" t="s">
        <v>92</v>
      </c>
      <c r="D68" s="472">
        <v>199416686.40000001</v>
      </c>
      <c r="E68" s="468">
        <v>9.2799425938852451</v>
      </c>
      <c r="F68" s="472">
        <v>228365332.86000001</v>
      </c>
      <c r="G68" s="468">
        <v>8.5195050498041418</v>
      </c>
      <c r="H68" s="472">
        <v>250935783.35999998</v>
      </c>
      <c r="I68" s="468">
        <v>8.1324793673839775</v>
      </c>
      <c r="J68" s="472">
        <v>323500545</v>
      </c>
      <c r="K68" s="468">
        <v>10.852081348540759</v>
      </c>
      <c r="L68" s="472">
        <v>330972340.54000008</v>
      </c>
      <c r="M68" s="468">
        <v>10.591114897280002</v>
      </c>
      <c r="N68" s="472">
        <v>356875323.42000002</v>
      </c>
      <c r="O68" s="468">
        <v>10.930331498315468</v>
      </c>
      <c r="P68" s="472">
        <v>378962096.58999997</v>
      </c>
      <c r="Q68" s="468">
        <v>11.913300741590692</v>
      </c>
      <c r="R68" s="472">
        <v>383190248.31999987</v>
      </c>
      <c r="S68" s="468">
        <v>11.397687338488991</v>
      </c>
      <c r="T68" s="472">
        <v>384390842.85000002</v>
      </c>
      <c r="U68" s="468">
        <v>11.116308824720207</v>
      </c>
      <c r="V68" s="473">
        <v>387038896.73000014</v>
      </c>
      <c r="W68" s="474">
        <v>10.676935082206901</v>
      </c>
      <c r="X68" s="473">
        <v>390815633.62999994</v>
      </c>
      <c r="Y68" s="474">
        <v>10.358219815266365</v>
      </c>
      <c r="Z68" s="473">
        <v>415940000</v>
      </c>
      <c r="AA68" s="474">
        <v>10.510967350651976</v>
      </c>
      <c r="AB68" s="473">
        <v>429646000</v>
      </c>
      <c r="AC68" s="474">
        <v>10.248211048564068</v>
      </c>
      <c r="AD68" s="473">
        <v>437146000</v>
      </c>
      <c r="AE68" s="474">
        <v>9.9983074882210321</v>
      </c>
      <c r="AF68" s="473">
        <v>444946000</v>
      </c>
      <c r="AG68" s="474">
        <v>9.8083502336654611</v>
      </c>
    </row>
    <row r="69" spans="3:33">
      <c r="C69" s="471" t="s">
        <v>94</v>
      </c>
      <c r="D69" s="472">
        <v>10828245</v>
      </c>
      <c r="E69" s="468">
        <v>0.50389711014937877</v>
      </c>
      <c r="F69" s="472">
        <v>12762198</v>
      </c>
      <c r="G69" s="468">
        <v>0.47611259093452718</v>
      </c>
      <c r="H69" s="472">
        <v>15724080</v>
      </c>
      <c r="I69" s="468">
        <v>0.50959554057557688</v>
      </c>
      <c r="J69" s="472">
        <v>14442818</v>
      </c>
      <c r="K69" s="468">
        <v>0.48449573968466958</v>
      </c>
      <c r="L69" s="472">
        <v>12638749.91</v>
      </c>
      <c r="M69" s="468">
        <v>0.40443999712000006</v>
      </c>
      <c r="N69" s="472">
        <v>12978814.83</v>
      </c>
      <c r="O69" s="468">
        <v>0.39751347105666157</v>
      </c>
      <c r="P69" s="472">
        <v>13497405.869999999</v>
      </c>
      <c r="Q69" s="468">
        <v>0.42431329361835901</v>
      </c>
      <c r="R69" s="472">
        <v>14792096.089999998</v>
      </c>
      <c r="S69" s="468">
        <v>0.43997906276026172</v>
      </c>
      <c r="T69" s="472">
        <v>15215135.74</v>
      </c>
      <c r="U69" s="468">
        <v>0.44001086613262386</v>
      </c>
      <c r="V69" s="473">
        <v>14449999.999999998</v>
      </c>
      <c r="W69" s="474">
        <v>0.39862068965517233</v>
      </c>
      <c r="X69" s="473">
        <v>16279749.999999996</v>
      </c>
      <c r="Y69" s="474">
        <v>0.43148025443943799</v>
      </c>
      <c r="Z69" s="473">
        <v>15931000</v>
      </c>
      <c r="AA69" s="474">
        <v>0.40258263418578794</v>
      </c>
      <c r="AB69" s="473">
        <v>15931000</v>
      </c>
      <c r="AC69" s="474">
        <v>0.37999713767770249</v>
      </c>
      <c r="AD69" s="473">
        <v>15931000</v>
      </c>
      <c r="AE69" s="474">
        <v>0.36437033987466261</v>
      </c>
      <c r="AF69" s="473">
        <v>15931000</v>
      </c>
      <c r="AG69" s="474">
        <v>0.35118155365488052</v>
      </c>
    </row>
    <row r="70" spans="3:33">
      <c r="C70" s="471" t="s">
        <v>96</v>
      </c>
      <c r="D70" s="472">
        <v>5651577</v>
      </c>
      <c r="E70" s="468">
        <v>0.26299860393689795</v>
      </c>
      <c r="F70" s="472">
        <v>6775917</v>
      </c>
      <c r="G70" s="468">
        <v>0.25278556239507555</v>
      </c>
      <c r="H70" s="472">
        <v>7567643</v>
      </c>
      <c r="I70" s="468">
        <v>0.24525677339901478</v>
      </c>
      <c r="J70" s="472">
        <v>7707976</v>
      </c>
      <c r="K70" s="468">
        <v>0.258570144246897</v>
      </c>
      <c r="L70" s="472">
        <v>7871886.5700000003</v>
      </c>
      <c r="M70" s="468">
        <v>0.25190037024</v>
      </c>
      <c r="N70" s="472">
        <v>8254170.3099999996</v>
      </c>
      <c r="O70" s="468">
        <v>0.25280766646248087</v>
      </c>
      <c r="P70" s="472">
        <v>7855049.4100000001</v>
      </c>
      <c r="Q70" s="468">
        <v>0.24693647940899088</v>
      </c>
      <c r="R70" s="472">
        <v>7862525.3600000013</v>
      </c>
      <c r="S70" s="468">
        <v>0.23386452587745393</v>
      </c>
      <c r="T70" s="472">
        <v>8089340.1100000003</v>
      </c>
      <c r="U70" s="468">
        <v>0.23393794239278176</v>
      </c>
      <c r="V70" s="473">
        <v>8061542.0699999994</v>
      </c>
      <c r="W70" s="474">
        <v>0.22238736744827586</v>
      </c>
      <c r="X70" s="473">
        <v>11266216.75</v>
      </c>
      <c r="Y70" s="474">
        <v>0.29860102703419028</v>
      </c>
      <c r="Z70" s="473">
        <v>8525000</v>
      </c>
      <c r="AA70" s="474">
        <v>0.21543010209238855</v>
      </c>
      <c r="AB70" s="473">
        <v>8525000</v>
      </c>
      <c r="AC70" s="474">
        <v>0.20334414655090163</v>
      </c>
      <c r="AD70" s="473">
        <v>8525000</v>
      </c>
      <c r="AE70" s="474">
        <v>0.19498193129317049</v>
      </c>
      <c r="AF70" s="473">
        <v>8525000</v>
      </c>
      <c r="AG70" s="474">
        <v>0.1879243452958293</v>
      </c>
    </row>
    <row r="71" spans="3:33" ht="13.5" thickBot="1">
      <c r="C71" s="475" t="s">
        <v>99</v>
      </c>
      <c r="D71" s="465">
        <v>48400132.840000004</v>
      </c>
      <c r="E71" s="468">
        <v>2.2523213197449858</v>
      </c>
      <c r="F71" s="465">
        <v>57507793.979999997</v>
      </c>
      <c r="G71" s="468">
        <v>2.145412944599888</v>
      </c>
      <c r="H71" s="465">
        <v>213711795.17000002</v>
      </c>
      <c r="I71" s="468">
        <v>6.9261017361291159</v>
      </c>
      <c r="J71" s="465">
        <v>204672473</v>
      </c>
      <c r="K71" s="468">
        <v>6.8658997987252599</v>
      </c>
      <c r="L71" s="465">
        <v>174638922.39000002</v>
      </c>
      <c r="M71" s="468">
        <v>5.5884455164800002</v>
      </c>
      <c r="N71" s="465">
        <v>87914180.150000006</v>
      </c>
      <c r="O71" s="468">
        <v>2.6926242006125576</v>
      </c>
      <c r="P71" s="465">
        <v>31512266.289999995</v>
      </c>
      <c r="Q71" s="468">
        <v>0.990640248035209</v>
      </c>
      <c r="R71" s="465">
        <v>94307026.25</v>
      </c>
      <c r="S71" s="468">
        <v>2.8050870389649019</v>
      </c>
      <c r="T71" s="465">
        <v>99048746.079999998</v>
      </c>
      <c r="U71" s="468">
        <v>2.8644190427716243</v>
      </c>
      <c r="V71" s="469">
        <v>136226214.47000006</v>
      </c>
      <c r="W71" s="474">
        <v>3.7579645371034496</v>
      </c>
      <c r="X71" s="469">
        <v>171815385.72</v>
      </c>
      <c r="Y71" s="474">
        <v>4.5538135626822154</v>
      </c>
      <c r="Z71" s="469">
        <v>166195308.30000001</v>
      </c>
      <c r="AA71" s="474">
        <v>4.1998207899524926</v>
      </c>
      <c r="AB71" s="469">
        <v>183595308.30000001</v>
      </c>
      <c r="AC71" s="474">
        <v>4.3792412055147407</v>
      </c>
      <c r="AD71" s="469">
        <v>177695308.30000001</v>
      </c>
      <c r="AE71" s="477">
        <v>4.0642081400667855</v>
      </c>
      <c r="AF71" s="469">
        <v>177695308.30000001</v>
      </c>
      <c r="AG71" s="477">
        <v>3.917099645093026</v>
      </c>
    </row>
    <row r="72" spans="3:33" ht="14.25" hidden="1" thickTop="1" thickBot="1">
      <c r="C72" s="471" t="s">
        <v>101</v>
      </c>
      <c r="D72" s="472">
        <v>24580394.890000001</v>
      </c>
      <c r="E72" s="468">
        <v>1.1438594113267253</v>
      </c>
      <c r="F72" s="472">
        <v>30859655.299999997</v>
      </c>
      <c r="G72" s="468">
        <v>1.1512648871479201</v>
      </c>
      <c r="H72" s="472">
        <v>186049189.96000001</v>
      </c>
      <c r="I72" s="468">
        <v>6.0295952151931553</v>
      </c>
      <c r="J72" s="472">
        <v>204672473</v>
      </c>
      <c r="K72" s="468">
        <v>6.8658997987252599</v>
      </c>
      <c r="L72" s="472">
        <v>153781612.11000001</v>
      </c>
      <c r="M72" s="468">
        <v>4.9210115875199998</v>
      </c>
      <c r="N72" s="472">
        <v>68686902.969999999</v>
      </c>
      <c r="O72" s="468">
        <v>2.1037336284839205</v>
      </c>
      <c r="P72" s="472">
        <v>13467068.969999999</v>
      </c>
      <c r="Q72" s="468">
        <v>0.42335960295504549</v>
      </c>
      <c r="R72" s="472">
        <v>67134536</v>
      </c>
      <c r="S72" s="468">
        <v>1.9968630577037478</v>
      </c>
      <c r="T72" s="472">
        <v>73998107</v>
      </c>
      <c r="U72" s="468">
        <v>2.1399724399201827</v>
      </c>
      <c r="V72" s="473">
        <v>107438517</v>
      </c>
      <c r="W72" s="474">
        <v>2.9638211586206897</v>
      </c>
      <c r="X72" s="473"/>
      <c r="Y72" s="463">
        <v>0</v>
      </c>
      <c r="Z72" s="473"/>
      <c r="AA72" s="463">
        <v>0</v>
      </c>
      <c r="AB72" s="473"/>
      <c r="AC72" s="463">
        <v>0</v>
      </c>
      <c r="AD72" s="473"/>
      <c r="AE72" s="463">
        <v>0</v>
      </c>
      <c r="AF72" s="473"/>
      <c r="AG72" s="463">
        <v>0</v>
      </c>
    </row>
    <row r="73" spans="3:33" ht="14.25" hidden="1" thickTop="1" thickBot="1">
      <c r="C73" s="471" t="s">
        <v>103</v>
      </c>
      <c r="D73" s="472">
        <v>3574431.37</v>
      </c>
      <c r="E73" s="468">
        <v>0.16633772488249804</v>
      </c>
      <c r="F73" s="472">
        <v>7039265.6799999988</v>
      </c>
      <c r="G73" s="468">
        <v>0.26261017272896842</v>
      </c>
      <c r="H73" s="472">
        <v>8424788.2100000009</v>
      </c>
      <c r="I73" s="468">
        <v>0.27303565627430648</v>
      </c>
      <c r="J73" s="472">
        <v>0</v>
      </c>
      <c r="K73" s="468">
        <v>0</v>
      </c>
      <c r="L73" s="472">
        <v>4286887.0199999996</v>
      </c>
      <c r="M73" s="468">
        <v>0.13718038463999999</v>
      </c>
      <c r="N73" s="472">
        <v>4915342.76</v>
      </c>
      <c r="O73" s="468">
        <v>0.15054648575803981</v>
      </c>
      <c r="P73" s="472">
        <v>4589753.04</v>
      </c>
      <c r="Q73" s="468">
        <v>0.14428648349575604</v>
      </c>
      <c r="R73" s="472">
        <v>2381216.02</v>
      </c>
      <c r="S73" s="468">
        <v>7.0827365258774533E-2</v>
      </c>
      <c r="T73" s="472">
        <v>2339681</v>
      </c>
      <c r="U73" s="468">
        <v>6.7661904624193872E-2</v>
      </c>
      <c r="V73" s="473">
        <v>2934696</v>
      </c>
      <c r="W73" s="474">
        <v>8.0957131034482752E-2</v>
      </c>
      <c r="X73" s="473"/>
      <c r="Y73" s="463">
        <v>0</v>
      </c>
      <c r="Z73" s="473"/>
      <c r="AA73" s="463">
        <v>0</v>
      </c>
      <c r="AB73" s="473"/>
      <c r="AC73" s="463">
        <v>0</v>
      </c>
      <c r="AD73" s="473"/>
      <c r="AE73" s="463">
        <v>0</v>
      </c>
      <c r="AF73" s="473"/>
      <c r="AG73" s="463">
        <v>0</v>
      </c>
    </row>
    <row r="74" spans="3:33" ht="14.25" hidden="1" thickTop="1" thickBot="1">
      <c r="C74" s="471" t="s">
        <v>105</v>
      </c>
      <c r="D74" s="472">
        <v>20245306.579999998</v>
      </c>
      <c r="E74" s="468">
        <v>0.94212418353576233</v>
      </c>
      <c r="F74" s="472">
        <v>16556151.310000001</v>
      </c>
      <c r="G74" s="468">
        <v>0.61765160641671335</v>
      </c>
      <c r="H74" s="472">
        <v>16902417.300000001</v>
      </c>
      <c r="I74" s="468">
        <v>0.54778381190044079</v>
      </c>
      <c r="J74" s="472">
        <v>0</v>
      </c>
      <c r="K74" s="468">
        <v>0</v>
      </c>
      <c r="L74" s="472">
        <v>15666835.189999999</v>
      </c>
      <c r="M74" s="468">
        <v>0.50133872607999996</v>
      </c>
      <c r="N74" s="472">
        <v>13244846.4</v>
      </c>
      <c r="O74" s="468">
        <v>0.40566145176110263</v>
      </c>
      <c r="P74" s="472">
        <v>12608423.289999999</v>
      </c>
      <c r="Q74" s="468">
        <v>0.39636665482552652</v>
      </c>
      <c r="R74" s="472">
        <v>23305629</v>
      </c>
      <c r="S74" s="468">
        <v>0.69320728732897086</v>
      </c>
      <c r="T74" s="472">
        <v>20524194</v>
      </c>
      <c r="U74" s="468">
        <v>0.59354504178836864</v>
      </c>
      <c r="V74" s="473">
        <v>25372389</v>
      </c>
      <c r="W74" s="474">
        <v>0.69992797241379312</v>
      </c>
      <c r="X74" s="473"/>
      <c r="Y74" s="463">
        <v>0</v>
      </c>
      <c r="Z74" s="473"/>
      <c r="AA74" s="463">
        <v>0</v>
      </c>
      <c r="AB74" s="473"/>
      <c r="AC74" s="463">
        <v>0</v>
      </c>
      <c r="AD74" s="473"/>
      <c r="AE74" s="463">
        <v>0</v>
      </c>
      <c r="AF74" s="473"/>
      <c r="AG74" s="463">
        <v>0</v>
      </c>
    </row>
    <row r="75" spans="3:33" ht="14.25" hidden="1" thickTop="1" thickBot="1">
      <c r="C75" s="471" t="s">
        <v>107</v>
      </c>
      <c r="D75" s="472"/>
      <c r="E75" s="468">
        <v>0</v>
      </c>
      <c r="F75" s="472">
        <v>2094166.36</v>
      </c>
      <c r="G75" s="468">
        <v>7.8125960082074244E-2</v>
      </c>
      <c r="H75" s="472">
        <v>2285399.7000000002</v>
      </c>
      <c r="I75" s="468">
        <v>7.4066622374902788E-2</v>
      </c>
      <c r="J75" s="472">
        <v>0</v>
      </c>
      <c r="K75" s="468">
        <v>0</v>
      </c>
      <c r="L75" s="472">
        <v>903588.07</v>
      </c>
      <c r="M75" s="468">
        <v>2.8914818239999997E-2</v>
      </c>
      <c r="N75" s="472">
        <v>1067088.02</v>
      </c>
      <c r="O75" s="468">
        <v>3.2682634609494637E-2</v>
      </c>
      <c r="P75" s="472">
        <v>847020.99</v>
      </c>
      <c r="Q75" s="468">
        <v>2.6627506758880853E-2</v>
      </c>
      <c r="R75" s="472">
        <v>1485645.23</v>
      </c>
      <c r="S75" s="468">
        <v>4.4189328673408683E-2</v>
      </c>
      <c r="T75" s="472">
        <v>1836764</v>
      </c>
      <c r="U75" s="468">
        <v>5.3117903930131001E-2</v>
      </c>
      <c r="V75" s="473">
        <v>454930</v>
      </c>
      <c r="W75" s="474">
        <v>1.2549793103448276E-2</v>
      </c>
      <c r="X75" s="473"/>
      <c r="Y75" s="463">
        <v>0</v>
      </c>
      <c r="Z75" s="473"/>
      <c r="AA75" s="463">
        <v>0</v>
      </c>
      <c r="AB75" s="473"/>
      <c r="AC75" s="463">
        <v>0</v>
      </c>
      <c r="AD75" s="473"/>
      <c r="AE75" s="463">
        <v>0</v>
      </c>
      <c r="AF75" s="473"/>
      <c r="AG75" s="463">
        <v>0</v>
      </c>
    </row>
    <row r="76" spans="3:33" ht="14.25" hidden="1" thickTop="1" thickBot="1">
      <c r="C76" s="471" t="s">
        <v>390</v>
      </c>
      <c r="D76" s="472"/>
      <c r="E76" s="468">
        <v>0</v>
      </c>
      <c r="F76" s="472"/>
      <c r="G76" s="468">
        <v>0</v>
      </c>
      <c r="H76" s="472">
        <v>0</v>
      </c>
      <c r="I76" s="468">
        <v>0</v>
      </c>
      <c r="J76" s="472">
        <v>0</v>
      </c>
      <c r="K76" s="468">
        <v>0</v>
      </c>
      <c r="L76" s="472"/>
      <c r="M76" s="468">
        <v>0</v>
      </c>
      <c r="N76" s="472">
        <v>0</v>
      </c>
      <c r="O76" s="468">
        <v>0</v>
      </c>
      <c r="P76" s="472">
        <v>0</v>
      </c>
      <c r="Q76" s="468">
        <v>0</v>
      </c>
      <c r="R76" s="472">
        <v>0</v>
      </c>
      <c r="S76" s="468">
        <v>0</v>
      </c>
      <c r="T76" s="472">
        <v>0</v>
      </c>
      <c r="U76" s="468">
        <v>0</v>
      </c>
      <c r="V76" s="473">
        <v>25682.67</v>
      </c>
      <c r="W76" s="474">
        <v>7.0848744827586201E-4</v>
      </c>
      <c r="X76" s="473"/>
      <c r="Y76" s="463">
        <v>0</v>
      </c>
      <c r="Z76" s="473"/>
      <c r="AA76" s="463">
        <v>0</v>
      </c>
      <c r="AB76" s="473"/>
      <c r="AC76" s="463">
        <v>0</v>
      </c>
      <c r="AD76" s="473"/>
      <c r="AE76" s="463">
        <v>0</v>
      </c>
      <c r="AF76" s="473"/>
      <c r="AG76" s="463">
        <v>0</v>
      </c>
    </row>
    <row r="77" spans="3:33" ht="14.25" hidden="1" thickTop="1" thickBot="1">
      <c r="C77" s="471" t="s">
        <v>108</v>
      </c>
      <c r="D77" s="472">
        <v>0</v>
      </c>
      <c r="E77" s="476">
        <v>0</v>
      </c>
      <c r="F77" s="472">
        <v>958555.33</v>
      </c>
      <c r="G77" s="476">
        <v>3.5760318224211898E-2</v>
      </c>
      <c r="H77" s="472">
        <v>50000</v>
      </c>
      <c r="I77" s="476">
        <v>1.6204303863106039E-3</v>
      </c>
      <c r="J77" s="472">
        <v>0</v>
      </c>
      <c r="K77" s="476">
        <v>0</v>
      </c>
      <c r="L77" s="472">
        <v>0</v>
      </c>
      <c r="M77" s="468">
        <v>0</v>
      </c>
      <c r="N77" s="472">
        <v>0</v>
      </c>
      <c r="O77" s="476">
        <v>0</v>
      </c>
      <c r="P77" s="472">
        <v>0</v>
      </c>
      <c r="Q77" s="476">
        <v>0</v>
      </c>
      <c r="R77" s="472">
        <v>0</v>
      </c>
      <c r="S77" s="476">
        <v>0</v>
      </c>
      <c r="T77" s="472">
        <v>350000</v>
      </c>
      <c r="U77" s="476">
        <v>1.0121750195205182E-2</v>
      </c>
      <c r="V77" s="473">
        <v>0</v>
      </c>
      <c r="W77" s="477">
        <v>0</v>
      </c>
      <c r="X77" s="473"/>
      <c r="Y77" s="463">
        <v>0</v>
      </c>
      <c r="Z77" s="473"/>
      <c r="AA77" s="463">
        <v>0</v>
      </c>
      <c r="AB77" s="473"/>
      <c r="AC77" s="463">
        <v>0</v>
      </c>
      <c r="AD77" s="473"/>
      <c r="AE77" s="463">
        <v>0</v>
      </c>
      <c r="AF77" s="473"/>
      <c r="AG77" s="463">
        <v>0</v>
      </c>
    </row>
    <row r="78" spans="3:33" ht="14.25" thickTop="1" thickBot="1">
      <c r="C78" s="458" t="s">
        <v>130</v>
      </c>
      <c r="D78" s="459">
        <v>0</v>
      </c>
      <c r="E78" s="460">
        <v>0</v>
      </c>
      <c r="F78" s="459">
        <v>82459238.990000024</v>
      </c>
      <c r="G78" s="461">
        <v>3.076263346017535</v>
      </c>
      <c r="H78" s="459">
        <v>73370859.459999993</v>
      </c>
      <c r="I78" s="460">
        <v>2.3778474027741763</v>
      </c>
      <c r="J78" s="459">
        <v>112364696.64</v>
      </c>
      <c r="K78" s="461">
        <v>3.7693625172760821</v>
      </c>
      <c r="L78" s="459">
        <v>63250368.810000002</v>
      </c>
      <c r="M78" s="482">
        <v>2.02401180192</v>
      </c>
      <c r="N78" s="459">
        <v>67115187.969999999</v>
      </c>
      <c r="O78" s="460">
        <v>2.0555953436447165</v>
      </c>
      <c r="P78" s="478">
        <v>58737973</v>
      </c>
      <c r="Q78" s="460">
        <v>1.8465254008173533</v>
      </c>
      <c r="R78" s="459">
        <v>77219227.430000007</v>
      </c>
      <c r="S78" s="460">
        <v>2.2968241353361099</v>
      </c>
      <c r="T78" s="459">
        <v>67725837.019999996</v>
      </c>
      <c r="U78" s="460">
        <v>1.9585828687931981</v>
      </c>
      <c r="V78" s="479">
        <v>228003108.56999999</v>
      </c>
      <c r="W78" s="463">
        <v>6.2897409260689656</v>
      </c>
      <c r="X78" s="479">
        <v>64819445</v>
      </c>
      <c r="Y78" s="463">
        <v>1.717981579644845</v>
      </c>
      <c r="Z78" s="479">
        <v>283100000</v>
      </c>
      <c r="AA78" s="463">
        <v>7.1540483169918119</v>
      </c>
      <c r="AB78" s="479">
        <v>315800000</v>
      </c>
      <c r="AC78" s="463">
        <v>7.5326781795630184</v>
      </c>
      <c r="AD78" s="479">
        <v>277600000</v>
      </c>
      <c r="AE78" s="463">
        <v>6.3492063492063489</v>
      </c>
      <c r="AF78" s="479">
        <v>83100000</v>
      </c>
      <c r="AG78" s="463">
        <v>1.831849043294242</v>
      </c>
    </row>
    <row r="79" spans="3:33" ht="13.5" thickTop="1">
      <c r="C79" s="483" t="s">
        <v>110</v>
      </c>
      <c r="D79" s="465">
        <v>15376170.280000001</v>
      </c>
      <c r="E79" s="466">
        <v>0.71553679929266145</v>
      </c>
      <c r="F79" s="484">
        <v>7854938.71</v>
      </c>
      <c r="G79" s="485">
        <v>0.29304005633277375</v>
      </c>
      <c r="H79" s="484">
        <v>62542537.890000001</v>
      </c>
      <c r="I79" s="486">
        <v>2.026916576678766</v>
      </c>
      <c r="J79" s="484">
        <v>17652931</v>
      </c>
      <c r="K79" s="485">
        <v>0.59218151626970816</v>
      </c>
      <c r="L79" s="484">
        <v>4074638.38</v>
      </c>
      <c r="M79" s="486">
        <v>0.13038842815999999</v>
      </c>
      <c r="N79" s="484">
        <v>2091768.6</v>
      </c>
      <c r="O79" s="486">
        <v>6.4066419601837676E-2</v>
      </c>
      <c r="P79" s="484">
        <v>1775633.69</v>
      </c>
      <c r="Q79" s="486">
        <v>5.5819983967305871E-2</v>
      </c>
      <c r="R79" s="484">
        <v>2752781.98</v>
      </c>
      <c r="S79" s="486">
        <v>8.1879297441998816E-2</v>
      </c>
      <c r="T79" s="484">
        <v>2484899.77</v>
      </c>
      <c r="U79" s="486">
        <v>7.1861527805893749E-2</v>
      </c>
      <c r="V79" s="487">
        <v>2975830.1199999996</v>
      </c>
      <c r="W79" s="488">
        <v>8.2091865379310333E-2</v>
      </c>
      <c r="X79" s="487">
        <v>2868099.3</v>
      </c>
      <c r="Y79" s="474">
        <v>7.6016413994169099E-2</v>
      </c>
      <c r="Z79" s="487">
        <v>2425000</v>
      </c>
      <c r="AA79" s="474">
        <v>6.1280703527746894E-2</v>
      </c>
      <c r="AB79" s="487">
        <v>2425000</v>
      </c>
      <c r="AC79" s="474">
        <v>5.7842763095124511E-2</v>
      </c>
      <c r="AD79" s="487">
        <v>2425000</v>
      </c>
      <c r="AE79" s="470">
        <v>5.546406843236814E-2</v>
      </c>
      <c r="AF79" s="487">
        <v>2425000</v>
      </c>
      <c r="AG79" s="470">
        <v>5.3456485318754965E-2</v>
      </c>
    </row>
    <row r="80" spans="3:33" ht="13.5" thickBot="1">
      <c r="C80" s="489" t="s">
        <v>117</v>
      </c>
      <c r="D80" s="490">
        <v>27204434.309999999</v>
      </c>
      <c r="E80" s="491">
        <v>1.2659702317464749</v>
      </c>
      <c r="F80" s="490">
        <v>10844803.16</v>
      </c>
      <c r="G80" s="492">
        <v>0.40458135273269918</v>
      </c>
      <c r="H80" s="490">
        <v>12437562.109999999</v>
      </c>
      <c r="I80" s="491">
        <v>0.40308407149338865</v>
      </c>
      <c r="J80" s="490">
        <v>10901702</v>
      </c>
      <c r="K80" s="492">
        <v>0.36570620597115061</v>
      </c>
      <c r="L80" s="490">
        <v>12589952.310000001</v>
      </c>
      <c r="M80" s="491">
        <v>0.40287847392000004</v>
      </c>
      <c r="N80" s="490">
        <v>11789476.779999999</v>
      </c>
      <c r="O80" s="491">
        <v>0.36108657825421131</v>
      </c>
      <c r="P80" s="490">
        <v>18078018.460000001</v>
      </c>
      <c r="Q80" s="491">
        <v>0.56831243193964165</v>
      </c>
      <c r="R80" s="490">
        <v>14126844.789999999</v>
      </c>
      <c r="S80" s="491">
        <v>0.4201916951219512</v>
      </c>
      <c r="T80" s="490">
        <v>13532542.720000001</v>
      </c>
      <c r="U80" s="491">
        <v>0.39135147690794997</v>
      </c>
      <c r="V80" s="493">
        <v>16643694.030000001</v>
      </c>
      <c r="W80" s="494">
        <v>0.45913638703448278</v>
      </c>
      <c r="X80" s="493">
        <v>18898013.969999999</v>
      </c>
      <c r="Y80" s="474">
        <v>0.50087500583090372</v>
      </c>
      <c r="Z80" s="493">
        <v>14298673.880000001</v>
      </c>
      <c r="AA80" s="474">
        <v>0.36133311129081169</v>
      </c>
      <c r="AB80" s="493">
        <v>15098673.880000001</v>
      </c>
      <c r="AC80" s="474">
        <v>0.36014392424386987</v>
      </c>
      <c r="AD80" s="493">
        <v>14298673.880000001</v>
      </c>
      <c r="AE80" s="474">
        <v>0.32703613466904535</v>
      </c>
      <c r="AF80" s="493">
        <v>14298673.880000001</v>
      </c>
      <c r="AG80" s="474">
        <v>0.31519870117273613</v>
      </c>
    </row>
    <row r="81" spans="3:33" ht="14.25" thickTop="1" thickBot="1">
      <c r="C81" s="495" t="s">
        <v>112</v>
      </c>
      <c r="D81" s="496">
        <v>1050939.44</v>
      </c>
      <c r="E81" s="497">
        <v>4.8905925822513845E-2</v>
      </c>
      <c r="F81" s="496">
        <v>0</v>
      </c>
      <c r="G81" s="498">
        <v>0</v>
      </c>
      <c r="H81" s="496">
        <v>50207</v>
      </c>
      <c r="I81" s="497">
        <v>1.6271389681099299E-3</v>
      </c>
      <c r="J81" s="496">
        <v>1769094</v>
      </c>
      <c r="K81" s="498">
        <v>5.9345655820194562E-2</v>
      </c>
      <c r="L81" s="496">
        <v>0</v>
      </c>
      <c r="M81" s="497">
        <v>0</v>
      </c>
      <c r="N81" s="496">
        <v>33915163.380000003</v>
      </c>
      <c r="O81" s="497">
        <v>1.0387492612557427</v>
      </c>
      <c r="P81" s="496">
        <v>24719832.629999999</v>
      </c>
      <c r="Q81" s="497">
        <v>0.77710885350518699</v>
      </c>
      <c r="R81" s="496">
        <v>107230592.5</v>
      </c>
      <c r="S81" s="497">
        <v>3.1894881766805474</v>
      </c>
      <c r="T81" s="496">
        <v>15258930.949999999</v>
      </c>
      <c r="U81" s="497">
        <v>0.44127739234795682</v>
      </c>
      <c r="V81" s="499">
        <v>0</v>
      </c>
      <c r="W81" s="500">
        <v>0</v>
      </c>
      <c r="X81" s="499">
        <v>0</v>
      </c>
      <c r="Y81" s="501">
        <v>0</v>
      </c>
      <c r="Z81" s="499">
        <v>0</v>
      </c>
      <c r="AA81" s="501">
        <v>0</v>
      </c>
      <c r="AB81" s="499">
        <v>0</v>
      </c>
      <c r="AC81" s="501">
        <v>0</v>
      </c>
      <c r="AD81" s="499">
        <v>0</v>
      </c>
      <c r="AE81" s="501">
        <v>0</v>
      </c>
      <c r="AF81" s="499">
        <v>0</v>
      </c>
      <c r="AG81" s="501">
        <v>0</v>
      </c>
    </row>
    <row r="82" spans="3:33" ht="14.25" thickTop="1" thickBot="1">
      <c r="C82" s="495" t="s">
        <v>115</v>
      </c>
      <c r="D82" s="496">
        <v>0</v>
      </c>
      <c r="E82" s="497">
        <v>0</v>
      </c>
      <c r="F82" s="496">
        <v>0</v>
      </c>
      <c r="G82" s="498">
        <v>0</v>
      </c>
      <c r="H82" s="496">
        <v>0</v>
      </c>
      <c r="I82" s="497">
        <v>0</v>
      </c>
      <c r="J82" s="496">
        <v>29123695</v>
      </c>
      <c r="K82" s="498">
        <v>0.97697735659174767</v>
      </c>
      <c r="L82" s="496">
        <v>29801619</v>
      </c>
      <c r="M82" s="497">
        <v>0.95365180800000005</v>
      </c>
      <c r="N82" s="496">
        <v>29193709</v>
      </c>
      <c r="O82" s="497">
        <v>0.89414116385911169</v>
      </c>
      <c r="P82" s="496">
        <v>33114247</v>
      </c>
      <c r="Q82" s="497">
        <v>1.0410011631562401</v>
      </c>
      <c r="R82" s="496">
        <v>60543190.100000001</v>
      </c>
      <c r="S82" s="497">
        <v>1.800808747769185</v>
      </c>
      <c r="T82" s="496">
        <v>65221299.670000002</v>
      </c>
      <c r="U82" s="497">
        <v>1.8861534361895951</v>
      </c>
      <c r="V82" s="499">
        <v>77407937.149999946</v>
      </c>
      <c r="W82" s="500">
        <v>2.1353913696551712</v>
      </c>
      <c r="X82" s="499">
        <v>69262528.650000006</v>
      </c>
      <c r="Y82" s="501">
        <v>1.8357415491651208</v>
      </c>
      <c r="Z82" s="499">
        <v>0</v>
      </c>
      <c r="AA82" s="501">
        <v>0</v>
      </c>
      <c r="AB82" s="499">
        <v>0</v>
      </c>
      <c r="AC82" s="501">
        <v>0</v>
      </c>
      <c r="AD82" s="499">
        <v>0</v>
      </c>
      <c r="AE82" s="501">
        <v>0</v>
      </c>
      <c r="AF82" s="499">
        <v>0</v>
      </c>
      <c r="AG82" s="501">
        <v>0</v>
      </c>
    </row>
    <row r="83" spans="3:33" ht="14.25" thickTop="1" thickBot="1">
      <c r="C83" s="464" t="s">
        <v>151</v>
      </c>
      <c r="D83" s="465">
        <v>0</v>
      </c>
      <c r="E83" s="497">
        <v>0</v>
      </c>
      <c r="F83" s="465">
        <v>0</v>
      </c>
      <c r="G83" s="498">
        <v>0</v>
      </c>
      <c r="H83" s="465">
        <v>0</v>
      </c>
      <c r="I83" s="497">
        <v>0</v>
      </c>
      <c r="J83" s="465">
        <v>0</v>
      </c>
      <c r="K83" s="498">
        <v>0</v>
      </c>
      <c r="L83" s="465">
        <v>0</v>
      </c>
      <c r="M83" s="497">
        <v>0</v>
      </c>
      <c r="N83" s="465">
        <v>0</v>
      </c>
      <c r="O83" s="497">
        <v>0</v>
      </c>
      <c r="P83" s="490">
        <v>0</v>
      </c>
      <c r="Q83" s="497">
        <v>0</v>
      </c>
      <c r="R83" s="465">
        <v>14438105.227300003</v>
      </c>
      <c r="S83" s="497">
        <v>0.42944988778405718</v>
      </c>
      <c r="T83" s="465">
        <v>4091274.1600000113</v>
      </c>
      <c r="U83" s="497">
        <v>0.11831672865033724</v>
      </c>
      <c r="V83" s="469">
        <v>-15133946.66</v>
      </c>
      <c r="W83" s="500">
        <v>-0.41748818372413798</v>
      </c>
      <c r="X83" s="469">
        <v>0</v>
      </c>
      <c r="Y83" s="501">
        <v>0</v>
      </c>
      <c r="Z83" s="469">
        <v>0</v>
      </c>
      <c r="AA83" s="501">
        <v>0</v>
      </c>
      <c r="AB83" s="469">
        <v>0</v>
      </c>
      <c r="AC83" s="501">
        <v>0</v>
      </c>
      <c r="AD83" s="469">
        <v>0</v>
      </c>
      <c r="AE83" s="501">
        <v>0</v>
      </c>
      <c r="AF83" s="469">
        <v>0</v>
      </c>
      <c r="AG83" s="501">
        <v>0</v>
      </c>
    </row>
    <row r="84" spans="3:33" ht="14.25" thickTop="1" thickBot="1">
      <c r="C84" s="458" t="s">
        <v>131</v>
      </c>
      <c r="D84" s="459">
        <v>73188874.71999979</v>
      </c>
      <c r="E84" s="460">
        <v>3.4058762492437897</v>
      </c>
      <c r="F84" s="459">
        <v>176962896.35999978</v>
      </c>
      <c r="G84" s="461">
        <v>6.6018614571908145</v>
      </c>
      <c r="H84" s="459">
        <v>15119711.529999733</v>
      </c>
      <c r="I84" s="460">
        <v>0.49000879990924728</v>
      </c>
      <c r="J84" s="459">
        <v>-132095524.85449982</v>
      </c>
      <c r="K84" s="461">
        <v>-4.4312487371519564</v>
      </c>
      <c r="L84" s="459">
        <v>-112243831.52999973</v>
      </c>
      <c r="M84" s="460">
        <v>-3.5918026089599917</v>
      </c>
      <c r="N84" s="459">
        <v>-189673593.86999989</v>
      </c>
      <c r="O84" s="460">
        <v>-5.8092984339969336</v>
      </c>
      <c r="P84" s="478">
        <v>-195556242.07000017</v>
      </c>
      <c r="Q84" s="460">
        <v>-6.1476341424080534</v>
      </c>
      <c r="R84" s="459">
        <v>-201262338.71999955</v>
      </c>
      <c r="S84" s="460">
        <v>-5.9863872314098625</v>
      </c>
      <c r="T84" s="459">
        <v>-103023527.58999991</v>
      </c>
      <c r="U84" s="460">
        <v>-2.9793668871280232</v>
      </c>
      <c r="V84" s="479">
        <v>-291250066.39999986</v>
      </c>
      <c r="W84" s="463">
        <v>-8.0344845903448228</v>
      </c>
      <c r="X84" s="479">
        <v>-129405978.63000011</v>
      </c>
      <c r="Y84" s="463">
        <v>-3.4297900511529318</v>
      </c>
      <c r="Z84" s="479">
        <v>-197126312.67191792</v>
      </c>
      <c r="AA84" s="463">
        <v>-4.9814594327281387</v>
      </c>
      <c r="AB84" s="479">
        <v>-111524191.49110031</v>
      </c>
      <c r="AC84" s="463">
        <v>-2.660151500121656</v>
      </c>
      <c r="AD84" s="479">
        <v>-31025421.884763002</v>
      </c>
      <c r="AE84" s="463">
        <v>-0.70960664847818045</v>
      </c>
      <c r="AF84" s="479">
        <v>202709910.03565979</v>
      </c>
      <c r="AG84" s="463">
        <v>4.468519311252531</v>
      </c>
    </row>
    <row r="85" spans="3:33" ht="14.25" thickTop="1" thickBot="1">
      <c r="C85" s="458" t="s">
        <v>394</v>
      </c>
      <c r="D85" s="459"/>
      <c r="E85" s="460"/>
      <c r="F85" s="459"/>
      <c r="G85" s="461"/>
      <c r="H85" s="459"/>
      <c r="I85" s="460"/>
      <c r="J85" s="459"/>
      <c r="K85" s="461"/>
      <c r="L85" s="459"/>
      <c r="M85" s="460"/>
      <c r="N85" s="459"/>
      <c r="O85" s="460"/>
      <c r="P85" s="459"/>
      <c r="Q85" s="460"/>
      <c r="R85" s="459">
        <v>-215700443.94729954</v>
      </c>
      <c r="S85" s="460">
        <v>-6.4158371191939176</v>
      </c>
      <c r="T85" s="459">
        <v>-107114801.74999993</v>
      </c>
      <c r="U85" s="460">
        <v>-3.0976836157783603</v>
      </c>
      <c r="V85" s="479">
        <v>-276116119.73999983</v>
      </c>
      <c r="W85" s="463">
        <v>-7.616996406620685</v>
      </c>
      <c r="X85" s="479">
        <v>-129405978.63000011</v>
      </c>
      <c r="Y85" s="463">
        <v>-3.4297900511529318</v>
      </c>
      <c r="Z85" s="479">
        <v>-197126312.67191792</v>
      </c>
      <c r="AA85" s="463">
        <v>-4.9814594327281387</v>
      </c>
      <c r="AB85" s="479">
        <v>-111524191.49110031</v>
      </c>
      <c r="AC85" s="463">
        <v>-2.660151500121656</v>
      </c>
      <c r="AD85" s="479">
        <v>-31025421.884763002</v>
      </c>
      <c r="AE85" s="463">
        <v>-0.70960664847818045</v>
      </c>
      <c r="AF85" s="479">
        <v>202709910.03565979</v>
      </c>
      <c r="AG85" s="463">
        <v>4.468519311252531</v>
      </c>
    </row>
    <row r="86" spans="3:33" ht="14.25" thickTop="1" thickBot="1">
      <c r="C86" s="458" t="s">
        <v>132</v>
      </c>
      <c r="D86" s="459">
        <v>49789880.659999788</v>
      </c>
      <c r="E86" s="460">
        <v>2.3169938415002926</v>
      </c>
      <c r="F86" s="459">
        <v>149863966.87999979</v>
      </c>
      <c r="G86" s="461">
        <v>5.5908959850774025</v>
      </c>
      <c r="H86" s="459">
        <v>-7412282.3100002669</v>
      </c>
      <c r="I86" s="460">
        <v>-0.24022174974073976</v>
      </c>
      <c r="J86" s="459">
        <v>-107583496.21449982</v>
      </c>
      <c r="K86" s="461">
        <v>-3.608973371838303</v>
      </c>
      <c r="L86" s="459">
        <v>-81987553.059999734</v>
      </c>
      <c r="M86" s="460">
        <v>-2.6236016979199919</v>
      </c>
      <c r="N86" s="459">
        <v>-144581243.83999988</v>
      </c>
      <c r="O86" s="460">
        <v>-4.4282157378254174</v>
      </c>
      <c r="P86" s="478">
        <v>-138696387.53000018</v>
      </c>
      <c r="Q86" s="460">
        <v>-4.3601505039295878</v>
      </c>
      <c r="R86" s="459">
        <v>-147777668.40729952</v>
      </c>
      <c r="S86" s="460">
        <v>-4.3955285070582839</v>
      </c>
      <c r="T86" s="459">
        <v>-31598406.339999929</v>
      </c>
      <c r="U86" s="460">
        <v>-0.91380335868590568</v>
      </c>
      <c r="V86" s="479">
        <v>-194313369.98999983</v>
      </c>
      <c r="W86" s="463">
        <v>-5.3603688273103405</v>
      </c>
      <c r="X86" s="479">
        <v>-48079897.980000123</v>
      </c>
      <c r="Y86" s="463">
        <v>-1.2743148152663695</v>
      </c>
      <c r="Z86" s="479">
        <v>-101762686.76191792</v>
      </c>
      <c r="AA86" s="463">
        <v>-2.571583108306831</v>
      </c>
      <c r="AB86" s="479">
        <v>-22914191.491100311</v>
      </c>
      <c r="AC86" s="463">
        <v>-0.54656501028290028</v>
      </c>
      <c r="AD86" s="479">
        <v>60404578.115236998</v>
      </c>
      <c r="AE86" s="463">
        <v>1.3815602697780751</v>
      </c>
      <c r="AF86" s="479">
        <v>294139910.03565979</v>
      </c>
      <c r="AG86" s="463">
        <v>6.4839941371056291</v>
      </c>
    </row>
    <row r="87" spans="3:33" ht="14.25" thickTop="1" thickBot="1">
      <c r="C87" s="458" t="s">
        <v>0</v>
      </c>
      <c r="D87" s="459">
        <v>104045865.95999999</v>
      </c>
      <c r="E87" s="460">
        <v>4.841819812927544</v>
      </c>
      <c r="F87" s="459">
        <v>160963531.41999999</v>
      </c>
      <c r="G87" s="461">
        <v>6.0049815862712181</v>
      </c>
      <c r="H87" s="459">
        <v>122913293.45</v>
      </c>
      <c r="I87" s="460">
        <v>3.983448711757843</v>
      </c>
      <c r="J87" s="459">
        <v>151220956</v>
      </c>
      <c r="K87" s="461">
        <v>5.072826434082522</v>
      </c>
      <c r="L87" s="459">
        <v>186013130.84999999</v>
      </c>
      <c r="M87" s="460">
        <v>5.9524201871999995</v>
      </c>
      <c r="N87" s="459">
        <v>132767747.27</v>
      </c>
      <c r="O87" s="460">
        <v>4.0663934845329246</v>
      </c>
      <c r="P87" s="478">
        <v>135439484.43000001</v>
      </c>
      <c r="Q87" s="460">
        <v>4.2577643643508338</v>
      </c>
      <c r="R87" s="459">
        <v>158591727</v>
      </c>
      <c r="S87" s="460">
        <v>4.7171840273646639</v>
      </c>
      <c r="T87" s="459">
        <v>434061211.94</v>
      </c>
      <c r="U87" s="460">
        <v>12.552740447670551</v>
      </c>
      <c r="V87" s="479">
        <v>541741536.64999998</v>
      </c>
      <c r="W87" s="463">
        <v>14.94459411448276</v>
      </c>
      <c r="X87" s="479">
        <v>533116186.30999994</v>
      </c>
      <c r="Y87" s="463">
        <v>14.129769051417968</v>
      </c>
      <c r="Z87" s="479">
        <v>220415503.14999998</v>
      </c>
      <c r="AA87" s="463">
        <v>5.5699864335894054</v>
      </c>
      <c r="AB87" s="479">
        <v>215250000</v>
      </c>
      <c r="AC87" s="463">
        <v>5.134290621123939</v>
      </c>
      <c r="AD87" s="479">
        <v>529310000</v>
      </c>
      <c r="AE87" s="463">
        <v>12.106262293582178</v>
      </c>
      <c r="AF87" s="479">
        <v>759510000</v>
      </c>
      <c r="AG87" s="463">
        <v>16.742571201834053</v>
      </c>
    </row>
    <row r="88" spans="3:33" ht="13.5" thickTop="1">
      <c r="C88" s="471" t="s">
        <v>134</v>
      </c>
      <c r="D88" s="472">
        <v>34109764.159999996</v>
      </c>
      <c r="E88" s="466">
        <v>1.5873127721159661</v>
      </c>
      <c r="F88" s="472">
        <v>23247139.440000001</v>
      </c>
      <c r="G88" s="466">
        <v>0.86726877224398446</v>
      </c>
      <c r="H88" s="472">
        <v>48375025.880000003</v>
      </c>
      <c r="I88" s="466">
        <v>1.5677672374902776</v>
      </c>
      <c r="J88" s="472">
        <v>68898727</v>
      </c>
      <c r="K88" s="466">
        <v>2.311262227440456</v>
      </c>
      <c r="L88" s="472">
        <v>56807566.530000001</v>
      </c>
      <c r="M88" s="466">
        <v>1.81784212896</v>
      </c>
      <c r="N88" s="472">
        <v>31950887.579999998</v>
      </c>
      <c r="O88" s="466">
        <v>0.97858767473200603</v>
      </c>
      <c r="P88" s="472">
        <v>77940832.650000006</v>
      </c>
      <c r="Q88" s="466">
        <v>2.450199077334172</v>
      </c>
      <c r="R88" s="472">
        <v>92187296</v>
      </c>
      <c r="S88" s="466">
        <v>2.7420373587150508</v>
      </c>
      <c r="T88" s="472">
        <v>239006096.46000001</v>
      </c>
      <c r="U88" s="466">
        <v>6.9118857242835245</v>
      </c>
      <c r="V88" s="473">
        <v>221708220.00999999</v>
      </c>
      <c r="W88" s="470">
        <v>6.1160888278620682</v>
      </c>
      <c r="X88" s="473">
        <v>225446619.97999999</v>
      </c>
      <c r="Y88" s="474">
        <v>5.9752615950172272</v>
      </c>
      <c r="Z88" s="473">
        <v>51911842.149999999</v>
      </c>
      <c r="AA88" s="474">
        <v>1.3118326632467401</v>
      </c>
      <c r="AB88" s="473">
        <v>100160000</v>
      </c>
      <c r="AC88" s="474">
        <v>2.3890850109722352</v>
      </c>
      <c r="AD88" s="473">
        <v>77620000</v>
      </c>
      <c r="AE88" s="470">
        <v>1.7753076254517177</v>
      </c>
      <c r="AF88" s="473">
        <v>147640000</v>
      </c>
      <c r="AG88" s="470">
        <v>3.2545630896746323</v>
      </c>
    </row>
    <row r="89" spans="3:33">
      <c r="C89" s="471" t="s">
        <v>136</v>
      </c>
      <c r="D89" s="472">
        <v>14260035.939999999</v>
      </c>
      <c r="E89" s="468">
        <v>0.66359700032574798</v>
      </c>
      <c r="F89" s="472">
        <v>84151518.439999998</v>
      </c>
      <c r="G89" s="468">
        <v>3.1393963230740534</v>
      </c>
      <c r="H89" s="472">
        <v>16762329.57</v>
      </c>
      <c r="I89" s="468">
        <v>0.5432437636116153</v>
      </c>
      <c r="J89" s="472">
        <v>25402766</v>
      </c>
      <c r="K89" s="468">
        <v>0.85215585374035563</v>
      </c>
      <c r="L89" s="472">
        <v>45342776.32</v>
      </c>
      <c r="M89" s="468">
        <v>1.45096884224</v>
      </c>
      <c r="N89" s="472">
        <v>59510365.689999998</v>
      </c>
      <c r="O89" s="468">
        <v>1.8226758251148545</v>
      </c>
      <c r="P89" s="472">
        <v>54874811.390000001</v>
      </c>
      <c r="Q89" s="468">
        <v>1.7250805215341085</v>
      </c>
      <c r="R89" s="472">
        <v>66404431</v>
      </c>
      <c r="S89" s="468">
        <v>1.9751466686496133</v>
      </c>
      <c r="T89" s="472">
        <v>195055115.47999999</v>
      </c>
      <c r="U89" s="468">
        <v>5.6408547233870268</v>
      </c>
      <c r="V89" s="473">
        <v>320033316.63999999</v>
      </c>
      <c r="W89" s="474">
        <v>8.8285052866206879</v>
      </c>
      <c r="X89" s="473">
        <v>307669566.32999992</v>
      </c>
      <c r="Y89" s="474">
        <v>8.15450745640074</v>
      </c>
      <c r="Z89" s="473">
        <v>134787162.19999999</v>
      </c>
      <c r="AA89" s="474">
        <v>3.4061245880925908</v>
      </c>
      <c r="AB89" s="473">
        <v>100090000</v>
      </c>
      <c r="AC89" s="474">
        <v>2.3874153229653658</v>
      </c>
      <c r="AD89" s="473">
        <v>436690000</v>
      </c>
      <c r="AE89" s="474">
        <v>9.9878779561776678</v>
      </c>
      <c r="AF89" s="473">
        <v>596870000</v>
      </c>
      <c r="AG89" s="474">
        <v>13.157349440084648</v>
      </c>
    </row>
    <row r="90" spans="3:33" ht="13.5" thickBot="1">
      <c r="C90" s="471" t="s">
        <v>115</v>
      </c>
      <c r="D90" s="472">
        <v>55676065.859999999</v>
      </c>
      <c r="E90" s="476">
        <v>2.5909100404858298</v>
      </c>
      <c r="F90" s="502">
        <v>53564873.539999999</v>
      </c>
      <c r="G90" s="476">
        <v>1.9983164909531801</v>
      </c>
      <c r="H90" s="472">
        <v>57775938</v>
      </c>
      <c r="I90" s="476">
        <v>1.8724377106559502</v>
      </c>
      <c r="J90" s="472">
        <v>56919463</v>
      </c>
      <c r="K90" s="476">
        <v>1.909408352901711</v>
      </c>
      <c r="L90" s="472">
        <v>83862788</v>
      </c>
      <c r="M90" s="476">
        <v>2.6836092160000002</v>
      </c>
      <c r="N90" s="472">
        <v>41306494</v>
      </c>
      <c r="O90" s="476">
        <v>1.2651299846860644</v>
      </c>
      <c r="P90" s="503">
        <v>2623840.39</v>
      </c>
      <c r="Q90" s="476">
        <v>8.2484765482552652E-2</v>
      </c>
      <c r="R90" s="472">
        <v>0</v>
      </c>
      <c r="S90" s="476">
        <v>0</v>
      </c>
      <c r="T90" s="472">
        <v>0</v>
      </c>
      <c r="U90" s="476">
        <v>0</v>
      </c>
      <c r="V90" s="473">
        <v>0</v>
      </c>
      <c r="W90" s="477">
        <v>0</v>
      </c>
      <c r="X90" s="473">
        <v>0</v>
      </c>
      <c r="Y90" s="474">
        <v>0</v>
      </c>
      <c r="Z90" s="473">
        <v>33716498.799999997</v>
      </c>
      <c r="AA90" s="474">
        <v>0.85202918225007573</v>
      </c>
      <c r="AB90" s="473">
        <v>15000000</v>
      </c>
      <c r="AC90" s="474">
        <v>0.35779028718633721</v>
      </c>
      <c r="AD90" s="473">
        <v>15000000</v>
      </c>
      <c r="AE90" s="477">
        <v>0.34307671195279266</v>
      </c>
      <c r="AF90" s="473">
        <v>15000000</v>
      </c>
      <c r="AG90" s="477">
        <v>0.33065867207477295</v>
      </c>
    </row>
    <row r="91" spans="3:33" ht="14.25" thickTop="1" thickBot="1">
      <c r="C91" s="458" t="s">
        <v>140</v>
      </c>
      <c r="D91" s="459">
        <v>-30856991.240000203</v>
      </c>
      <c r="E91" s="460">
        <v>-1.4359435636837548</v>
      </c>
      <c r="F91" s="459">
        <v>15999364.939999789</v>
      </c>
      <c r="G91" s="461">
        <v>0.59687987091959671</v>
      </c>
      <c r="H91" s="459">
        <v>-107793581.92000027</v>
      </c>
      <c r="I91" s="460">
        <v>-3.4934399118485957</v>
      </c>
      <c r="J91" s="459">
        <v>-283316480.85449982</v>
      </c>
      <c r="K91" s="461">
        <v>-9.5040751712344793</v>
      </c>
      <c r="L91" s="459">
        <v>-298256962.37999976</v>
      </c>
      <c r="M91" s="460">
        <v>-9.5442227961599908</v>
      </c>
      <c r="N91" s="459">
        <v>-322441341.13999987</v>
      </c>
      <c r="O91" s="460">
        <v>-9.8756919185298582</v>
      </c>
      <c r="P91" s="459">
        <v>-330995726.50000018</v>
      </c>
      <c r="Q91" s="460">
        <v>-10.405398506758887</v>
      </c>
      <c r="R91" s="459">
        <v>-374292170.94729954</v>
      </c>
      <c r="S91" s="460">
        <v>-11.133021146558582</v>
      </c>
      <c r="T91" s="459">
        <v>-546532229.68999994</v>
      </c>
      <c r="U91" s="460">
        <v>-15.805322007287659</v>
      </c>
      <c r="V91" s="459">
        <v>-825498088.79999983</v>
      </c>
      <c r="W91" s="463">
        <v>-22.772361070344825</v>
      </c>
      <c r="X91" s="479">
        <v>-662522164.94000006</v>
      </c>
      <c r="Y91" s="463">
        <v>-17.559559102570901</v>
      </c>
      <c r="Z91" s="479">
        <v>-417541815.82191789</v>
      </c>
      <c r="AA91" s="463">
        <v>-10.551445866317545</v>
      </c>
      <c r="AB91" s="479">
        <v>-326774191.49110031</v>
      </c>
      <c r="AC91" s="463">
        <v>-7.7944421212455941</v>
      </c>
      <c r="AD91" s="479">
        <v>-560335421.884763</v>
      </c>
      <c r="AE91" s="463">
        <v>-12.81586894206036</v>
      </c>
      <c r="AF91" s="479">
        <v>-556800089.96434021</v>
      </c>
      <c r="AG91" s="463">
        <v>-12.274051890581523</v>
      </c>
    </row>
    <row r="92" spans="3:33" ht="14.25" thickTop="1" thickBot="1">
      <c r="C92" s="458" t="s">
        <v>120</v>
      </c>
      <c r="D92" s="459">
        <v>30856991.240000326</v>
      </c>
      <c r="E92" s="460">
        <v>1.4359435636837603</v>
      </c>
      <c r="F92" s="459">
        <v>-15999364.939999724</v>
      </c>
      <c r="G92" s="461">
        <v>-0.59687987091959427</v>
      </c>
      <c r="H92" s="459">
        <v>107793582.06999999</v>
      </c>
      <c r="I92" s="460">
        <v>3.4934399167098777</v>
      </c>
      <c r="J92" s="459">
        <v>283312975.93000001</v>
      </c>
      <c r="K92" s="461">
        <v>9.5039575957732314</v>
      </c>
      <c r="L92" s="459">
        <v>298262884.93000001</v>
      </c>
      <c r="M92" s="460">
        <v>9.5444123177599991</v>
      </c>
      <c r="N92" s="459">
        <v>322441341.89999998</v>
      </c>
      <c r="O92" s="460">
        <v>9.8756919418070446</v>
      </c>
      <c r="P92" s="459">
        <v>330995842.13</v>
      </c>
      <c r="Q92" s="460">
        <v>10.405402141779314</v>
      </c>
      <c r="R92" s="459">
        <v>374292826.82730001</v>
      </c>
      <c r="S92" s="460">
        <v>11.133040655184415</v>
      </c>
      <c r="T92" s="459">
        <v>546532229.36000001</v>
      </c>
      <c r="U92" s="460">
        <v>15.805321997744295</v>
      </c>
      <c r="V92" s="459">
        <v>825499520.90999997</v>
      </c>
      <c r="W92" s="463">
        <v>22.772400576827586</v>
      </c>
      <c r="X92" s="479">
        <v>662517405.25999999</v>
      </c>
      <c r="Y92" s="463">
        <v>17.559432951497481</v>
      </c>
      <c r="Z92" s="479">
        <v>417541815.82191789</v>
      </c>
      <c r="AA92" s="463">
        <v>10.551445866317545</v>
      </c>
      <c r="AB92" s="479">
        <v>326774192.49110031</v>
      </c>
      <c r="AC92" s="463">
        <v>7.794442145098281</v>
      </c>
      <c r="AD92" s="479">
        <v>560335422.884763</v>
      </c>
      <c r="AE92" s="463">
        <v>12.81586896493214</v>
      </c>
      <c r="AF92" s="479">
        <v>556800090.96434021</v>
      </c>
      <c r="AG92" s="463">
        <v>12.274051912625435</v>
      </c>
    </row>
    <row r="93" spans="3:33" ht="13.5" thickTop="1">
      <c r="C93" s="471" t="s">
        <v>143</v>
      </c>
      <c r="D93" s="472">
        <v>10687379.58</v>
      </c>
      <c r="E93" s="466">
        <v>0.49734187630880911</v>
      </c>
      <c r="F93" s="472">
        <v>8315797</v>
      </c>
      <c r="G93" s="466">
        <v>0.31023305353478825</v>
      </c>
      <c r="H93" s="472">
        <v>7657882.2599999998</v>
      </c>
      <c r="I93" s="466">
        <v>0.24818130217785844</v>
      </c>
      <c r="J93" s="472">
        <v>108130461</v>
      </c>
      <c r="K93" s="466">
        <v>3.627321737671922</v>
      </c>
      <c r="L93" s="472">
        <v>20068251.93</v>
      </c>
      <c r="M93" s="466">
        <v>0.64218406175999998</v>
      </c>
      <c r="N93" s="472">
        <v>47000000</v>
      </c>
      <c r="O93" s="466">
        <v>1.439509954058193</v>
      </c>
      <c r="P93" s="472">
        <v>63454375.850000001</v>
      </c>
      <c r="Q93" s="466">
        <v>1.9947933307136119</v>
      </c>
      <c r="R93" s="472">
        <v>145350142</v>
      </c>
      <c r="S93" s="466">
        <v>4.3233236763831053</v>
      </c>
      <c r="T93" s="472">
        <v>244935100</v>
      </c>
      <c r="U93" s="466">
        <v>7.0833482749645738</v>
      </c>
      <c r="V93" s="473">
        <v>175248203.14000002</v>
      </c>
      <c r="W93" s="470">
        <v>4.8344331900689657</v>
      </c>
      <c r="X93" s="473">
        <v>317784300</v>
      </c>
      <c r="Y93" s="474">
        <v>8.4225894513649617</v>
      </c>
      <c r="Z93" s="473">
        <v>70000000</v>
      </c>
      <c r="AA93" s="474">
        <v>1.7689275245122815</v>
      </c>
      <c r="AB93" s="473">
        <v>50000000</v>
      </c>
      <c r="AC93" s="474">
        <v>1.192634290621124</v>
      </c>
      <c r="AD93" s="473">
        <v>100000000</v>
      </c>
      <c r="AE93" s="504">
        <v>2.2871780796852841</v>
      </c>
      <c r="AF93" s="473">
        <v>100000000</v>
      </c>
      <c r="AG93" s="504">
        <v>2.2043911471651532</v>
      </c>
    </row>
    <row r="94" spans="3:33">
      <c r="C94" s="471" t="s">
        <v>121</v>
      </c>
      <c r="D94" s="472">
        <v>13153290.85</v>
      </c>
      <c r="E94" s="468">
        <v>0.61209413420819947</v>
      </c>
      <c r="F94" s="472">
        <v>1996377.48</v>
      </c>
      <c r="G94" s="468">
        <v>7.4477801902630106E-2</v>
      </c>
      <c r="H94" s="472">
        <v>2981267.98</v>
      </c>
      <c r="I94" s="468">
        <v>9.6618744490536687E-2</v>
      </c>
      <c r="J94" s="472">
        <v>148637806</v>
      </c>
      <c r="K94" s="468">
        <v>4.9861726266353577</v>
      </c>
      <c r="L94" s="472">
        <v>205373059</v>
      </c>
      <c r="M94" s="468">
        <v>6.5719378879999999</v>
      </c>
      <c r="N94" s="472">
        <v>187652611.97999999</v>
      </c>
      <c r="O94" s="468">
        <v>5.7474000606431845</v>
      </c>
      <c r="P94" s="472">
        <v>258129375.97</v>
      </c>
      <c r="Q94" s="468">
        <v>8.1147241738447029</v>
      </c>
      <c r="R94" s="472">
        <v>188517208.25</v>
      </c>
      <c r="S94" s="468">
        <v>5.6072935232004761</v>
      </c>
      <c r="T94" s="472">
        <v>290814025.5</v>
      </c>
      <c r="U94" s="468">
        <v>8.4101340553515129</v>
      </c>
      <c r="V94" s="473">
        <v>657542120.07999992</v>
      </c>
      <c r="W94" s="474">
        <v>18.139092967724135</v>
      </c>
      <c r="X94" s="473">
        <v>325213413.94999999</v>
      </c>
      <c r="Y94" s="474">
        <v>8.6194914908560829</v>
      </c>
      <c r="Z94" s="473">
        <v>354173823.63486993</v>
      </c>
      <c r="AA94" s="474">
        <v>8.9501117869925686</v>
      </c>
      <c r="AB94" s="473">
        <v>276774191.49110031</v>
      </c>
      <c r="AC94" s="474">
        <v>6.6018078306244705</v>
      </c>
      <c r="AD94" s="473">
        <v>460335421.884763</v>
      </c>
      <c r="AE94" s="505">
        <v>10.528690862375074</v>
      </c>
      <c r="AF94" s="473">
        <v>456800089.96434021</v>
      </c>
      <c r="AG94" s="505">
        <v>10.069660743416369</v>
      </c>
    </row>
    <row r="95" spans="3:33">
      <c r="C95" s="506" t="s">
        <v>326</v>
      </c>
      <c r="D95" s="507">
        <v>20434516.260000002</v>
      </c>
      <c r="E95" s="468">
        <v>0.95092913862906603</v>
      </c>
      <c r="F95" s="507">
        <v>27533307.520000003</v>
      </c>
      <c r="G95" s="468">
        <v>1.0271705845924268</v>
      </c>
      <c r="H95" s="507">
        <v>24817482.77</v>
      </c>
      <c r="I95" s="468">
        <v>0.80430006384495722</v>
      </c>
      <c r="J95" s="507">
        <v>107021362</v>
      </c>
      <c r="K95" s="468">
        <v>3.5901161355249913</v>
      </c>
      <c r="L95" s="507">
        <v>5128634</v>
      </c>
      <c r="M95" s="468">
        <v>0.164116288</v>
      </c>
      <c r="N95" s="507">
        <v>3351251.94</v>
      </c>
      <c r="O95" s="468">
        <v>0.10264171332312405</v>
      </c>
      <c r="P95" s="507">
        <v>3484625.4</v>
      </c>
      <c r="Q95" s="468">
        <v>0.1095449669915121</v>
      </c>
      <c r="R95" s="507">
        <v>11948846.35</v>
      </c>
      <c r="S95" s="468">
        <v>0.35540887418203448</v>
      </c>
      <c r="T95" s="507">
        <v>6691829.7000000002</v>
      </c>
      <c r="U95" s="468">
        <v>0.19352293877787097</v>
      </c>
      <c r="V95" s="508">
        <v>7843144.3499999996</v>
      </c>
      <c r="W95" s="474">
        <v>0.21636260275862068</v>
      </c>
      <c r="X95" s="473">
        <v>4219567.51</v>
      </c>
      <c r="Y95" s="474">
        <v>0.11183587357540417</v>
      </c>
      <c r="Z95" s="473">
        <v>0</v>
      </c>
      <c r="AA95" s="474">
        <v>0</v>
      </c>
      <c r="AB95" s="473">
        <v>0</v>
      </c>
      <c r="AC95" s="474">
        <v>0</v>
      </c>
      <c r="AD95" s="473">
        <v>0</v>
      </c>
      <c r="AE95" s="505">
        <v>0</v>
      </c>
      <c r="AF95" s="473">
        <v>0</v>
      </c>
      <c r="AG95" s="505">
        <v>0</v>
      </c>
    </row>
    <row r="96" spans="3:33" ht="13.5" thickBot="1">
      <c r="C96" s="509" t="s">
        <v>124</v>
      </c>
      <c r="D96" s="490">
        <v>-13608071.219999671</v>
      </c>
      <c r="E96" s="476">
        <v>-0.63325753734467272</v>
      </c>
      <c r="F96" s="490">
        <v>-53930959.789999723</v>
      </c>
      <c r="G96" s="476">
        <v>-2.0119738776347593</v>
      </c>
      <c r="H96" s="490">
        <v>70101257</v>
      </c>
      <c r="I96" s="476">
        <v>2.2718841392273785</v>
      </c>
      <c r="J96" s="490">
        <v>-86496209</v>
      </c>
      <c r="K96" s="476">
        <v>-2.9015836632002681</v>
      </c>
      <c r="L96" s="490">
        <v>64911113</v>
      </c>
      <c r="M96" s="476">
        <v>2.0771556159999998</v>
      </c>
      <c r="N96" s="490">
        <v>80423128</v>
      </c>
      <c r="O96" s="476">
        <v>2.4631892189892803</v>
      </c>
      <c r="P96" s="490">
        <v>891026</v>
      </c>
      <c r="Q96" s="476">
        <v>2.8010877082678402E-2</v>
      </c>
      <c r="R96" s="490">
        <v>14038525</v>
      </c>
      <c r="S96" s="476">
        <v>0.41756469363474125</v>
      </c>
      <c r="T96" s="490">
        <v>-5356216</v>
      </c>
      <c r="U96" s="476">
        <v>-0.15489794383874605</v>
      </c>
      <c r="V96" s="490">
        <v>-7640432.4100000001</v>
      </c>
      <c r="W96" s="477">
        <v>-0.21077054924137931</v>
      </c>
      <c r="X96" s="493">
        <v>15300123.799999952</v>
      </c>
      <c r="Y96" s="477">
        <v>0.4055161357010324</v>
      </c>
      <c r="Z96" s="493">
        <v>-6632007.8129520416</v>
      </c>
      <c r="AA96" s="477">
        <v>-0.16759344518730521</v>
      </c>
      <c r="AB96" s="493">
        <v>1</v>
      </c>
      <c r="AC96" s="477">
        <v>2.3852685812422477E-8</v>
      </c>
      <c r="AD96" s="493">
        <v>1</v>
      </c>
      <c r="AE96" s="477">
        <v>2.2871780796852843E-8</v>
      </c>
      <c r="AF96" s="493">
        <v>1</v>
      </c>
      <c r="AG96" s="477">
        <v>2.204391147165153E-8</v>
      </c>
    </row>
    <row r="97" spans="3:3" ht="13.5" thickTop="1">
      <c r="C97" t="s">
        <v>264</v>
      </c>
    </row>
  </sheetData>
  <mergeCells count="32">
    <mergeCell ref="N11:O11"/>
    <mergeCell ref="D11:E11"/>
    <mergeCell ref="F11:G11"/>
    <mergeCell ref="H11:I11"/>
    <mergeCell ref="J11:K11"/>
    <mergeCell ref="L11:M11"/>
    <mergeCell ref="AB11:AC11"/>
    <mergeCell ref="AD11:AE11"/>
    <mergeCell ref="AF11:AG11"/>
    <mergeCell ref="N12:O12"/>
    <mergeCell ref="C13:C14"/>
    <mergeCell ref="D13:E13"/>
    <mergeCell ref="F13:G13"/>
    <mergeCell ref="H13:I13"/>
    <mergeCell ref="J13:K13"/>
    <mergeCell ref="L13:M13"/>
    <mergeCell ref="P11:Q11"/>
    <mergeCell ref="R11:S11"/>
    <mergeCell ref="T11:U11"/>
    <mergeCell ref="V11:W11"/>
    <mergeCell ref="X11:Y11"/>
    <mergeCell ref="Z11:AA11"/>
    <mergeCell ref="Z13:AA13"/>
    <mergeCell ref="AB13:AC13"/>
    <mergeCell ref="AD13:AE13"/>
    <mergeCell ref="AF13:AG13"/>
    <mergeCell ref="N13:O13"/>
    <mergeCell ref="P13:Q13"/>
    <mergeCell ref="R13:S13"/>
    <mergeCell ref="T13:U13"/>
    <mergeCell ref="V13:W13"/>
    <mergeCell ref="X13:Y13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C10:K97"/>
  <sheetViews>
    <sheetView topLeftCell="A57" workbookViewId="0">
      <selection activeCell="I84" sqref="I84"/>
    </sheetView>
  </sheetViews>
  <sheetFormatPr defaultRowHeight="12.75"/>
  <cols>
    <col min="3" max="3" width="40.85546875" customWidth="1"/>
    <col min="4" max="4" width="12.5703125" bestFit="1" customWidth="1"/>
  </cols>
  <sheetData>
    <row r="10" spans="3:11" ht="13.5" thickBot="1"/>
    <row r="11" spans="3:11" ht="16.5" thickTop="1" thickBot="1">
      <c r="C11" s="449" t="s">
        <v>368</v>
      </c>
      <c r="D11" s="542" t="s">
        <v>502</v>
      </c>
      <c r="E11" s="542"/>
      <c r="F11" s="542"/>
      <c r="G11" s="542"/>
      <c r="H11" s="542"/>
      <c r="I11" s="542"/>
      <c r="J11" s="542"/>
      <c r="K11" s="542"/>
    </row>
    <row r="12" spans="3:11" ht="15" thickTop="1" thickBot="1">
      <c r="C12" s="450"/>
      <c r="D12" s="543"/>
      <c r="E12" s="543"/>
      <c r="F12" s="543"/>
      <c r="G12" s="543"/>
      <c r="H12" s="543"/>
      <c r="I12" s="543"/>
      <c r="J12" s="543"/>
      <c r="K12" s="543"/>
    </row>
    <row r="13" spans="3:11" ht="13.5" thickTop="1">
      <c r="C13" s="544" t="s">
        <v>126</v>
      </c>
      <c r="D13" s="546">
        <v>2017</v>
      </c>
      <c r="E13" s="547"/>
      <c r="F13" s="546">
        <v>2018</v>
      </c>
      <c r="G13" s="547"/>
      <c r="H13" s="546">
        <v>2019</v>
      </c>
      <c r="I13" s="547"/>
      <c r="J13" s="546" t="s">
        <v>423</v>
      </c>
      <c r="K13" s="547"/>
    </row>
    <row r="14" spans="3:11" ht="13.5" thickBot="1">
      <c r="C14" s="545" t="s">
        <v>126</v>
      </c>
      <c r="D14" s="452" t="s">
        <v>261</v>
      </c>
      <c r="E14" s="455" t="s">
        <v>501</v>
      </c>
      <c r="F14" s="452" t="s">
        <v>261</v>
      </c>
      <c r="G14" s="455" t="s">
        <v>501</v>
      </c>
      <c r="H14" s="452" t="s">
        <v>261</v>
      </c>
      <c r="I14" s="455" t="s">
        <v>501</v>
      </c>
      <c r="J14" s="452" t="s">
        <v>261</v>
      </c>
      <c r="K14" s="455" t="s">
        <v>501</v>
      </c>
    </row>
    <row r="15" spans="3:11" ht="14.25" thickTop="1" thickBot="1">
      <c r="C15" s="458" t="s">
        <v>127</v>
      </c>
      <c r="D15" s="473">
        <f>'Cental Budget'!Z15-'Central budget fiskalna'!Z15</f>
        <v>-12000084.858081579</v>
      </c>
      <c r="E15" s="510">
        <f>'Cental Budget'!Z15/'Central budget fiskalna'!Z15*100-100</f>
        <v>-0.76033152224472644</v>
      </c>
      <c r="F15" s="473" t="e">
        <f>'Cental Budget'!#REF!-'Central budget fiskalna'!AB15</f>
        <v>#REF!</v>
      </c>
      <c r="G15" s="510" t="e">
        <f>'Cental Budget'!#REF!/'Central budget fiskalna'!AB15*100-100</f>
        <v>#REF!</v>
      </c>
      <c r="H15" s="473" t="e">
        <f>'Cental Budget'!#REF!-'Central budget fiskalna'!AD15</f>
        <v>#REF!</v>
      </c>
      <c r="I15" s="510" t="e">
        <f>'Cental Budget'!#REF!/'Central budget fiskalna'!AD15*100-100</f>
        <v>#REF!</v>
      </c>
      <c r="J15" s="473" t="e">
        <f>'Cental Budget'!#REF!-'Central budget fiskalna'!AF15</f>
        <v>#REF!</v>
      </c>
      <c r="K15" s="510" t="e">
        <f>'Cental Budget'!#REF!/'Central budget fiskalna'!AF15*100-100</f>
        <v>#REF!</v>
      </c>
    </row>
    <row r="16" spans="3:11" ht="13.5" thickTop="1">
      <c r="C16" s="464" t="s">
        <v>2</v>
      </c>
      <c r="D16" s="473">
        <f>'Cental Budget'!Z16-'Central budget fiskalna'!Z16</f>
        <v>3118333.8900663853</v>
      </c>
      <c r="E16" s="510">
        <f>'Cental Budget'!Z16/'Central budget fiskalna'!Z16*100-100</f>
        <v>0.32212953799279376</v>
      </c>
      <c r="F16" s="473" t="e">
        <f>'Cental Budget'!#REF!-'Central budget fiskalna'!AB16</f>
        <v>#REF!</v>
      </c>
      <c r="G16" s="510" t="e">
        <f>'Cental Budget'!#REF!/'Central budget fiskalna'!AB16*100-100</f>
        <v>#REF!</v>
      </c>
      <c r="H16" s="473" t="e">
        <f>'Cental Budget'!#REF!-'Central budget fiskalna'!AD16</f>
        <v>#REF!</v>
      </c>
      <c r="I16" s="510" t="e">
        <f>'Cental Budget'!#REF!/'Central budget fiskalna'!AD16*100-100</f>
        <v>#REF!</v>
      </c>
      <c r="J16" s="473" t="e">
        <f>'Cental Budget'!#REF!-'Central budget fiskalna'!AF16</f>
        <v>#REF!</v>
      </c>
      <c r="K16" s="510" t="e">
        <f>'Cental Budget'!#REF!/'Central budget fiskalna'!AF16*100-100</f>
        <v>#REF!</v>
      </c>
    </row>
    <row r="17" spans="3:11">
      <c r="C17" s="471" t="s">
        <v>3</v>
      </c>
      <c r="D17" s="473">
        <f>'Cental Budget'!Z17-'Central budget fiskalna'!Z17</f>
        <v>-19832661.321772724</v>
      </c>
      <c r="E17" s="510">
        <f>'Cental Budget'!Z17/'Central budget fiskalna'!Z17*100-100</f>
        <v>-15.045818757982786</v>
      </c>
      <c r="F17" s="473" t="e">
        <f>'Cental Budget'!#REF!-'Central budget fiskalna'!AB17</f>
        <v>#REF!</v>
      </c>
      <c r="G17" s="510" t="e">
        <f>'Cental Budget'!#REF!/'Central budget fiskalna'!AB17*100-100</f>
        <v>#REF!</v>
      </c>
      <c r="H17" s="473" t="e">
        <f>'Cental Budget'!#REF!-'Central budget fiskalna'!AD17</f>
        <v>#REF!</v>
      </c>
      <c r="I17" s="510" t="e">
        <f>'Cental Budget'!#REF!/'Central budget fiskalna'!AD17*100-100</f>
        <v>#REF!</v>
      </c>
      <c r="J17" s="473" t="e">
        <f>'Cental Budget'!#REF!-'Central budget fiskalna'!AF17</f>
        <v>#REF!</v>
      </c>
      <c r="K17" s="510" t="e">
        <f>'Cental Budget'!#REF!/'Central budget fiskalna'!AF17*100-100</f>
        <v>#REF!</v>
      </c>
    </row>
    <row r="18" spans="3:11">
      <c r="C18" s="471" t="s">
        <v>5</v>
      </c>
      <c r="D18" s="473">
        <f>'Cental Budget'!Z18-'Central budget fiskalna'!Z18</f>
        <v>1216470.5887304544</v>
      </c>
      <c r="E18" s="510">
        <f>'Cental Budget'!Z18/'Central budget fiskalna'!Z18*100-100</f>
        <v>2.5336786377345248</v>
      </c>
      <c r="F18" s="473" t="e">
        <f>'Cental Budget'!#REF!-'Central budget fiskalna'!AB18</f>
        <v>#REF!</v>
      </c>
      <c r="G18" s="510" t="e">
        <f>'Cental Budget'!#REF!/'Central budget fiskalna'!AB18*100-100</f>
        <v>#REF!</v>
      </c>
      <c r="H18" s="473" t="e">
        <f>'Cental Budget'!#REF!-'Central budget fiskalna'!AD18</f>
        <v>#REF!</v>
      </c>
      <c r="I18" s="510" t="e">
        <f>'Cental Budget'!#REF!/'Central budget fiskalna'!AD18*100-100</f>
        <v>#REF!</v>
      </c>
      <c r="J18" s="473" t="e">
        <f>'Cental Budget'!#REF!-'Central budget fiskalna'!AF18</f>
        <v>#REF!</v>
      </c>
      <c r="K18" s="510" t="e">
        <f>'Cental Budget'!#REF!/'Central budget fiskalna'!AF18*100-100</f>
        <v>#REF!</v>
      </c>
    </row>
    <row r="19" spans="3:11">
      <c r="C19" s="471" t="s">
        <v>7</v>
      </c>
      <c r="D19" s="473">
        <f>'Cental Budget'!Z19-'Central budget fiskalna'!Z19</f>
        <v>-2299366.938363296</v>
      </c>
      <c r="E19" s="510">
        <f>'Cental Budget'!Z19/'Central budget fiskalna'!Z19*100-100</f>
        <v>-60.129391067157492</v>
      </c>
      <c r="F19" s="473" t="e">
        <f>'Cental Budget'!#REF!-'Central budget fiskalna'!AB19</f>
        <v>#REF!</v>
      </c>
      <c r="G19" s="510" t="e">
        <f>'Cental Budget'!#REF!/'Central budget fiskalna'!AB19*100-100</f>
        <v>#REF!</v>
      </c>
      <c r="H19" s="473" t="e">
        <f>'Cental Budget'!#REF!-'Central budget fiskalna'!AD19</f>
        <v>#REF!</v>
      </c>
      <c r="I19" s="510" t="e">
        <f>'Cental Budget'!#REF!/'Central budget fiskalna'!AD19*100-100</f>
        <v>#REF!</v>
      </c>
      <c r="J19" s="473" t="e">
        <f>'Cental Budget'!#REF!-'Central budget fiskalna'!AF19</f>
        <v>#REF!</v>
      </c>
      <c r="K19" s="510" t="e">
        <f>'Cental Budget'!#REF!/'Central budget fiskalna'!AF19*100-100</f>
        <v>#REF!</v>
      </c>
    </row>
    <row r="20" spans="3:11">
      <c r="C20" s="471" t="s">
        <v>9</v>
      </c>
      <c r="D20" s="473">
        <f>'Cental Budget'!Z20-'Central budget fiskalna'!Z20</f>
        <v>14036337.5053702</v>
      </c>
      <c r="E20" s="510">
        <f>'Cental Budget'!Z20/'Central budget fiskalna'!Z20*100-100</f>
        <v>2.625213271531706</v>
      </c>
      <c r="F20" s="473" t="e">
        <f>'Cental Budget'!#REF!-'Central budget fiskalna'!AB20</f>
        <v>#REF!</v>
      </c>
      <c r="G20" s="510" t="e">
        <f>'Cental Budget'!#REF!/'Central budget fiskalna'!AB20*100-100</f>
        <v>#REF!</v>
      </c>
      <c r="H20" s="473" t="e">
        <f>'Cental Budget'!#REF!-'Central budget fiskalna'!AD20</f>
        <v>#REF!</v>
      </c>
      <c r="I20" s="510" t="e">
        <f>'Cental Budget'!#REF!/'Central budget fiskalna'!AD20*100-100</f>
        <v>#REF!</v>
      </c>
      <c r="J20" s="473" t="e">
        <f>'Cental Budget'!#REF!-'Central budget fiskalna'!AF20</f>
        <v>#REF!</v>
      </c>
      <c r="K20" s="510" t="e">
        <f>'Cental Budget'!#REF!/'Central budget fiskalna'!AF20*100-100</f>
        <v>#REF!</v>
      </c>
    </row>
    <row r="21" spans="3:11">
      <c r="C21" s="471" t="s">
        <v>12</v>
      </c>
      <c r="D21" s="473">
        <f>'Cental Budget'!Z21-'Central budget fiskalna'!Z21</f>
        <v>9747930.3878699541</v>
      </c>
      <c r="E21" s="510">
        <f>'Cental Budget'!Z21/'Central budget fiskalna'!Z21*100-100</f>
        <v>4.5268259987063715</v>
      </c>
      <c r="F21" s="473" t="e">
        <f>'Cental Budget'!#REF!-'Central budget fiskalna'!AB21</f>
        <v>#REF!</v>
      </c>
      <c r="G21" s="510" t="e">
        <f>'Cental Budget'!#REF!/'Central budget fiskalna'!AB21*100-100</f>
        <v>#REF!</v>
      </c>
      <c r="H21" s="473" t="e">
        <f>'Cental Budget'!#REF!-'Central budget fiskalna'!AD21</f>
        <v>#REF!</v>
      </c>
      <c r="I21" s="510" t="e">
        <f>'Cental Budget'!#REF!/'Central budget fiskalna'!AD21*100-100</f>
        <v>#REF!</v>
      </c>
      <c r="J21" s="473" t="e">
        <f>'Cental Budget'!#REF!-'Central budget fiskalna'!AF21</f>
        <v>#REF!</v>
      </c>
      <c r="K21" s="510" t="e">
        <f>'Cental Budget'!#REF!/'Central budget fiskalna'!AF21*100-100</f>
        <v>#REF!</v>
      </c>
    </row>
    <row r="22" spans="3:11">
      <c r="C22" s="471" t="s">
        <v>14</v>
      </c>
      <c r="D22" s="473">
        <f>'Cental Budget'!Z22-'Central budget fiskalna'!Z22</f>
        <v>813328.90327999368</v>
      </c>
      <c r="E22" s="510">
        <f>'Cental Budget'!Z22/'Central budget fiskalna'!Z22*100-100</f>
        <v>3.3046739613667171</v>
      </c>
      <c r="F22" s="473" t="e">
        <f>'Cental Budget'!#REF!-'Central budget fiskalna'!AB22</f>
        <v>#REF!</v>
      </c>
      <c r="G22" s="510" t="e">
        <f>'Cental Budget'!#REF!/'Central budget fiskalna'!AB22*100-100</f>
        <v>#REF!</v>
      </c>
      <c r="H22" s="473" t="e">
        <f>'Cental Budget'!#REF!-'Central budget fiskalna'!AD22</f>
        <v>#REF!</v>
      </c>
      <c r="I22" s="510" t="e">
        <f>'Cental Budget'!#REF!/'Central budget fiskalna'!AD22*100-100</f>
        <v>#REF!</v>
      </c>
      <c r="J22" s="473" t="e">
        <f>'Cental Budget'!#REF!-'Central budget fiskalna'!AF22</f>
        <v>#REF!</v>
      </c>
      <c r="K22" s="510" t="e">
        <f>'Cental Budget'!#REF!/'Central budget fiskalna'!AF22*100-100</f>
        <v>#REF!</v>
      </c>
    </row>
    <row r="23" spans="3:11">
      <c r="C23" s="471" t="s">
        <v>404</v>
      </c>
      <c r="D23" s="473">
        <f>'Cental Budget'!Z23-'Central budget fiskalna'!Z23</f>
        <v>-563705.23504814878</v>
      </c>
      <c r="E23" s="510">
        <f>'Cental Budget'!Z23/'Central budget fiskalna'!Z23*100-100</f>
        <v>-5.7736307113517427</v>
      </c>
      <c r="F23" s="473" t="e">
        <f>'Cental Budget'!#REF!-'Central budget fiskalna'!AB23</f>
        <v>#REF!</v>
      </c>
      <c r="G23" s="510" t="e">
        <f>'Cental Budget'!#REF!/'Central budget fiskalna'!AB23*100-100</f>
        <v>#REF!</v>
      </c>
      <c r="H23" s="473" t="e">
        <f>'Cental Budget'!#REF!-'Central budget fiskalna'!AD23</f>
        <v>#REF!</v>
      </c>
      <c r="I23" s="510" t="e">
        <f>'Cental Budget'!#REF!/'Central budget fiskalna'!AD23*100-100</f>
        <v>#REF!</v>
      </c>
      <c r="J23" s="473" t="e">
        <f>'Cental Budget'!#REF!-'Central budget fiskalna'!AF23</f>
        <v>#REF!</v>
      </c>
      <c r="K23" s="510" t="e">
        <f>'Cental Budget'!#REF!/'Central budget fiskalna'!AF23*100-100</f>
        <v>#REF!</v>
      </c>
    </row>
    <row r="24" spans="3:11">
      <c r="C24" s="464" t="s">
        <v>18</v>
      </c>
      <c r="D24" s="473">
        <f>'Cental Budget'!Z24-'Central budget fiskalna'!Z24</f>
        <v>-4708974.5331289768</v>
      </c>
      <c r="E24" s="510">
        <f>'Cental Budget'!Z24/'Central budget fiskalna'!Z24*100-100</f>
        <v>-0.94243273199309385</v>
      </c>
      <c r="F24" s="473" t="e">
        <f>'Cental Budget'!#REF!-'Central budget fiskalna'!AB24</f>
        <v>#REF!</v>
      </c>
      <c r="G24" s="510" t="e">
        <f>'Cental Budget'!#REF!/'Central budget fiskalna'!AB24*100-100</f>
        <v>#REF!</v>
      </c>
      <c r="H24" s="473" t="e">
        <f>'Cental Budget'!#REF!-'Central budget fiskalna'!AD24</f>
        <v>#REF!</v>
      </c>
      <c r="I24" s="510" t="e">
        <f>'Cental Budget'!#REF!/'Central budget fiskalna'!AD24*100-100</f>
        <v>#REF!</v>
      </c>
      <c r="J24" s="473" t="e">
        <f>'Cental Budget'!#REF!-'Central budget fiskalna'!AF24</f>
        <v>#REF!</v>
      </c>
      <c r="K24" s="510" t="e">
        <f>'Cental Budget'!#REF!/'Central budget fiskalna'!AF24*100-100</f>
        <v>#REF!</v>
      </c>
    </row>
    <row r="25" spans="3:11">
      <c r="C25" s="471" t="s">
        <v>20</v>
      </c>
      <c r="D25" s="473">
        <f>'Cental Budget'!Z25-'Central budget fiskalna'!Z25</f>
        <v>6286197.2275363207</v>
      </c>
      <c r="E25" s="510">
        <f>'Cental Budget'!Z25/'Central budget fiskalna'!Z25*100-100</f>
        <v>2.1183059697098514</v>
      </c>
      <c r="F25" s="473" t="e">
        <f>'Cental Budget'!#REF!-'Central budget fiskalna'!AB25</f>
        <v>#REF!</v>
      </c>
      <c r="G25" s="510" t="e">
        <f>'Cental Budget'!#REF!/'Central budget fiskalna'!AB25*100-100</f>
        <v>#REF!</v>
      </c>
      <c r="H25" s="473" t="e">
        <f>'Cental Budget'!#REF!-'Central budget fiskalna'!AD25</f>
        <v>#REF!</v>
      </c>
      <c r="I25" s="510" t="e">
        <f>'Cental Budget'!#REF!/'Central budget fiskalna'!AD25*100-100</f>
        <v>#REF!</v>
      </c>
      <c r="J25" s="473" t="e">
        <f>'Cental Budget'!#REF!-'Central budget fiskalna'!AF25</f>
        <v>#REF!</v>
      </c>
      <c r="K25" s="510" t="e">
        <f>'Cental Budget'!#REF!/'Central budget fiskalna'!AF25*100-100</f>
        <v>#REF!</v>
      </c>
    </row>
    <row r="26" spans="3:11">
      <c r="C26" s="471" t="s">
        <v>22</v>
      </c>
      <c r="D26" s="473">
        <f>'Cental Budget'!Z26-'Central budget fiskalna'!Z26</f>
        <v>-9142102.1679182351</v>
      </c>
      <c r="E26" s="510">
        <f>'Cental Budget'!Z26/'Central budget fiskalna'!Z26*100-100</f>
        <v>-5.178406296914261</v>
      </c>
      <c r="F26" s="473" t="e">
        <f>'Cental Budget'!#REF!-'Central budget fiskalna'!AB26</f>
        <v>#REF!</v>
      </c>
      <c r="G26" s="510" t="e">
        <f>'Cental Budget'!#REF!/'Central budget fiskalna'!AB26*100-100</f>
        <v>#REF!</v>
      </c>
      <c r="H26" s="473" t="e">
        <f>'Cental Budget'!#REF!-'Central budget fiskalna'!AD26</f>
        <v>#REF!</v>
      </c>
      <c r="I26" s="510" t="e">
        <f>'Cental Budget'!#REF!/'Central budget fiskalna'!AD26*100-100</f>
        <v>#REF!</v>
      </c>
      <c r="J26" s="473" t="e">
        <f>'Cental Budget'!#REF!-'Central budget fiskalna'!AF26</f>
        <v>#REF!</v>
      </c>
      <c r="K26" s="510" t="e">
        <f>'Cental Budget'!#REF!/'Central budget fiskalna'!AF26*100-100</f>
        <v>#REF!</v>
      </c>
    </row>
    <row r="27" spans="3:11">
      <c r="C27" s="471" t="s">
        <v>24</v>
      </c>
      <c r="D27" s="473">
        <f>'Cental Budget'!Z27-'Central budget fiskalna'!Z27</f>
        <v>-1374067.4198629092</v>
      </c>
      <c r="E27" s="510">
        <f>'Cental Budget'!Z27/'Central budget fiskalna'!Z27*100-100</f>
        <v>-9.8362583782180764</v>
      </c>
      <c r="F27" s="473" t="e">
        <f>'Cental Budget'!#REF!-'Central budget fiskalna'!AB27</f>
        <v>#REF!</v>
      </c>
      <c r="G27" s="510" t="e">
        <f>'Cental Budget'!#REF!/'Central budget fiskalna'!AB27*100-100</f>
        <v>#REF!</v>
      </c>
      <c r="H27" s="473" t="e">
        <f>'Cental Budget'!#REF!-'Central budget fiskalna'!AD27</f>
        <v>#REF!</v>
      </c>
      <c r="I27" s="510" t="e">
        <f>'Cental Budget'!#REF!/'Central budget fiskalna'!AD27*100-100</f>
        <v>#REF!</v>
      </c>
      <c r="J27" s="473" t="e">
        <f>'Cental Budget'!#REF!-'Central budget fiskalna'!AF27</f>
        <v>#REF!</v>
      </c>
      <c r="K27" s="510" t="e">
        <f>'Cental Budget'!#REF!/'Central budget fiskalna'!AF27*100-100</f>
        <v>#REF!</v>
      </c>
    </row>
    <row r="28" spans="3:11">
      <c r="C28" s="471" t="s">
        <v>26</v>
      </c>
      <c r="D28" s="473">
        <f>'Cental Budget'!Z28-'Central budget fiskalna'!Z28</f>
        <v>-479002.17288418487</v>
      </c>
      <c r="E28" s="510">
        <f>'Cental Budget'!Z28/'Central budget fiskalna'!Z28*100-100</f>
        <v>-3.8649297635931816</v>
      </c>
      <c r="F28" s="473" t="e">
        <f>'Cental Budget'!#REF!-'Central budget fiskalna'!AB28</f>
        <v>#REF!</v>
      </c>
      <c r="G28" s="510" t="e">
        <f>'Cental Budget'!#REF!/'Central budget fiskalna'!AB28*100-100</f>
        <v>#REF!</v>
      </c>
      <c r="H28" s="473" t="e">
        <f>'Cental Budget'!#REF!-'Central budget fiskalna'!AD28</f>
        <v>#REF!</v>
      </c>
      <c r="I28" s="510" t="e">
        <f>'Cental Budget'!#REF!/'Central budget fiskalna'!AD28*100-100</f>
        <v>#REF!</v>
      </c>
      <c r="J28" s="473" t="e">
        <f>'Cental Budget'!#REF!-'Central budget fiskalna'!AF28</f>
        <v>#REF!</v>
      </c>
      <c r="K28" s="510" t="e">
        <f>'Cental Budget'!#REF!/'Central budget fiskalna'!AF28*100-100</f>
        <v>#REF!</v>
      </c>
    </row>
    <row r="29" spans="3:11">
      <c r="C29" s="464" t="s">
        <v>28</v>
      </c>
      <c r="D29" s="473">
        <f>'Cental Budget'!Z29-'Central budget fiskalna'!Z29</f>
        <v>372336.19653999992</v>
      </c>
      <c r="E29" s="510">
        <f>'Cental Budget'!Z29/'Central budget fiskalna'!Z29*100-100</f>
        <v>2.81206494222792</v>
      </c>
      <c r="F29" s="473" t="e">
        <f>'Cental Budget'!#REF!-'Central budget fiskalna'!AB29</f>
        <v>#REF!</v>
      </c>
      <c r="G29" s="510" t="e">
        <f>'Cental Budget'!#REF!/'Central budget fiskalna'!AB29*100-100</f>
        <v>#REF!</v>
      </c>
      <c r="H29" s="473" t="e">
        <f>'Cental Budget'!#REF!-'Central budget fiskalna'!AD29</f>
        <v>#REF!</v>
      </c>
      <c r="I29" s="510" t="e">
        <f>'Cental Budget'!#REF!/'Central budget fiskalna'!AD29*100-100</f>
        <v>#REF!</v>
      </c>
      <c r="J29" s="473" t="e">
        <f>'Cental Budget'!#REF!-'Central budget fiskalna'!AF29</f>
        <v>#REF!</v>
      </c>
      <c r="K29" s="510" t="e">
        <f>'Cental Budget'!#REF!/'Central budget fiskalna'!AF29*100-100</f>
        <v>#REF!</v>
      </c>
    </row>
    <row r="30" spans="3:11">
      <c r="C30" s="471" t="s">
        <v>30</v>
      </c>
      <c r="D30" s="473">
        <f>'Cental Budget'!Z30-'Central budget fiskalna'!Z30</f>
        <v>393473.37380999885</v>
      </c>
      <c r="E30" s="510">
        <f>'Cental Budget'!Z30/'Central budget fiskalna'!Z30*100-100</f>
        <v>4.7458310196291507</v>
      </c>
      <c r="F30" s="473" t="e">
        <f>'Cental Budget'!#REF!-'Central budget fiskalna'!AB30</f>
        <v>#REF!</v>
      </c>
      <c r="G30" s="510" t="e">
        <f>'Cental Budget'!#REF!/'Central budget fiskalna'!AB30*100-100</f>
        <v>#REF!</v>
      </c>
      <c r="H30" s="473" t="e">
        <f>'Cental Budget'!#REF!-'Central budget fiskalna'!AD30</f>
        <v>#REF!</v>
      </c>
      <c r="I30" s="510" t="e">
        <f>'Cental Budget'!#REF!/'Central budget fiskalna'!AD30*100-100</f>
        <v>#REF!</v>
      </c>
      <c r="J30" s="473" t="e">
        <f>'Cental Budget'!#REF!-'Central budget fiskalna'!AF30</f>
        <v>#REF!</v>
      </c>
      <c r="K30" s="510" t="e">
        <f>'Cental Budget'!#REF!/'Central budget fiskalna'!AF30*100-100</f>
        <v>#REF!</v>
      </c>
    </row>
    <row r="31" spans="3:11">
      <c r="C31" s="471" t="s">
        <v>31</v>
      </c>
      <c r="D31" s="473">
        <f>'Cental Budget'!Z31-'Central budget fiskalna'!Z31</f>
        <v>-177060.37580999965</v>
      </c>
      <c r="E31" s="510">
        <f>'Cental Budget'!Z31/'Central budget fiskalna'!Z31*100-100</f>
        <v>-12.059676645332033</v>
      </c>
      <c r="F31" s="473" t="e">
        <f>'Cental Budget'!#REF!-'Central budget fiskalna'!AB31</f>
        <v>#REF!</v>
      </c>
      <c r="G31" s="510" t="e">
        <f>'Cental Budget'!#REF!/'Central budget fiskalna'!AB31*100-100</f>
        <v>#REF!</v>
      </c>
      <c r="H31" s="473" t="e">
        <f>'Cental Budget'!#REF!-'Central budget fiskalna'!AD31</f>
        <v>#REF!</v>
      </c>
      <c r="I31" s="510" t="e">
        <f>'Cental Budget'!#REF!/'Central budget fiskalna'!AD31*100-100</f>
        <v>#REF!</v>
      </c>
      <c r="J31" s="473" t="e">
        <f>'Cental Budget'!#REF!-'Central budget fiskalna'!AF31</f>
        <v>#REF!</v>
      </c>
      <c r="K31" s="510" t="e">
        <f>'Cental Budget'!#REF!/'Central budget fiskalna'!AF31*100-100</f>
        <v>#REF!</v>
      </c>
    </row>
    <row r="32" spans="3:11">
      <c r="C32" s="471" t="s">
        <v>33</v>
      </c>
      <c r="D32" s="473">
        <f>'Cental Budget'!Z32-'Central budget fiskalna'!Z32</f>
        <v>133827.54321000027</v>
      </c>
      <c r="E32" s="510">
        <f>'Cental Budget'!Z32/'Central budget fiskalna'!Z32*100-100</f>
        <v>10.87215731160569</v>
      </c>
      <c r="F32" s="473" t="e">
        <f>'Cental Budget'!#REF!-'Central budget fiskalna'!AB32</f>
        <v>#REF!</v>
      </c>
      <c r="G32" s="510" t="e">
        <f>'Cental Budget'!#REF!/'Central budget fiskalna'!AB32*100-100</f>
        <v>#REF!</v>
      </c>
      <c r="H32" s="473" t="e">
        <f>'Cental Budget'!#REF!-'Central budget fiskalna'!AD32</f>
        <v>#REF!</v>
      </c>
      <c r="I32" s="510" t="e">
        <f>'Cental Budget'!#REF!/'Central budget fiskalna'!AD32*100-100</f>
        <v>#REF!</v>
      </c>
      <c r="J32" s="473" t="e">
        <f>'Cental Budget'!#REF!-'Central budget fiskalna'!AF32</f>
        <v>#REF!</v>
      </c>
      <c r="K32" s="510" t="e">
        <f>'Cental Budget'!#REF!/'Central budget fiskalna'!AF32*100-100</f>
        <v>#REF!</v>
      </c>
    </row>
    <row r="33" spans="3:11">
      <c r="C33" s="471" t="s">
        <v>36</v>
      </c>
      <c r="D33" s="473">
        <f>'Cental Budget'!Z33-'Central budget fiskalna'!Z33</f>
        <v>22095.65532999998</v>
      </c>
      <c r="E33" s="510">
        <f>'Cental Budget'!Z33/'Central budget fiskalna'!Z33*100-100</f>
        <v>0.98175851618604781</v>
      </c>
      <c r="F33" s="473" t="e">
        <f>'Cental Budget'!#REF!-'Central budget fiskalna'!AB33</f>
        <v>#REF!</v>
      </c>
      <c r="G33" s="510" t="e">
        <f>'Cental Budget'!#REF!/'Central budget fiskalna'!AB33*100-100</f>
        <v>#REF!</v>
      </c>
      <c r="H33" s="473" t="e">
        <f>'Cental Budget'!#REF!-'Central budget fiskalna'!AD33</f>
        <v>#REF!</v>
      </c>
      <c r="I33" s="510" t="e">
        <f>'Cental Budget'!#REF!/'Central budget fiskalna'!AD33*100-100</f>
        <v>#REF!</v>
      </c>
      <c r="J33" s="473" t="e">
        <f>'Cental Budget'!#REF!-'Central budget fiskalna'!AF33</f>
        <v>#REF!</v>
      </c>
      <c r="K33" s="510" t="e">
        <f>'Cental Budget'!#REF!/'Central budget fiskalna'!AF33*100-100</f>
        <v>#REF!</v>
      </c>
    </row>
    <row r="34" spans="3:11">
      <c r="C34" s="464" t="s">
        <v>38</v>
      </c>
      <c r="D34" s="473">
        <f>'Cental Budget'!Z34-'Central budget fiskalna'!Z34</f>
        <v>-6324811.8751941249</v>
      </c>
      <c r="E34" s="510">
        <f>'Cental Budget'!Z34/'Central budget fiskalna'!Z34*100-100</f>
        <v>-25.006583446348344</v>
      </c>
      <c r="F34" s="473" t="e">
        <f>'Cental Budget'!#REF!-'Central budget fiskalna'!AB34</f>
        <v>#REF!</v>
      </c>
      <c r="G34" s="510" t="e">
        <f>'Cental Budget'!#REF!/'Central budget fiskalna'!AB34*100-100</f>
        <v>#REF!</v>
      </c>
      <c r="H34" s="473" t="e">
        <f>'Cental Budget'!#REF!-'Central budget fiskalna'!AD34</f>
        <v>#REF!</v>
      </c>
      <c r="I34" s="510" t="e">
        <f>'Cental Budget'!#REF!/'Central budget fiskalna'!AD34*100-100</f>
        <v>#REF!</v>
      </c>
      <c r="J34" s="473" t="e">
        <f>'Cental Budget'!#REF!-'Central budget fiskalna'!AF34</f>
        <v>#REF!</v>
      </c>
      <c r="K34" s="510" t="e">
        <f>'Cental Budget'!#REF!/'Central budget fiskalna'!AF34*100-100</f>
        <v>#REF!</v>
      </c>
    </row>
    <row r="35" spans="3:11">
      <c r="C35" s="471" t="s">
        <v>39</v>
      </c>
      <c r="D35" s="473">
        <f>'Cental Budget'!Z35-'Central budget fiskalna'!Z35</f>
        <v>-37991.807799999951</v>
      </c>
      <c r="E35" s="510">
        <f>'Cental Budget'!Z35/'Central budget fiskalna'!Z35*100-100</f>
        <v>-4.9178227951341569</v>
      </c>
      <c r="F35" s="473" t="e">
        <f>'Cental Budget'!#REF!-'Central budget fiskalna'!AB35</f>
        <v>#REF!</v>
      </c>
      <c r="G35" s="510" t="e">
        <f>'Cental Budget'!#REF!/'Central budget fiskalna'!AB35*100-100</f>
        <v>#REF!</v>
      </c>
      <c r="H35" s="473" t="e">
        <f>'Cental Budget'!#REF!-'Central budget fiskalna'!AD35</f>
        <v>#REF!</v>
      </c>
      <c r="I35" s="510" t="e">
        <f>'Cental Budget'!#REF!/'Central budget fiskalna'!AD35*100-100</f>
        <v>#REF!</v>
      </c>
      <c r="J35" s="473" t="e">
        <f>'Cental Budget'!#REF!-'Central budget fiskalna'!AF35</f>
        <v>#REF!</v>
      </c>
      <c r="K35" s="510" t="e">
        <f>'Cental Budget'!#REF!/'Central budget fiskalna'!AF35*100-100</f>
        <v>#REF!</v>
      </c>
    </row>
    <row r="36" spans="3:11">
      <c r="C36" s="471" t="s">
        <v>41</v>
      </c>
      <c r="D36" s="473">
        <f>'Cental Budget'!Z36-'Central budget fiskalna'!Z36</f>
        <v>-544331.54025911866</v>
      </c>
      <c r="E36" s="510">
        <f>'Cental Budget'!Z36/'Central budget fiskalna'!Z36*100-100</f>
        <v>-13.656544280362922</v>
      </c>
      <c r="F36" s="473" t="e">
        <f>'Cental Budget'!#REF!-'Central budget fiskalna'!AB36</f>
        <v>#REF!</v>
      </c>
      <c r="G36" s="510" t="e">
        <f>'Cental Budget'!#REF!/'Central budget fiskalna'!AB36*100-100</f>
        <v>#REF!</v>
      </c>
      <c r="H36" s="473" t="e">
        <f>'Cental Budget'!#REF!-'Central budget fiskalna'!AD36</f>
        <v>#REF!</v>
      </c>
      <c r="I36" s="510" t="e">
        <f>'Cental Budget'!#REF!/'Central budget fiskalna'!AD36*100-100</f>
        <v>#REF!</v>
      </c>
      <c r="J36" s="473" t="e">
        <f>'Cental Budget'!#REF!-'Central budget fiskalna'!AF36</f>
        <v>#REF!</v>
      </c>
      <c r="K36" s="510" t="e">
        <f>'Cental Budget'!#REF!/'Central budget fiskalna'!AF36*100-100</f>
        <v>#REF!</v>
      </c>
    </row>
    <row r="37" spans="3:11">
      <c r="C37" s="471" t="s">
        <v>44</v>
      </c>
      <c r="D37" s="473">
        <f>'Cental Budget'!Z37-'Central budget fiskalna'!Z37</f>
        <v>22979.248435000016</v>
      </c>
      <c r="E37" s="510">
        <f>'Cental Budget'!Z37/'Central budget fiskalna'!Z37*100-100</f>
        <v>8.1477771131691696</v>
      </c>
      <c r="F37" s="473" t="e">
        <f>'Cental Budget'!#REF!-'Central budget fiskalna'!AB37</f>
        <v>#REF!</v>
      </c>
      <c r="G37" s="510" t="e">
        <f>'Cental Budget'!#REF!/'Central budget fiskalna'!AB37*100-100</f>
        <v>#REF!</v>
      </c>
      <c r="H37" s="473" t="e">
        <f>'Cental Budget'!#REF!-'Central budget fiskalna'!AD37</f>
        <v>#REF!</v>
      </c>
      <c r="I37" s="510" t="e">
        <f>'Cental Budget'!#REF!/'Central budget fiskalna'!AD37*100-100</f>
        <v>#REF!</v>
      </c>
      <c r="J37" s="473" t="e">
        <f>'Cental Budget'!#REF!-'Central budget fiskalna'!AF37</f>
        <v>#REF!</v>
      </c>
      <c r="K37" s="510" t="e">
        <f>'Cental Budget'!#REF!/'Central budget fiskalna'!AF37*100-100</f>
        <v>#REF!</v>
      </c>
    </row>
    <row r="38" spans="3:11">
      <c r="C38" s="471" t="s">
        <v>46</v>
      </c>
      <c r="D38" s="473">
        <f>'Cental Budget'!Z38-'Central budget fiskalna'!Z38</f>
        <v>-5677954.7497850023</v>
      </c>
      <c r="E38" s="510">
        <f>'Cental Budget'!Z38/'Central budget fiskalna'!Z38*100-100</f>
        <v>-60.801067384797918</v>
      </c>
      <c r="F38" s="473" t="e">
        <f>'Cental Budget'!#REF!-'Central budget fiskalna'!AB38</f>
        <v>#REF!</v>
      </c>
      <c r="G38" s="510" t="e">
        <f>'Cental Budget'!#REF!/'Central budget fiskalna'!AB38*100-100</f>
        <v>#REF!</v>
      </c>
      <c r="H38" s="473" t="e">
        <f>'Cental Budget'!#REF!-'Central budget fiskalna'!AD38</f>
        <v>#REF!</v>
      </c>
      <c r="I38" s="510" t="e">
        <f>'Cental Budget'!#REF!/'Central budget fiskalna'!AD38*100-100</f>
        <v>#REF!</v>
      </c>
      <c r="J38" s="473" t="e">
        <f>'Cental Budget'!#REF!-'Central budget fiskalna'!AF38</f>
        <v>#REF!</v>
      </c>
      <c r="K38" s="510" t="e">
        <f>'Cental Budget'!#REF!/'Central budget fiskalna'!AF38*100-100</f>
        <v>#REF!</v>
      </c>
    </row>
    <row r="39" spans="3:11">
      <c r="C39" s="471" t="s">
        <v>49</v>
      </c>
      <c r="D39" s="473">
        <f>'Cental Budget'!Z39-'Central budget fiskalna'!Z39</f>
        <v>-272616.2252849997</v>
      </c>
      <c r="E39" s="510">
        <f>'Cental Budget'!Z39/'Central budget fiskalna'!Z39*100-100</f>
        <v>-6.7336144288453426</v>
      </c>
      <c r="F39" s="473" t="e">
        <f>'Cental Budget'!#REF!-'Central budget fiskalna'!AB39</f>
        <v>#REF!</v>
      </c>
      <c r="G39" s="510" t="e">
        <f>'Cental Budget'!#REF!/'Central budget fiskalna'!AB39*100-100</f>
        <v>#REF!</v>
      </c>
      <c r="H39" s="473" t="e">
        <f>'Cental Budget'!#REF!-'Central budget fiskalna'!AD39</f>
        <v>#REF!</v>
      </c>
      <c r="I39" s="510" t="e">
        <f>'Cental Budget'!#REF!/'Central budget fiskalna'!AD39*100-100</f>
        <v>#REF!</v>
      </c>
      <c r="J39" s="473" t="e">
        <f>'Cental Budget'!#REF!-'Central budget fiskalna'!AF39</f>
        <v>#REF!</v>
      </c>
      <c r="K39" s="510" t="e">
        <f>'Cental Budget'!#REF!/'Central budget fiskalna'!AF39*100-100</f>
        <v>#REF!</v>
      </c>
    </row>
    <row r="40" spans="3:11">
      <c r="C40" s="471" t="s">
        <v>50</v>
      </c>
      <c r="D40" s="473">
        <f>'Cental Budget'!Z40-'Central budget fiskalna'!Z40</f>
        <v>185103.19949999731</v>
      </c>
      <c r="E40" s="510">
        <f>'Cental Budget'!Z40/'Central budget fiskalna'!Z40*100-100</f>
        <v>2.6963348927461936</v>
      </c>
      <c r="F40" s="473" t="e">
        <f>'Cental Budget'!#REF!-'Central budget fiskalna'!AB40</f>
        <v>#REF!</v>
      </c>
      <c r="G40" s="510" t="e">
        <f>'Cental Budget'!#REF!/'Central budget fiskalna'!AB40*100-100</f>
        <v>#REF!</v>
      </c>
      <c r="H40" s="473" t="e">
        <f>'Cental Budget'!#REF!-'Central budget fiskalna'!AD40</f>
        <v>#REF!</v>
      </c>
      <c r="I40" s="510" t="e">
        <f>'Cental Budget'!#REF!/'Central budget fiskalna'!AD40*100-100</f>
        <v>#REF!</v>
      </c>
      <c r="J40" s="473" t="e">
        <f>'Cental Budget'!#REF!-'Central budget fiskalna'!AF40</f>
        <v>#REF!</v>
      </c>
      <c r="K40" s="510" t="e">
        <f>'Cental Budget'!#REF!/'Central budget fiskalna'!AF40*100-100</f>
        <v>#REF!</v>
      </c>
    </row>
    <row r="41" spans="3:11">
      <c r="C41" s="464" t="s">
        <v>52</v>
      </c>
      <c r="D41" s="473">
        <f>'Cental Budget'!Z41-'Central budget fiskalna'!Z41</f>
        <v>3225807.2536799982</v>
      </c>
      <c r="E41" s="510">
        <f>'Cental Budget'!Z41/'Central budget fiskalna'!Z41*100-100</f>
        <v>9.9264153696841078</v>
      </c>
      <c r="F41" s="473" t="e">
        <f>'Cental Budget'!#REF!-'Central budget fiskalna'!AB41</f>
        <v>#REF!</v>
      </c>
      <c r="G41" s="510" t="e">
        <f>'Cental Budget'!#REF!/'Central budget fiskalna'!AB41*100-100</f>
        <v>#REF!</v>
      </c>
      <c r="H41" s="473" t="e">
        <f>'Cental Budget'!#REF!-'Central budget fiskalna'!AD41</f>
        <v>#REF!</v>
      </c>
      <c r="I41" s="510" t="e">
        <f>'Cental Budget'!#REF!/'Central budget fiskalna'!AD41*100-100</f>
        <v>#REF!</v>
      </c>
      <c r="J41" s="473" t="e">
        <f>'Cental Budget'!#REF!-'Central budget fiskalna'!AF41</f>
        <v>#REF!</v>
      </c>
      <c r="K41" s="510" t="e">
        <f>'Cental Budget'!#REF!/'Central budget fiskalna'!AF41*100-100</f>
        <v>#REF!</v>
      </c>
    </row>
    <row r="42" spans="3:11">
      <c r="C42" s="471" t="s">
        <v>54</v>
      </c>
      <c r="D42" s="473">
        <f>'Cental Budget'!Z42-'Central budget fiskalna'!Z42</f>
        <v>1997867.8991</v>
      </c>
      <c r="E42" s="510">
        <f>'Cental Budget'!Z42/'Central budget fiskalna'!Z42*100-100</f>
        <v>45.623390430337679</v>
      </c>
      <c r="F42" s="473" t="e">
        <f>'Cental Budget'!#REF!-'Central budget fiskalna'!AB42</f>
        <v>#REF!</v>
      </c>
      <c r="G42" s="510" t="e">
        <f>'Cental Budget'!#REF!/'Central budget fiskalna'!AB42*100-100</f>
        <v>#REF!</v>
      </c>
      <c r="H42" s="473" t="e">
        <f>'Cental Budget'!#REF!-'Central budget fiskalna'!AD42</f>
        <v>#REF!</v>
      </c>
      <c r="I42" s="510" t="e">
        <f>'Cental Budget'!#REF!/'Central budget fiskalna'!AD42*100-100</f>
        <v>#REF!</v>
      </c>
      <c r="J42" s="473" t="e">
        <f>'Cental Budget'!#REF!-'Central budget fiskalna'!AF42</f>
        <v>#REF!</v>
      </c>
      <c r="K42" s="510" t="e">
        <f>'Cental Budget'!#REF!/'Central budget fiskalna'!AF42*100-100</f>
        <v>#REF!</v>
      </c>
    </row>
    <row r="43" spans="3:11">
      <c r="C43" s="471" t="s">
        <v>56</v>
      </c>
      <c r="D43" s="473">
        <f>'Cental Budget'!Z43-'Central budget fiskalna'!Z43</f>
        <v>-1171026.0257550012</v>
      </c>
      <c r="E43" s="510">
        <f>'Cental Budget'!Z43/'Central budget fiskalna'!Z43*100-100</f>
        <v>-8.1183235913994736</v>
      </c>
      <c r="F43" s="473" t="e">
        <f>'Cental Budget'!#REF!-'Central budget fiskalna'!AB43</f>
        <v>#REF!</v>
      </c>
      <c r="G43" s="510" t="e">
        <f>'Cental Budget'!#REF!/'Central budget fiskalna'!AB43*100-100</f>
        <v>#REF!</v>
      </c>
      <c r="H43" s="473" t="e">
        <f>'Cental Budget'!#REF!-'Central budget fiskalna'!AD43</f>
        <v>#REF!</v>
      </c>
      <c r="I43" s="510" t="e">
        <f>'Cental Budget'!#REF!/'Central budget fiskalna'!AD43*100-100</f>
        <v>#REF!</v>
      </c>
      <c r="J43" s="473" t="e">
        <f>'Cental Budget'!#REF!-'Central budget fiskalna'!AF43</f>
        <v>#REF!</v>
      </c>
      <c r="K43" s="510" t="e">
        <f>'Cental Budget'!#REF!/'Central budget fiskalna'!AF43*100-100</f>
        <v>#REF!</v>
      </c>
    </row>
    <row r="44" spans="3:11">
      <c r="C44" s="471" t="s">
        <v>58</v>
      </c>
      <c r="D44" s="473">
        <f>'Cental Budget'!Z44-'Central budget fiskalna'!Z44</f>
        <v>-2599247.6347800004</v>
      </c>
      <c r="E44" s="510">
        <f>'Cental Budget'!Z44/'Central budget fiskalna'!Z44*100-100</f>
        <v>-54.228359146411549</v>
      </c>
      <c r="F44" s="473" t="e">
        <f>'Cental Budget'!#REF!-'Central budget fiskalna'!AB44</f>
        <v>#REF!</v>
      </c>
      <c r="G44" s="510" t="e">
        <f>'Cental Budget'!#REF!/'Central budget fiskalna'!AB44*100-100</f>
        <v>#REF!</v>
      </c>
      <c r="H44" s="473" t="e">
        <f>'Cental Budget'!#REF!-'Central budget fiskalna'!AD44</f>
        <v>#REF!</v>
      </c>
      <c r="I44" s="510" t="e">
        <f>'Cental Budget'!#REF!/'Central budget fiskalna'!AD44*100-100</f>
        <v>#REF!</v>
      </c>
      <c r="J44" s="473" t="e">
        <f>'Cental Budget'!#REF!-'Central budget fiskalna'!AF44</f>
        <v>#REF!</v>
      </c>
      <c r="K44" s="510" t="e">
        <f>'Cental Budget'!#REF!/'Central budget fiskalna'!AF44*100-100</f>
        <v>#REF!</v>
      </c>
    </row>
    <row r="45" spans="3:11">
      <c r="C45" s="471" t="s">
        <v>52</v>
      </c>
      <c r="D45" s="473">
        <f>'Cental Budget'!Z45-'Central budget fiskalna'!Z45</f>
        <v>4998213.0151149984</v>
      </c>
      <c r="E45" s="510">
        <f>'Cental Budget'!Z45/'Central budget fiskalna'!Z45*100-100</f>
        <v>56.156376159673528</v>
      </c>
      <c r="F45" s="473" t="e">
        <f>'Cental Budget'!#REF!-'Central budget fiskalna'!AB45</f>
        <v>#REF!</v>
      </c>
      <c r="G45" s="510" t="e">
        <f>'Cental Budget'!#REF!/'Central budget fiskalna'!AB45*100-100</f>
        <v>#REF!</v>
      </c>
      <c r="H45" s="473" t="e">
        <f>'Cental Budget'!#REF!-'Central budget fiskalna'!AD45</f>
        <v>#REF!</v>
      </c>
      <c r="I45" s="510" t="e">
        <f>'Cental Budget'!#REF!/'Central budget fiskalna'!AD45*100-100</f>
        <v>#REF!</v>
      </c>
      <c r="J45" s="473" t="e">
        <f>'Cental Budget'!#REF!-'Central budget fiskalna'!AF45</f>
        <v>#REF!</v>
      </c>
      <c r="K45" s="510" t="e">
        <f>'Cental Budget'!#REF!/'Central budget fiskalna'!AF45*100-100</f>
        <v>#REF!</v>
      </c>
    </row>
    <row r="46" spans="3:11">
      <c r="C46" s="475" t="s">
        <v>398</v>
      </c>
      <c r="D46" s="473">
        <f>'Cental Budget'!Z46-'Central budget fiskalna'!Z46</f>
        <v>2239445.4299550001</v>
      </c>
      <c r="E46" s="510">
        <f>'Cental Budget'!Z46/'Central budget fiskalna'!Z46*100-100</f>
        <v>51.591014069226958</v>
      </c>
      <c r="F46" s="473" t="e">
        <f>'Cental Budget'!#REF!-'Central budget fiskalna'!AB46</f>
        <v>#REF!</v>
      </c>
      <c r="G46" s="510" t="e">
        <f>'Cental Budget'!#REF!/'Central budget fiskalna'!AB46*100-100</f>
        <v>#REF!</v>
      </c>
      <c r="H46" s="473" t="e">
        <f>'Cental Budget'!#REF!-'Central budget fiskalna'!AD46</f>
        <v>#REF!</v>
      </c>
      <c r="I46" s="510" t="e">
        <f>'Cental Budget'!#REF!/'Central budget fiskalna'!AD46*100-100</f>
        <v>#REF!</v>
      </c>
      <c r="J46" s="473" t="e">
        <f>'Cental Budget'!#REF!-'Central budget fiskalna'!AF46</f>
        <v>#REF!</v>
      </c>
      <c r="K46" s="510" t="e">
        <f>'Cental Budget'!#REF!/'Central budget fiskalna'!AF46*100-100</f>
        <v>#REF!</v>
      </c>
    </row>
    <row r="47" spans="3:11" ht="13.5" thickBot="1">
      <c r="C47" s="464" t="s">
        <v>122</v>
      </c>
      <c r="D47" s="473">
        <f>'Cental Budget'!Z47-'Central budget fiskalna'!Z47</f>
        <v>-9922221.2199999988</v>
      </c>
      <c r="E47" s="510">
        <f>'Cental Budget'!Z47/'Central budget fiskalna'!Z47*100-100</f>
        <v>-28.188128465909088</v>
      </c>
      <c r="F47" s="473" t="e">
        <f>'Cental Budget'!#REF!-'Central budget fiskalna'!AB47</f>
        <v>#REF!</v>
      </c>
      <c r="G47" s="510" t="e">
        <f>'Cental Budget'!#REF!/'Central budget fiskalna'!AB47*100-100</f>
        <v>#REF!</v>
      </c>
      <c r="H47" s="473" t="e">
        <f>'Cental Budget'!#REF!-'Central budget fiskalna'!AD47</f>
        <v>#REF!</v>
      </c>
      <c r="I47" s="510" t="e">
        <f>'Cental Budget'!#REF!/'Central budget fiskalna'!AD47*100-100</f>
        <v>#REF!</v>
      </c>
      <c r="J47" s="473" t="e">
        <f>'Cental Budget'!#REF!-'Central budget fiskalna'!AF47</f>
        <v>#REF!</v>
      </c>
      <c r="K47" s="510" t="e">
        <f>'Cental Budget'!#REF!/'Central budget fiskalna'!AF47*100-100</f>
        <v>#REF!</v>
      </c>
    </row>
    <row r="48" spans="3:11" ht="14.25" thickTop="1" thickBot="1">
      <c r="C48" s="458" t="s">
        <v>61</v>
      </c>
      <c r="D48" s="473">
        <f>'Cental Budget'!Z48-'Central budget fiskalna'!Z48</f>
        <v>27739694.880000114</v>
      </c>
      <c r="E48" s="510">
        <f>'Cental Budget'!Z48/'Central budget fiskalna'!Z48*100-100</f>
        <v>1.5624507930045013</v>
      </c>
      <c r="F48" s="473" t="e">
        <f>'Cental Budget'!#REF!-'Central budget fiskalna'!AB48</f>
        <v>#REF!</v>
      </c>
      <c r="G48" s="510" t="e">
        <f>'Cental Budget'!#REF!/'Central budget fiskalna'!AB48*100-100</f>
        <v>#REF!</v>
      </c>
      <c r="H48" s="473" t="e">
        <f>'Cental Budget'!#REF!-'Central budget fiskalna'!AD48</f>
        <v>#REF!</v>
      </c>
      <c r="I48" s="510" t="e">
        <f>'Cental Budget'!#REF!/'Central budget fiskalna'!AD48*100-100</f>
        <v>#REF!</v>
      </c>
      <c r="J48" s="473" t="e">
        <f>'Cental Budget'!#REF!-'Central budget fiskalna'!AF48</f>
        <v>#REF!</v>
      </c>
      <c r="K48" s="510" t="e">
        <f>'Cental Budget'!#REF!/'Central budget fiskalna'!AF48*100-100</f>
        <v>#REF!</v>
      </c>
    </row>
    <row r="49" spans="3:11" ht="14.25" thickTop="1" thickBot="1">
      <c r="C49" s="458" t="s">
        <v>125</v>
      </c>
      <c r="D49" s="473">
        <f>'Cental Budget'!Z49-'Central budget fiskalna'!Z49</f>
        <v>58963127.910000086</v>
      </c>
      <c r="E49" s="510">
        <f>'Cental Budget'!Z49/'Central budget fiskalna'!Z49*100-100</f>
        <v>3.9511673782877494</v>
      </c>
      <c r="F49" s="473" t="e">
        <f>'Cental Budget'!#REF!-'Central budget fiskalna'!AB49</f>
        <v>#REF!</v>
      </c>
      <c r="G49" s="510" t="e">
        <f>'Cental Budget'!#REF!/'Central budget fiskalna'!AB49*100-100</f>
        <v>#REF!</v>
      </c>
      <c r="H49" s="473" t="e">
        <f>'Cental Budget'!#REF!-'Central budget fiskalna'!AD49</f>
        <v>#REF!</v>
      </c>
      <c r="I49" s="510" t="e">
        <f>'Cental Budget'!#REF!/'Central budget fiskalna'!AD49*100-100</f>
        <v>#REF!</v>
      </c>
      <c r="J49" s="473" t="e">
        <f>'Cental Budget'!#REF!-'Central budget fiskalna'!AF49</f>
        <v>#REF!</v>
      </c>
      <c r="K49" s="510" t="e">
        <f>'Cental Budget'!#REF!/'Central budget fiskalna'!AF49*100-100</f>
        <v>#REF!</v>
      </c>
    </row>
    <row r="50" spans="3:11" ht="13.5" thickTop="1">
      <c r="C50" s="464" t="s">
        <v>62</v>
      </c>
      <c r="D50" s="473">
        <f>'Cental Budget'!Z50-'Central budget fiskalna'!Z50</f>
        <v>34866128.810000062</v>
      </c>
      <c r="E50" s="510">
        <f>'Cental Budget'!Z50/'Central budget fiskalna'!Z50*100-100</f>
        <v>4.6677414633927299</v>
      </c>
      <c r="F50" s="473" t="e">
        <f>'Cental Budget'!#REF!-'Central budget fiskalna'!AB50</f>
        <v>#REF!</v>
      </c>
      <c r="G50" s="510" t="e">
        <f>'Cental Budget'!#REF!/'Central budget fiskalna'!AB50*100-100</f>
        <v>#REF!</v>
      </c>
      <c r="H50" s="473" t="e">
        <f>'Cental Budget'!#REF!-'Central budget fiskalna'!AD50</f>
        <v>#REF!</v>
      </c>
      <c r="I50" s="510" t="e">
        <f>'Cental Budget'!#REF!/'Central budget fiskalna'!AD50*100-100</f>
        <v>#REF!</v>
      </c>
      <c r="J50" s="473" t="e">
        <f>'Cental Budget'!#REF!-'Central budget fiskalna'!AF50</f>
        <v>#REF!</v>
      </c>
      <c r="K50" s="510" t="e">
        <f>'Cental Budget'!#REF!/'Central budget fiskalna'!AF50*100-100</f>
        <v>#REF!</v>
      </c>
    </row>
    <row r="51" spans="3:11">
      <c r="C51" s="464" t="s">
        <v>63</v>
      </c>
      <c r="D51" s="473">
        <f>'Cental Budget'!Z51-'Central budget fiskalna'!Z51</f>
        <v>11117453.689999998</v>
      </c>
      <c r="E51" s="510">
        <f>'Cental Budget'!Z51/'Central budget fiskalna'!Z51*100-100</f>
        <v>2.5601727007497033</v>
      </c>
      <c r="F51" s="473" t="e">
        <f>'Cental Budget'!#REF!-'Central budget fiskalna'!AB51</f>
        <v>#REF!</v>
      </c>
      <c r="G51" s="510" t="e">
        <f>'Cental Budget'!#REF!/'Central budget fiskalna'!AB51*100-100</f>
        <v>#REF!</v>
      </c>
      <c r="H51" s="473" t="e">
        <f>'Cental Budget'!#REF!-'Central budget fiskalna'!AD51</f>
        <v>#REF!</v>
      </c>
      <c r="I51" s="510" t="e">
        <f>'Cental Budget'!#REF!/'Central budget fiskalna'!AD51*100-100</f>
        <v>#REF!</v>
      </c>
      <c r="J51" s="473" t="e">
        <f>'Cental Budget'!#REF!-'Central budget fiskalna'!AF51</f>
        <v>#REF!</v>
      </c>
      <c r="K51" s="510" t="e">
        <f>'Cental Budget'!#REF!/'Central budget fiskalna'!AF51*100-100</f>
        <v>#REF!</v>
      </c>
    </row>
    <row r="52" spans="3:11" hidden="1">
      <c r="C52" s="471" t="s">
        <v>65</v>
      </c>
      <c r="D52" s="473">
        <f>'Cental Budget'!Z52-'Central budget fiskalna'!Z52</f>
        <v>0</v>
      </c>
      <c r="E52" s="510" t="e">
        <f>'Cental Budget'!Z52/'Central budget fiskalna'!Z52*100-100</f>
        <v>#DIV/0!</v>
      </c>
      <c r="F52" s="473" t="e">
        <f>'Cental Budget'!#REF!-'Central budget fiskalna'!AB52</f>
        <v>#REF!</v>
      </c>
      <c r="G52" s="510" t="e">
        <f>'Cental Budget'!#REF!/'Central budget fiskalna'!AB52*100-100</f>
        <v>#REF!</v>
      </c>
      <c r="H52" s="473" t="e">
        <f>'Cental Budget'!#REF!-'Central budget fiskalna'!AD52</f>
        <v>#REF!</v>
      </c>
      <c r="I52" s="510" t="e">
        <f>'Cental Budget'!#REF!/'Central budget fiskalna'!AD52*100-100</f>
        <v>#REF!</v>
      </c>
      <c r="J52" s="473" t="e">
        <f>'Cental Budget'!#REF!-'Central budget fiskalna'!AF52</f>
        <v>#REF!</v>
      </c>
      <c r="K52" s="510" t="e">
        <f>'Cental Budget'!#REF!/'Central budget fiskalna'!AF52*100-100</f>
        <v>#REF!</v>
      </c>
    </row>
    <row r="53" spans="3:11" hidden="1">
      <c r="C53" s="471" t="s">
        <v>67</v>
      </c>
      <c r="D53" s="473">
        <f>'Cental Budget'!Z53-'Central budget fiskalna'!Z53</f>
        <v>0</v>
      </c>
      <c r="E53" s="510" t="e">
        <f>'Cental Budget'!Z53/'Central budget fiskalna'!Z53*100-100</f>
        <v>#DIV/0!</v>
      </c>
      <c r="F53" s="473" t="e">
        <f>'Cental Budget'!#REF!-'Central budget fiskalna'!AB53</f>
        <v>#REF!</v>
      </c>
      <c r="G53" s="510" t="e">
        <f>'Cental Budget'!#REF!/'Central budget fiskalna'!AB53*100-100</f>
        <v>#REF!</v>
      </c>
      <c r="H53" s="473" t="e">
        <f>'Cental Budget'!#REF!-'Central budget fiskalna'!AD53</f>
        <v>#REF!</v>
      </c>
      <c r="I53" s="510" t="e">
        <f>'Cental Budget'!#REF!/'Central budget fiskalna'!AD53*100-100</f>
        <v>#REF!</v>
      </c>
      <c r="J53" s="473" t="e">
        <f>'Cental Budget'!#REF!-'Central budget fiskalna'!AF53</f>
        <v>#REF!</v>
      </c>
      <c r="K53" s="510" t="e">
        <f>'Cental Budget'!#REF!/'Central budget fiskalna'!AF53*100-100</f>
        <v>#REF!</v>
      </c>
    </row>
    <row r="54" spans="3:11" hidden="1">
      <c r="C54" s="471" t="s">
        <v>69</v>
      </c>
      <c r="D54" s="473">
        <f>'Cental Budget'!Z54-'Central budget fiskalna'!Z54</f>
        <v>0</v>
      </c>
      <c r="E54" s="510" t="e">
        <f>'Cental Budget'!Z54/'Central budget fiskalna'!Z54*100-100</f>
        <v>#DIV/0!</v>
      </c>
      <c r="F54" s="473" t="e">
        <f>'Cental Budget'!#REF!-'Central budget fiskalna'!AB54</f>
        <v>#REF!</v>
      </c>
      <c r="G54" s="510" t="e">
        <f>'Cental Budget'!#REF!/'Central budget fiskalna'!AB54*100-100</f>
        <v>#REF!</v>
      </c>
      <c r="H54" s="473" t="e">
        <f>'Cental Budget'!#REF!-'Central budget fiskalna'!AD54</f>
        <v>#REF!</v>
      </c>
      <c r="I54" s="510" t="e">
        <f>'Cental Budget'!#REF!/'Central budget fiskalna'!AD54*100-100</f>
        <v>#REF!</v>
      </c>
      <c r="J54" s="473" t="e">
        <f>'Cental Budget'!#REF!-'Central budget fiskalna'!AF54</f>
        <v>#REF!</v>
      </c>
      <c r="K54" s="510" t="e">
        <f>'Cental Budget'!#REF!/'Central budget fiskalna'!AF54*100-100</f>
        <v>#REF!</v>
      </c>
    </row>
    <row r="55" spans="3:11" hidden="1">
      <c r="C55" s="471" t="s">
        <v>71</v>
      </c>
      <c r="D55" s="473">
        <f>'Cental Budget'!Z55-'Central budget fiskalna'!Z55</f>
        <v>0</v>
      </c>
      <c r="E55" s="510" t="e">
        <f>'Cental Budget'!Z55/'Central budget fiskalna'!Z55*100-100</f>
        <v>#DIV/0!</v>
      </c>
      <c r="F55" s="473" t="e">
        <f>'Cental Budget'!#REF!-'Central budget fiskalna'!AB55</f>
        <v>#REF!</v>
      </c>
      <c r="G55" s="510" t="e">
        <f>'Cental Budget'!#REF!/'Central budget fiskalna'!AB55*100-100</f>
        <v>#REF!</v>
      </c>
      <c r="H55" s="473" t="e">
        <f>'Cental Budget'!#REF!-'Central budget fiskalna'!AD55</f>
        <v>#REF!</v>
      </c>
      <c r="I55" s="510" t="e">
        <f>'Cental Budget'!#REF!/'Central budget fiskalna'!AD55*100-100</f>
        <v>#REF!</v>
      </c>
      <c r="J55" s="473" t="e">
        <f>'Cental Budget'!#REF!-'Central budget fiskalna'!AF55</f>
        <v>#REF!</v>
      </c>
      <c r="K55" s="510" t="e">
        <f>'Cental Budget'!#REF!/'Central budget fiskalna'!AF55*100-100</f>
        <v>#REF!</v>
      </c>
    </row>
    <row r="56" spans="3:11" hidden="1">
      <c r="C56" s="471" t="s">
        <v>128</v>
      </c>
      <c r="D56" s="473">
        <f>'Cental Budget'!Z56-'Central budget fiskalna'!Z56</f>
        <v>0</v>
      </c>
      <c r="E56" s="510" t="e">
        <f>'Cental Budget'!Z56/'Central budget fiskalna'!Z56*100-100</f>
        <v>#DIV/0!</v>
      </c>
      <c r="F56" s="473" t="e">
        <f>'Cental Budget'!#REF!-'Central budget fiskalna'!AB56</f>
        <v>#REF!</v>
      </c>
      <c r="G56" s="510" t="e">
        <f>'Cental Budget'!#REF!/'Central budget fiskalna'!AB56*100-100</f>
        <v>#REF!</v>
      </c>
      <c r="H56" s="473" t="e">
        <f>'Cental Budget'!#REF!-'Central budget fiskalna'!AD56</f>
        <v>#REF!</v>
      </c>
      <c r="I56" s="510" t="e">
        <f>'Cental Budget'!#REF!/'Central budget fiskalna'!AD56*100-100</f>
        <v>#REF!</v>
      </c>
      <c r="J56" s="473" t="e">
        <f>'Cental Budget'!#REF!-'Central budget fiskalna'!AF56</f>
        <v>#REF!</v>
      </c>
      <c r="K56" s="510" t="e">
        <f>'Cental Budget'!#REF!/'Central budget fiskalna'!AF56*100-100</f>
        <v>#REF!</v>
      </c>
    </row>
    <row r="57" spans="3:11">
      <c r="C57" s="464" t="s">
        <v>74</v>
      </c>
      <c r="D57" s="473">
        <f>'Cental Budget'!Z57-'Central budget fiskalna'!Z57</f>
        <v>460591.75999999791</v>
      </c>
      <c r="E57" s="510">
        <f>'Cental Budget'!Z57/'Central budget fiskalna'!Z57*100-100</f>
        <v>4.5208590075924064</v>
      </c>
      <c r="F57" s="473" t="e">
        <f>'Cental Budget'!#REF!-'Central budget fiskalna'!AB57</f>
        <v>#REF!</v>
      </c>
      <c r="G57" s="510" t="e">
        <f>'Cental Budget'!#REF!/'Central budget fiskalna'!AB57*100-100</f>
        <v>#REF!</v>
      </c>
      <c r="H57" s="473" t="e">
        <f>'Cental Budget'!#REF!-'Central budget fiskalna'!AD57</f>
        <v>#REF!</v>
      </c>
      <c r="I57" s="510" t="e">
        <f>'Cental Budget'!#REF!/'Central budget fiskalna'!AD57*100-100</f>
        <v>#REF!</v>
      </c>
      <c r="J57" s="473" t="e">
        <f>'Cental Budget'!#REF!-'Central budget fiskalna'!AF57</f>
        <v>#REF!</v>
      </c>
      <c r="K57" s="510" t="e">
        <f>'Cental Budget'!#REF!/'Central budget fiskalna'!AF57*100-100</f>
        <v>#REF!</v>
      </c>
    </row>
    <row r="58" spans="3:11">
      <c r="C58" s="464" t="s">
        <v>76</v>
      </c>
      <c r="D58" s="473">
        <f>'Cental Budget'!Z58-'Central budget fiskalna'!Z58</f>
        <v>13283446.650000006</v>
      </c>
      <c r="E58" s="510">
        <f>'Cental Budget'!Z58/'Central budget fiskalna'!Z58*100-100</f>
        <v>16.077398930311389</v>
      </c>
      <c r="F58" s="473" t="e">
        <f>'Cental Budget'!#REF!-'Central budget fiskalna'!AB58</f>
        <v>#REF!</v>
      </c>
      <c r="G58" s="510" t="e">
        <f>'Cental Budget'!#REF!/'Central budget fiskalna'!AB58*100-100</f>
        <v>#REF!</v>
      </c>
      <c r="H58" s="473" t="e">
        <f>'Cental Budget'!#REF!-'Central budget fiskalna'!AD58</f>
        <v>#REF!</v>
      </c>
      <c r="I58" s="510" t="e">
        <f>'Cental Budget'!#REF!/'Central budget fiskalna'!AD58*100-100</f>
        <v>#REF!</v>
      </c>
      <c r="J58" s="473" t="e">
        <f>'Cental Budget'!#REF!-'Central budget fiskalna'!AF58</f>
        <v>#REF!</v>
      </c>
      <c r="K58" s="510" t="e">
        <f>'Cental Budget'!#REF!/'Central budget fiskalna'!AF58*100-100</f>
        <v>#REF!</v>
      </c>
    </row>
    <row r="59" spans="3:11">
      <c r="C59" s="464" t="s">
        <v>78</v>
      </c>
      <c r="D59" s="473">
        <f>'Cental Budget'!Z59-'Central budget fiskalna'!Z59</f>
        <v>-1023642.799999997</v>
      </c>
      <c r="E59" s="510">
        <f>'Cental Budget'!Z59/'Central budget fiskalna'!Z59*100-100</f>
        <v>-4.82236896506015</v>
      </c>
      <c r="F59" s="473" t="e">
        <f>'Cental Budget'!#REF!-'Central budget fiskalna'!AB59</f>
        <v>#REF!</v>
      </c>
      <c r="G59" s="510" t="e">
        <f>'Cental Budget'!#REF!/'Central budget fiskalna'!AB59*100-100</f>
        <v>#REF!</v>
      </c>
      <c r="H59" s="473" t="e">
        <f>'Cental Budget'!#REF!-'Central budget fiskalna'!AD59</f>
        <v>#REF!</v>
      </c>
      <c r="I59" s="510" t="e">
        <f>'Cental Budget'!#REF!/'Central budget fiskalna'!AD59*100-100</f>
        <v>#REF!</v>
      </c>
      <c r="J59" s="473" t="e">
        <f>'Cental Budget'!#REF!-'Central budget fiskalna'!AF59</f>
        <v>#REF!</v>
      </c>
      <c r="K59" s="510" t="e">
        <f>'Cental Budget'!#REF!/'Central budget fiskalna'!AF59*100-100</f>
        <v>#REF!</v>
      </c>
    </row>
    <row r="60" spans="3:11">
      <c r="C60" s="464" t="s">
        <v>79</v>
      </c>
      <c r="D60" s="473">
        <f>'Cental Budget'!Z60-'Central budget fiskalna'!Z60</f>
        <v>3341752.6700000167</v>
      </c>
      <c r="E60" s="510">
        <f>'Cental Budget'!Z60/'Central budget fiskalna'!Z60*100-100</f>
        <v>3.5042214870833561</v>
      </c>
      <c r="F60" s="473" t="e">
        <f>'Cental Budget'!#REF!-'Central budget fiskalna'!AB60</f>
        <v>#REF!</v>
      </c>
      <c r="G60" s="510" t="e">
        <f>'Cental Budget'!#REF!/'Central budget fiskalna'!AB60*100-100</f>
        <v>#REF!</v>
      </c>
      <c r="H60" s="473" t="e">
        <f>'Cental Budget'!#REF!-'Central budget fiskalna'!AD60</f>
        <v>#REF!</v>
      </c>
      <c r="I60" s="510" t="e">
        <f>'Cental Budget'!#REF!/'Central budget fiskalna'!AD60*100-100</f>
        <v>#REF!</v>
      </c>
      <c r="J60" s="473" t="e">
        <f>'Cental Budget'!#REF!-'Central budget fiskalna'!AF60</f>
        <v>#REF!</v>
      </c>
      <c r="K60" s="510" t="e">
        <f>'Cental Budget'!#REF!/'Central budget fiskalna'!AF60*100-100</f>
        <v>#REF!</v>
      </c>
    </row>
    <row r="61" spans="3:11">
      <c r="C61" s="464" t="s">
        <v>81</v>
      </c>
      <c r="D61" s="473">
        <f>'Cental Budget'!Z61-'Central budget fiskalna'!Z61</f>
        <v>-382832.15000000037</v>
      </c>
      <c r="E61" s="510">
        <f>'Cental Budget'!Z61/'Central budget fiskalna'!Z61*100-100</f>
        <v>-4.1059760066055304</v>
      </c>
      <c r="F61" s="473" t="e">
        <f>'Cental Budget'!#REF!-'Central budget fiskalna'!AB61</f>
        <v>#REF!</v>
      </c>
      <c r="G61" s="510" t="e">
        <f>'Cental Budget'!#REF!/'Central budget fiskalna'!AB61*100-100</f>
        <v>#REF!</v>
      </c>
      <c r="H61" s="473" t="e">
        <f>'Cental Budget'!#REF!-'Central budget fiskalna'!AD61</f>
        <v>#REF!</v>
      </c>
      <c r="I61" s="510" t="e">
        <f>'Cental Budget'!#REF!/'Central budget fiskalna'!AD61*100-100</f>
        <v>#REF!</v>
      </c>
      <c r="J61" s="473" t="e">
        <f>'Cental Budget'!#REF!-'Central budget fiskalna'!AF61</f>
        <v>#REF!</v>
      </c>
      <c r="K61" s="510" t="e">
        <f>'Cental Budget'!#REF!/'Central budget fiskalna'!AF61*100-100</f>
        <v>#REF!</v>
      </c>
    </row>
    <row r="62" spans="3:11">
      <c r="C62" s="464" t="s">
        <v>83</v>
      </c>
      <c r="D62" s="473">
        <f>'Cental Budget'!Z62-'Central budget fiskalna'!Z62</f>
        <v>2882026.2700000033</v>
      </c>
      <c r="E62" s="510">
        <f>'Cental Budget'!Z62/'Central budget fiskalna'!Z62*100-100</f>
        <v>11.564278142028272</v>
      </c>
      <c r="F62" s="473" t="e">
        <f>'Cental Budget'!#REF!-'Central budget fiskalna'!AB62</f>
        <v>#REF!</v>
      </c>
      <c r="G62" s="510" t="e">
        <f>'Cental Budget'!#REF!/'Central budget fiskalna'!AB62*100-100</f>
        <v>#REF!</v>
      </c>
      <c r="H62" s="473" t="e">
        <f>'Cental Budget'!#REF!-'Central budget fiskalna'!AD62</f>
        <v>#REF!</v>
      </c>
      <c r="I62" s="510" t="e">
        <f>'Cental Budget'!#REF!/'Central budget fiskalna'!AD62*100-100</f>
        <v>#REF!</v>
      </c>
      <c r="J62" s="473" t="e">
        <f>'Cental Budget'!#REF!-'Central budget fiskalna'!AF62</f>
        <v>#REF!</v>
      </c>
      <c r="K62" s="510" t="e">
        <f>'Cental Budget'!#REF!/'Central budget fiskalna'!AF62*100-100</f>
        <v>#REF!</v>
      </c>
    </row>
    <row r="63" spans="3:11">
      <c r="C63" s="464" t="s">
        <v>85</v>
      </c>
      <c r="D63" s="473">
        <f>'Cental Budget'!Z63-'Central budget fiskalna'!Z63</f>
        <v>5282497.5200000033</v>
      </c>
      <c r="E63" s="510">
        <f>'Cental Budget'!Z63/'Central budget fiskalna'!Z63*100-100</f>
        <v>16.027020411938437</v>
      </c>
      <c r="F63" s="473" t="e">
        <f>'Cental Budget'!#REF!-'Central budget fiskalna'!AB63</f>
        <v>#REF!</v>
      </c>
      <c r="G63" s="510" t="e">
        <f>'Cental Budget'!#REF!/'Central budget fiskalna'!AB63*100-100</f>
        <v>#REF!</v>
      </c>
      <c r="H63" s="473" t="e">
        <f>'Cental Budget'!#REF!-'Central budget fiskalna'!AD63</f>
        <v>#REF!</v>
      </c>
      <c r="I63" s="510" t="e">
        <f>'Cental Budget'!#REF!/'Central budget fiskalna'!AD63*100-100</f>
        <v>#REF!</v>
      </c>
      <c r="J63" s="473" t="e">
        <f>'Cental Budget'!#REF!-'Central budget fiskalna'!AF63</f>
        <v>#REF!</v>
      </c>
      <c r="K63" s="510" t="e">
        <f>'Cental Budget'!#REF!/'Central budget fiskalna'!AF63*100-100</f>
        <v>#REF!</v>
      </c>
    </row>
    <row r="64" spans="3:11">
      <c r="C64" s="464" t="s">
        <v>129</v>
      </c>
      <c r="D64" s="473">
        <f>'Cental Budget'!Z64-'Central budget fiskalna'!Z64</f>
        <v>-95164.80000000447</v>
      </c>
      <c r="E64" s="510">
        <f>'Cental Budget'!Z64/'Central budget fiskalna'!Z64*100-100</f>
        <v>-0.2635638577758499</v>
      </c>
      <c r="F64" s="473" t="e">
        <f>'Cental Budget'!#REF!-'Central budget fiskalna'!AB64</f>
        <v>#REF!</v>
      </c>
      <c r="G64" s="510" t="e">
        <f>'Cental Budget'!#REF!/'Central budget fiskalna'!AB64*100-100</f>
        <v>#REF!</v>
      </c>
      <c r="H64" s="473" t="e">
        <f>'Cental Budget'!#REF!-'Central budget fiskalna'!AD64</f>
        <v>#REF!</v>
      </c>
      <c r="I64" s="510" t="e">
        <f>'Cental Budget'!#REF!/'Central budget fiskalna'!AD64*100-100</f>
        <v>#REF!</v>
      </c>
      <c r="J64" s="473" t="e">
        <f>'Cental Budget'!#REF!-'Central budget fiskalna'!AF64</f>
        <v>#REF!</v>
      </c>
      <c r="K64" s="510" t="e">
        <f>'Cental Budget'!#REF!/'Central budget fiskalna'!AF64*100-100</f>
        <v>#REF!</v>
      </c>
    </row>
    <row r="65" spans="3:11">
      <c r="C65" s="464" t="s">
        <v>86</v>
      </c>
      <c r="D65" s="473">
        <f>'Cental Budget'!Z65-'Central budget fiskalna'!Z65</f>
        <v>-24367208.820000052</v>
      </c>
      <c r="E65" s="510">
        <f>'Cental Budget'!Z65/'Central budget fiskalna'!Z65*100-100</f>
        <v>-4.3325790196601162</v>
      </c>
      <c r="F65" s="473" t="e">
        <f>'Cental Budget'!#REF!-'Central budget fiskalna'!AB65</f>
        <v>#REF!</v>
      </c>
      <c r="G65" s="510" t="e">
        <f>'Cental Budget'!#REF!/'Central budget fiskalna'!AB65*100-100</f>
        <v>#REF!</v>
      </c>
      <c r="H65" s="473" t="e">
        <f>'Cental Budget'!#REF!-'Central budget fiskalna'!AD65</f>
        <v>#REF!</v>
      </c>
      <c r="I65" s="510" t="e">
        <f>'Cental Budget'!#REF!/'Central budget fiskalna'!AD65*100-100</f>
        <v>#REF!</v>
      </c>
      <c r="J65" s="473" t="e">
        <f>'Cental Budget'!#REF!-'Central budget fiskalna'!AF65</f>
        <v>#REF!</v>
      </c>
      <c r="K65" s="510" t="e">
        <f>'Cental Budget'!#REF!/'Central budget fiskalna'!AF65*100-100</f>
        <v>#REF!</v>
      </c>
    </row>
    <row r="66" spans="3:11">
      <c r="C66" s="471" t="s">
        <v>88</v>
      </c>
      <c r="D66" s="473">
        <f>'Cental Budget'!Z66-'Central budget fiskalna'!Z66</f>
        <v>-2720744.2800000012</v>
      </c>
      <c r="E66" s="510">
        <f>'Cental Budget'!Z66/'Central budget fiskalna'!Z66*100-100</f>
        <v>-2.6825018628181994</v>
      </c>
      <c r="F66" s="473" t="e">
        <f>'Cental Budget'!#REF!-'Central budget fiskalna'!AB66</f>
        <v>#REF!</v>
      </c>
      <c r="G66" s="510" t="e">
        <f>'Cental Budget'!#REF!/'Central budget fiskalna'!AB66*100-100</f>
        <v>#REF!</v>
      </c>
      <c r="H66" s="473" t="e">
        <f>'Cental Budget'!#REF!-'Central budget fiskalna'!AD66</f>
        <v>#REF!</v>
      </c>
      <c r="I66" s="510" t="e">
        <f>'Cental Budget'!#REF!/'Central budget fiskalna'!AD66*100-100</f>
        <v>#REF!</v>
      </c>
      <c r="J66" s="473" t="e">
        <f>'Cental Budget'!#REF!-'Central budget fiskalna'!AF66</f>
        <v>#REF!</v>
      </c>
      <c r="K66" s="510" t="e">
        <f>'Cental Budget'!#REF!/'Central budget fiskalna'!AF66*100-100</f>
        <v>#REF!</v>
      </c>
    </row>
    <row r="67" spans="3:11">
      <c r="C67" s="471" t="s">
        <v>90</v>
      </c>
      <c r="D67" s="473">
        <f>'Cental Budget'!Z67-'Central budget fiskalna'!Z67</f>
        <v>-7628029.209999999</v>
      </c>
      <c r="E67" s="510">
        <f>'Cental Budget'!Z67/'Central budget fiskalna'!Z67*100-100</f>
        <v>-37.035596422301289</v>
      </c>
      <c r="F67" s="473" t="e">
        <f>'Cental Budget'!#REF!-'Central budget fiskalna'!AB67</f>
        <v>#REF!</v>
      </c>
      <c r="G67" s="510" t="e">
        <f>'Cental Budget'!#REF!/'Central budget fiskalna'!AB67*100-100</f>
        <v>#REF!</v>
      </c>
      <c r="H67" s="473" t="e">
        <f>'Cental Budget'!#REF!-'Central budget fiskalna'!AD67</f>
        <v>#REF!</v>
      </c>
      <c r="I67" s="510" t="e">
        <f>'Cental Budget'!#REF!/'Central budget fiskalna'!AD67*100-100</f>
        <v>#REF!</v>
      </c>
      <c r="J67" s="473" t="e">
        <f>'Cental Budget'!#REF!-'Central budget fiskalna'!AF67</f>
        <v>#REF!</v>
      </c>
      <c r="K67" s="510" t="e">
        <f>'Cental Budget'!#REF!/'Central budget fiskalna'!AF67*100-100</f>
        <v>#REF!</v>
      </c>
    </row>
    <row r="68" spans="3:11">
      <c r="C68" s="471" t="s">
        <v>92</v>
      </c>
      <c r="D68" s="473">
        <f>'Cental Budget'!Z68-'Central budget fiskalna'!Z68</f>
        <v>-14676101.230000019</v>
      </c>
      <c r="E68" s="510">
        <f>'Cental Budget'!Z68/'Central budget fiskalna'!Z68*100-100</f>
        <v>-3.5284178559407735</v>
      </c>
      <c r="F68" s="473" t="e">
        <f>'Cental Budget'!#REF!-'Central budget fiskalna'!AB68</f>
        <v>#REF!</v>
      </c>
      <c r="G68" s="510" t="e">
        <f>'Cental Budget'!#REF!/'Central budget fiskalna'!AB68*100-100</f>
        <v>#REF!</v>
      </c>
      <c r="H68" s="473" t="e">
        <f>'Cental Budget'!#REF!-'Central budget fiskalna'!AD68</f>
        <v>#REF!</v>
      </c>
      <c r="I68" s="510" t="e">
        <f>'Cental Budget'!#REF!/'Central budget fiskalna'!AD68*100-100</f>
        <v>#REF!</v>
      </c>
      <c r="J68" s="473" t="e">
        <f>'Cental Budget'!#REF!-'Central budget fiskalna'!AF68</f>
        <v>#REF!</v>
      </c>
      <c r="K68" s="510" t="e">
        <f>'Cental Budget'!#REF!/'Central budget fiskalna'!AF68*100-100</f>
        <v>#REF!</v>
      </c>
    </row>
    <row r="69" spans="3:11">
      <c r="C69" s="471" t="s">
        <v>94</v>
      </c>
      <c r="D69" s="473">
        <f>'Cental Budget'!Z69-'Central budget fiskalna'!Z69</f>
        <v>558379.1099999994</v>
      </c>
      <c r="E69" s="510">
        <f>'Cental Budget'!Z69/'Central budget fiskalna'!Z69*100-100</f>
        <v>3.5049846839495302</v>
      </c>
      <c r="F69" s="473" t="e">
        <f>'Cental Budget'!#REF!-'Central budget fiskalna'!AB69</f>
        <v>#REF!</v>
      </c>
      <c r="G69" s="510" t="e">
        <f>'Cental Budget'!#REF!/'Central budget fiskalna'!AB69*100-100</f>
        <v>#REF!</v>
      </c>
      <c r="H69" s="473" t="e">
        <f>'Cental Budget'!#REF!-'Central budget fiskalna'!AD69</f>
        <v>#REF!</v>
      </c>
      <c r="I69" s="510" t="e">
        <f>'Cental Budget'!#REF!/'Central budget fiskalna'!AD69*100-100</f>
        <v>#REF!</v>
      </c>
      <c r="J69" s="473" t="e">
        <f>'Cental Budget'!#REF!-'Central budget fiskalna'!AF69</f>
        <v>#REF!</v>
      </c>
      <c r="K69" s="510" t="e">
        <f>'Cental Budget'!#REF!/'Central budget fiskalna'!AF69*100-100</f>
        <v>#REF!</v>
      </c>
    </row>
    <row r="70" spans="3:11">
      <c r="C70" s="471" t="s">
        <v>96</v>
      </c>
      <c r="D70" s="473">
        <f>'Cental Budget'!Z70-'Central budget fiskalna'!Z70</f>
        <v>99286.790000000969</v>
      </c>
      <c r="E70" s="510">
        <f>'Cental Budget'!Z70/'Central budget fiskalna'!Z70*100-100</f>
        <v>1.1646544281525024</v>
      </c>
      <c r="F70" s="473" t="e">
        <f>'Cental Budget'!#REF!-'Central budget fiskalna'!AB70</f>
        <v>#REF!</v>
      </c>
      <c r="G70" s="510" t="e">
        <f>'Cental Budget'!#REF!/'Central budget fiskalna'!AB70*100-100</f>
        <v>#REF!</v>
      </c>
      <c r="H70" s="473" t="e">
        <f>'Cental Budget'!#REF!-'Central budget fiskalna'!AD70</f>
        <v>#REF!</v>
      </c>
      <c r="I70" s="510" t="e">
        <f>'Cental Budget'!#REF!/'Central budget fiskalna'!AD70*100-100</f>
        <v>#REF!</v>
      </c>
      <c r="J70" s="473" t="e">
        <f>'Cental Budget'!#REF!-'Central budget fiskalna'!AF70</f>
        <v>#REF!</v>
      </c>
      <c r="K70" s="510" t="e">
        <f>'Cental Budget'!#REF!/'Central budget fiskalna'!AF70*100-100</f>
        <v>#REF!</v>
      </c>
    </row>
    <row r="71" spans="3:11" ht="26.25" thickBot="1">
      <c r="C71" s="475" t="s">
        <v>99</v>
      </c>
      <c r="D71" s="473">
        <f>'Cental Budget'!Z71-'Central budget fiskalna'!Z71</f>
        <v>685816.45999997854</v>
      </c>
      <c r="E71" s="510">
        <f>'Cental Budget'!Z71/'Central budget fiskalna'!Z71*100-100</f>
        <v>0.41265693178414153</v>
      </c>
      <c r="F71" s="473" t="e">
        <f>'Cental Budget'!#REF!-'Central budget fiskalna'!AB71</f>
        <v>#REF!</v>
      </c>
      <c r="G71" s="510" t="e">
        <f>'Cental Budget'!#REF!/'Central budget fiskalna'!AB71*100-100</f>
        <v>#REF!</v>
      </c>
      <c r="H71" s="473" t="e">
        <f>'Cental Budget'!#REF!-'Central budget fiskalna'!AD71</f>
        <v>#REF!</v>
      </c>
      <c r="I71" s="510" t="e">
        <f>'Cental Budget'!#REF!/'Central budget fiskalna'!AD71*100-100</f>
        <v>#REF!</v>
      </c>
      <c r="J71" s="473" t="e">
        <f>'Cental Budget'!#REF!-'Central budget fiskalna'!AF71</f>
        <v>#REF!</v>
      </c>
      <c r="K71" s="510" t="e">
        <f>'Cental Budget'!#REF!/'Central budget fiskalna'!AF71*100-100</f>
        <v>#REF!</v>
      </c>
    </row>
    <row r="72" spans="3:11" hidden="1">
      <c r="C72" s="471" t="s">
        <v>101</v>
      </c>
      <c r="D72" s="473">
        <f>'Cental Budget'!Z72-'Central budget fiskalna'!Z72</f>
        <v>0</v>
      </c>
      <c r="E72" s="510" t="e">
        <f>'Cental Budget'!Z72/'Central budget fiskalna'!Z72*100-100</f>
        <v>#DIV/0!</v>
      </c>
      <c r="F72" s="473" t="e">
        <f>'Cental Budget'!#REF!-'Central budget fiskalna'!AB72</f>
        <v>#REF!</v>
      </c>
      <c r="G72" s="510" t="e">
        <f>'Cental Budget'!#REF!/'Central budget fiskalna'!AB72*100-100</f>
        <v>#REF!</v>
      </c>
      <c r="H72" s="473" t="e">
        <f>'Cental Budget'!#REF!-'Central budget fiskalna'!AD72</f>
        <v>#REF!</v>
      </c>
      <c r="I72" s="510" t="e">
        <f>'Cental Budget'!#REF!/'Central budget fiskalna'!AD72*100-100</f>
        <v>#REF!</v>
      </c>
      <c r="J72" s="473" t="e">
        <f>'Cental Budget'!#REF!-'Central budget fiskalna'!AF72</f>
        <v>#REF!</v>
      </c>
      <c r="K72" s="510" t="e">
        <f>'Cental Budget'!#REF!/'Central budget fiskalna'!AF72*100-100</f>
        <v>#REF!</v>
      </c>
    </row>
    <row r="73" spans="3:11" hidden="1">
      <c r="C73" s="471" t="s">
        <v>103</v>
      </c>
      <c r="D73" s="473">
        <f>'Cental Budget'!Z73-'Central budget fiskalna'!Z73</f>
        <v>0</v>
      </c>
      <c r="E73" s="510" t="e">
        <f>'Cental Budget'!Z73/'Central budget fiskalna'!Z73*100-100</f>
        <v>#DIV/0!</v>
      </c>
      <c r="F73" s="473" t="e">
        <f>'Cental Budget'!#REF!-'Central budget fiskalna'!AB73</f>
        <v>#REF!</v>
      </c>
      <c r="G73" s="510" t="e">
        <f>'Cental Budget'!#REF!/'Central budget fiskalna'!AB73*100-100</f>
        <v>#REF!</v>
      </c>
      <c r="H73" s="473" t="e">
        <f>'Cental Budget'!#REF!-'Central budget fiskalna'!AD73</f>
        <v>#REF!</v>
      </c>
      <c r="I73" s="510" t="e">
        <f>'Cental Budget'!#REF!/'Central budget fiskalna'!AD73*100-100</f>
        <v>#REF!</v>
      </c>
      <c r="J73" s="473" t="e">
        <f>'Cental Budget'!#REF!-'Central budget fiskalna'!AF73</f>
        <v>#REF!</v>
      </c>
      <c r="K73" s="510" t="e">
        <f>'Cental Budget'!#REF!/'Central budget fiskalna'!AF73*100-100</f>
        <v>#REF!</v>
      </c>
    </row>
    <row r="74" spans="3:11" hidden="1">
      <c r="C74" s="471" t="s">
        <v>105</v>
      </c>
      <c r="D74" s="473">
        <f>'Cental Budget'!Z74-'Central budget fiskalna'!Z74</f>
        <v>0</v>
      </c>
      <c r="E74" s="510" t="e">
        <f>'Cental Budget'!Z74/'Central budget fiskalna'!Z74*100-100</f>
        <v>#DIV/0!</v>
      </c>
      <c r="F74" s="473" t="e">
        <f>'Cental Budget'!#REF!-'Central budget fiskalna'!AB74</f>
        <v>#REF!</v>
      </c>
      <c r="G74" s="510" t="e">
        <f>'Cental Budget'!#REF!/'Central budget fiskalna'!AB74*100-100</f>
        <v>#REF!</v>
      </c>
      <c r="H74" s="473" t="e">
        <f>'Cental Budget'!#REF!-'Central budget fiskalna'!AD74</f>
        <v>#REF!</v>
      </c>
      <c r="I74" s="510" t="e">
        <f>'Cental Budget'!#REF!/'Central budget fiskalna'!AD74*100-100</f>
        <v>#REF!</v>
      </c>
      <c r="J74" s="473" t="e">
        <f>'Cental Budget'!#REF!-'Central budget fiskalna'!AF74</f>
        <v>#REF!</v>
      </c>
      <c r="K74" s="510" t="e">
        <f>'Cental Budget'!#REF!/'Central budget fiskalna'!AF74*100-100</f>
        <v>#REF!</v>
      </c>
    </row>
    <row r="75" spans="3:11" hidden="1">
      <c r="C75" s="471" t="s">
        <v>107</v>
      </c>
      <c r="D75" s="473">
        <f>'Cental Budget'!Z75-'Central budget fiskalna'!Z75</f>
        <v>0</v>
      </c>
      <c r="E75" s="510" t="e">
        <f>'Cental Budget'!Z75/'Central budget fiskalna'!Z75*100-100</f>
        <v>#DIV/0!</v>
      </c>
      <c r="F75" s="473" t="e">
        <f>'Cental Budget'!#REF!-'Central budget fiskalna'!AB75</f>
        <v>#REF!</v>
      </c>
      <c r="G75" s="510" t="e">
        <f>'Cental Budget'!#REF!/'Central budget fiskalna'!AB75*100-100</f>
        <v>#REF!</v>
      </c>
      <c r="H75" s="473" t="e">
        <f>'Cental Budget'!#REF!-'Central budget fiskalna'!AD75</f>
        <v>#REF!</v>
      </c>
      <c r="I75" s="510" t="e">
        <f>'Cental Budget'!#REF!/'Central budget fiskalna'!AD75*100-100</f>
        <v>#REF!</v>
      </c>
      <c r="J75" s="473" t="e">
        <f>'Cental Budget'!#REF!-'Central budget fiskalna'!AF75</f>
        <v>#REF!</v>
      </c>
      <c r="K75" s="510" t="e">
        <f>'Cental Budget'!#REF!/'Central budget fiskalna'!AF75*100-100</f>
        <v>#REF!</v>
      </c>
    </row>
    <row r="76" spans="3:11" hidden="1">
      <c r="C76" s="471" t="s">
        <v>390</v>
      </c>
      <c r="D76" s="473">
        <f>'Cental Budget'!Z76-'Central budget fiskalna'!Z76</f>
        <v>0</v>
      </c>
      <c r="E76" s="510" t="e">
        <f>'Cental Budget'!Z76/'Central budget fiskalna'!Z76*100-100</f>
        <v>#DIV/0!</v>
      </c>
      <c r="F76" s="473" t="e">
        <f>'Cental Budget'!#REF!-'Central budget fiskalna'!AB76</f>
        <v>#REF!</v>
      </c>
      <c r="G76" s="510" t="e">
        <f>'Cental Budget'!#REF!/'Central budget fiskalna'!AB76*100-100</f>
        <v>#REF!</v>
      </c>
      <c r="H76" s="473" t="e">
        <f>'Cental Budget'!#REF!-'Central budget fiskalna'!AD76</f>
        <v>#REF!</v>
      </c>
      <c r="I76" s="510" t="e">
        <f>'Cental Budget'!#REF!/'Central budget fiskalna'!AD76*100-100</f>
        <v>#REF!</v>
      </c>
      <c r="J76" s="473" t="e">
        <f>'Cental Budget'!#REF!-'Central budget fiskalna'!AF76</f>
        <v>#REF!</v>
      </c>
      <c r="K76" s="510" t="e">
        <f>'Cental Budget'!#REF!/'Central budget fiskalna'!AF76*100-100</f>
        <v>#REF!</v>
      </c>
    </row>
    <row r="77" spans="3:11" ht="13.5" hidden="1" thickBot="1">
      <c r="C77" s="471" t="s">
        <v>108</v>
      </c>
      <c r="D77" s="473">
        <f>'Cental Budget'!Z77-'Central budget fiskalna'!Z77</f>
        <v>0</v>
      </c>
      <c r="E77" s="510" t="e">
        <f>'Cental Budget'!Z77/'Central budget fiskalna'!Z77*100-100</f>
        <v>#DIV/0!</v>
      </c>
      <c r="F77" s="473" t="e">
        <f>'Cental Budget'!#REF!-'Central budget fiskalna'!AB77</f>
        <v>#REF!</v>
      </c>
      <c r="G77" s="510" t="e">
        <f>'Cental Budget'!#REF!/'Central budget fiskalna'!AB77*100-100</f>
        <v>#REF!</v>
      </c>
      <c r="H77" s="473" t="e">
        <f>'Cental Budget'!#REF!-'Central budget fiskalna'!AD77</f>
        <v>#REF!</v>
      </c>
      <c r="I77" s="510" t="e">
        <f>'Cental Budget'!#REF!/'Central budget fiskalna'!AD77*100-100</f>
        <v>#REF!</v>
      </c>
      <c r="J77" s="473" t="e">
        <f>'Cental Budget'!#REF!-'Central budget fiskalna'!AF77</f>
        <v>#REF!</v>
      </c>
      <c r="K77" s="510" t="e">
        <f>'Cental Budget'!#REF!/'Central budget fiskalna'!AF77*100-100</f>
        <v>#REF!</v>
      </c>
    </row>
    <row r="78" spans="3:11" ht="14.25" thickTop="1" thickBot="1">
      <c r="C78" s="458" t="s">
        <v>130</v>
      </c>
      <c r="D78" s="473">
        <f>'Cental Budget'!Z78-'Central budget fiskalna'!Z78</f>
        <v>-31223433.030000001</v>
      </c>
      <c r="E78" s="510">
        <f>'Cental Budget'!Z78/'Central budget fiskalna'!Z78*100-100</f>
        <v>-11.029117990109512</v>
      </c>
      <c r="F78" s="473" t="e">
        <f>'Cental Budget'!#REF!-'Central budget fiskalna'!AB78</f>
        <v>#REF!</v>
      </c>
      <c r="G78" s="510" t="e">
        <f>'Cental Budget'!#REF!/'Central budget fiskalna'!AB78*100-100</f>
        <v>#REF!</v>
      </c>
      <c r="H78" s="473" t="e">
        <f>'Cental Budget'!#REF!-'Central budget fiskalna'!AD78</f>
        <v>#REF!</v>
      </c>
      <c r="I78" s="510" t="e">
        <f>'Cental Budget'!#REF!/'Central budget fiskalna'!AD78*100-100</f>
        <v>#REF!</v>
      </c>
      <c r="J78" s="473" t="e">
        <f>'Cental Budget'!#REF!-'Central budget fiskalna'!AF78</f>
        <v>#REF!</v>
      </c>
      <c r="K78" s="510" t="e">
        <f>'Cental Budget'!#REF!/'Central budget fiskalna'!AF78*100-100</f>
        <v>#REF!</v>
      </c>
    </row>
    <row r="79" spans="3:11" ht="13.5" thickTop="1">
      <c r="C79" s="483" t="s">
        <v>110</v>
      </c>
      <c r="D79" s="473">
        <f>'Cental Budget'!Z79-'Central budget fiskalna'!Z79</f>
        <v>2432410.7599999998</v>
      </c>
      <c r="E79" s="510">
        <f>'Cental Budget'!Z79/'Central budget fiskalna'!Z79*100-100</f>
        <v>100.30559835051545</v>
      </c>
      <c r="F79" s="473" t="e">
        <f>'Cental Budget'!#REF!-'Central budget fiskalna'!AB79</f>
        <v>#REF!</v>
      </c>
      <c r="G79" s="510" t="e">
        <f>'Cental Budget'!#REF!/'Central budget fiskalna'!AB79*100-100</f>
        <v>#REF!</v>
      </c>
      <c r="H79" s="473" t="e">
        <f>'Cental Budget'!#REF!-'Central budget fiskalna'!AD79</f>
        <v>#REF!</v>
      </c>
      <c r="I79" s="510" t="e">
        <f>'Cental Budget'!#REF!/'Central budget fiskalna'!AD79*100-100</f>
        <v>#REF!</v>
      </c>
      <c r="J79" s="473" t="e">
        <f>'Cental Budget'!#REF!-'Central budget fiskalna'!AF79</f>
        <v>#REF!</v>
      </c>
      <c r="K79" s="510" t="e">
        <f>'Cental Budget'!#REF!/'Central budget fiskalna'!AF79*100-100</f>
        <v>#REF!</v>
      </c>
    </row>
    <row r="80" spans="3:11" ht="13.5" thickBot="1">
      <c r="C80" s="489" t="s">
        <v>117</v>
      </c>
      <c r="D80" s="473">
        <f>'Cental Budget'!Z80-'Central budget fiskalna'!Z80</f>
        <v>5385156.0499999989</v>
      </c>
      <c r="E80" s="510">
        <f>'Cental Budget'!Z80/'Central budget fiskalna'!Z80*100-100</f>
        <v>37.66192651985989</v>
      </c>
      <c r="F80" s="473" t="e">
        <f>'Cental Budget'!#REF!-'Central budget fiskalna'!AB80</f>
        <v>#REF!</v>
      </c>
      <c r="G80" s="510" t="e">
        <f>'Cental Budget'!#REF!/'Central budget fiskalna'!AB80*100-100</f>
        <v>#REF!</v>
      </c>
      <c r="H80" s="473" t="e">
        <f>'Cental Budget'!#REF!-'Central budget fiskalna'!AD80</f>
        <v>#REF!</v>
      </c>
      <c r="I80" s="510" t="e">
        <f>'Cental Budget'!#REF!/'Central budget fiskalna'!AD80*100-100</f>
        <v>#REF!</v>
      </c>
      <c r="J80" s="473" t="e">
        <f>'Cental Budget'!#REF!-'Central budget fiskalna'!AF80</f>
        <v>#REF!</v>
      </c>
      <c r="K80" s="510" t="e">
        <f>'Cental Budget'!#REF!/'Central budget fiskalna'!AF80*100-100</f>
        <v>#REF!</v>
      </c>
    </row>
    <row r="81" spans="3:11" ht="14.25" thickTop="1" thickBot="1">
      <c r="C81" s="495" t="s">
        <v>112</v>
      </c>
      <c r="D81" s="473">
        <f>'Cental Budget'!Z81-'Central budget fiskalna'!Z81</f>
        <v>0</v>
      </c>
      <c r="E81" s="510" t="e">
        <f>'Cental Budget'!Z81/'Central budget fiskalna'!Z81*100-100</f>
        <v>#DIV/0!</v>
      </c>
      <c r="F81" s="473" t="e">
        <f>'Cental Budget'!#REF!-'Central budget fiskalna'!AB81</f>
        <v>#REF!</v>
      </c>
      <c r="G81" s="510" t="e">
        <f>'Cental Budget'!#REF!/'Central budget fiskalna'!AB81*100-100</f>
        <v>#REF!</v>
      </c>
      <c r="H81" s="473" t="e">
        <f>'Cental Budget'!#REF!-'Central budget fiskalna'!AD81</f>
        <v>#REF!</v>
      </c>
      <c r="I81" s="510" t="e">
        <f>'Cental Budget'!#REF!/'Central budget fiskalna'!AD81*100-100</f>
        <v>#REF!</v>
      </c>
      <c r="J81" s="473" t="e">
        <f>'Cental Budget'!#REF!-'Central budget fiskalna'!AF81</f>
        <v>#REF!</v>
      </c>
      <c r="K81" s="510" t="e">
        <f>'Cental Budget'!#REF!/'Central budget fiskalna'!AF81*100-100</f>
        <v>#REF!</v>
      </c>
    </row>
    <row r="82" spans="3:11" ht="14.25" thickTop="1" thickBot="1">
      <c r="C82" s="495" t="s">
        <v>115</v>
      </c>
      <c r="D82" s="473">
        <f>'Cental Budget'!Z82-'Central budget fiskalna'!Z82</f>
        <v>39960824.650000006</v>
      </c>
      <c r="E82" s="510" t="e">
        <f>'Cental Budget'!Z82/'Central budget fiskalna'!Z82*100-100</f>
        <v>#DIV/0!</v>
      </c>
      <c r="F82" s="473" t="e">
        <f>'Cental Budget'!#REF!-'Central budget fiskalna'!AB82</f>
        <v>#REF!</v>
      </c>
      <c r="G82" s="510" t="e">
        <f>'Cental Budget'!#REF!/'Central budget fiskalna'!AB82*100-100</f>
        <v>#REF!</v>
      </c>
      <c r="H82" s="473" t="e">
        <f>'Cental Budget'!#REF!-'Central budget fiskalna'!AD82</f>
        <v>#REF!</v>
      </c>
      <c r="I82" s="510" t="e">
        <f>'Cental Budget'!#REF!/'Central budget fiskalna'!AD82*100-100</f>
        <v>#REF!</v>
      </c>
      <c r="J82" s="473" t="e">
        <f>'Cental Budget'!#REF!-'Central budget fiskalna'!AF82</f>
        <v>#REF!</v>
      </c>
      <c r="K82" s="510" t="e">
        <f>'Cental Budget'!#REF!/'Central budget fiskalna'!AF82*100-100</f>
        <v>#REF!</v>
      </c>
    </row>
    <row r="83" spans="3:11" ht="14.25" thickTop="1" thickBot="1">
      <c r="C83" s="464" t="s">
        <v>151</v>
      </c>
      <c r="D83" s="473">
        <f>'Cental Budget'!Z83-'Central budget fiskalna'!Z83</f>
        <v>13993228.51</v>
      </c>
      <c r="E83" s="510" t="e">
        <f>'Cental Budget'!Z83/'Central budget fiskalna'!Z83*100-100</f>
        <v>#DIV/0!</v>
      </c>
      <c r="F83" s="473" t="e">
        <f>'Cental Budget'!#REF!-'Central budget fiskalna'!AB83</f>
        <v>#REF!</v>
      </c>
      <c r="G83" s="510" t="e">
        <f>'Cental Budget'!#REF!/'Central budget fiskalna'!AB83*100-100</f>
        <v>#REF!</v>
      </c>
      <c r="H83" s="473" t="e">
        <f>'Cental Budget'!#REF!-'Central budget fiskalna'!AD83</f>
        <v>#REF!</v>
      </c>
      <c r="I83" s="510" t="e">
        <f>'Cental Budget'!#REF!/'Central budget fiskalna'!AD83*100-100</f>
        <v>#REF!</v>
      </c>
      <c r="J83" s="473" t="e">
        <f>'Cental Budget'!#REF!-'Central budget fiskalna'!AF83</f>
        <v>#REF!</v>
      </c>
      <c r="K83" s="510" t="e">
        <f>'Cental Budget'!#REF!/'Central budget fiskalna'!AF83*100-100</f>
        <v>#REF!</v>
      </c>
    </row>
    <row r="84" spans="3:11" ht="14.25" thickTop="1" thickBot="1">
      <c r="C84" s="458" t="s">
        <v>131</v>
      </c>
      <c r="D84" s="473">
        <f>'Cental Budget'!Z84-'Central budget fiskalna'!Z84</f>
        <v>-39739779.738081694</v>
      </c>
      <c r="E84" s="510">
        <f>'Cental Budget'!Z84/'Central budget fiskalna'!Z84*100-100</f>
        <v>20.159551101745393</v>
      </c>
      <c r="F84" s="473" t="e">
        <f>'Cental Budget'!#REF!-'Central budget fiskalna'!AB84</f>
        <v>#REF!</v>
      </c>
      <c r="G84" s="510" t="e">
        <f>'Cental Budget'!#REF!/'Central budget fiskalna'!AB84*100-100</f>
        <v>#REF!</v>
      </c>
      <c r="H84" s="473" t="e">
        <f>'Cental Budget'!#REF!-'Central budget fiskalna'!AD84</f>
        <v>#REF!</v>
      </c>
      <c r="I84" s="510" t="e">
        <f>'Cental Budget'!#REF!/'Central budget fiskalna'!AD84*100-100</f>
        <v>#REF!</v>
      </c>
      <c r="J84" s="473" t="e">
        <f>'Cental Budget'!#REF!-'Central budget fiskalna'!AF84</f>
        <v>#REF!</v>
      </c>
      <c r="K84" s="510" t="e">
        <f>'Cental Budget'!#REF!/'Central budget fiskalna'!AF84*100-100</f>
        <v>#REF!</v>
      </c>
    </row>
    <row r="85" spans="3:11" ht="14.25" thickTop="1" thickBot="1">
      <c r="C85" s="458" t="s">
        <v>394</v>
      </c>
      <c r="D85" s="473">
        <f>'Cental Budget'!Z85-'Central budget fiskalna'!Z85</f>
        <v>-53733008.248081684</v>
      </c>
      <c r="E85" s="510">
        <f>'Cental Budget'!Z85/'Central budget fiskalna'!Z85*100-100</f>
        <v>27.25816128743341</v>
      </c>
      <c r="F85" s="473" t="e">
        <f>'Cental Budget'!#REF!-'Central budget fiskalna'!AB85</f>
        <v>#REF!</v>
      </c>
      <c r="G85" s="510" t="e">
        <f>'Cental Budget'!#REF!/'Central budget fiskalna'!AB85*100-100</f>
        <v>#REF!</v>
      </c>
      <c r="H85" s="473" t="e">
        <f>'Cental Budget'!#REF!-'Central budget fiskalna'!AD85</f>
        <v>#REF!</v>
      </c>
      <c r="I85" s="510" t="e">
        <f>'Cental Budget'!#REF!/'Central budget fiskalna'!AD85*100-100</f>
        <v>#REF!</v>
      </c>
      <c r="J85" s="473" t="e">
        <f>'Cental Budget'!#REF!-'Central budget fiskalna'!AF85</f>
        <v>#REF!</v>
      </c>
      <c r="K85" s="510" t="e">
        <f>'Cental Budget'!#REF!/'Central budget fiskalna'!AF85*100-100</f>
        <v>#REF!</v>
      </c>
    </row>
    <row r="86" spans="3:11" ht="14.25" thickTop="1" thickBot="1">
      <c r="C86" s="458" t="s">
        <v>132</v>
      </c>
      <c r="D86" s="473">
        <f>'Cental Budget'!Z86-'Central budget fiskalna'!Z86</f>
        <v>-50391255.578081667</v>
      </c>
      <c r="E86" s="510">
        <f>'Cental Budget'!Z86/'Central budget fiskalna'!Z86*100-100</f>
        <v>49.518401274109522</v>
      </c>
      <c r="F86" s="473" t="e">
        <f>'Cental Budget'!#REF!-'Central budget fiskalna'!AB86</f>
        <v>#REF!</v>
      </c>
      <c r="G86" s="510" t="e">
        <f>'Cental Budget'!#REF!/'Central budget fiskalna'!AB86*100-100</f>
        <v>#REF!</v>
      </c>
      <c r="H86" s="473" t="e">
        <f>'Cental Budget'!#REF!-'Central budget fiskalna'!AD86</f>
        <v>#REF!</v>
      </c>
      <c r="I86" s="510" t="e">
        <f>'Cental Budget'!#REF!/'Central budget fiskalna'!AD86*100-100</f>
        <v>#REF!</v>
      </c>
      <c r="J86" s="473" t="e">
        <f>'Cental Budget'!#REF!-'Central budget fiskalna'!AF86</f>
        <v>#REF!</v>
      </c>
      <c r="K86" s="510" t="e">
        <f>'Cental Budget'!#REF!/'Central budget fiskalna'!AF86*100-100</f>
        <v>#REF!</v>
      </c>
    </row>
    <row r="87" spans="3:11" ht="14.25" thickTop="1" thickBot="1">
      <c r="C87" s="458" t="s">
        <v>0</v>
      </c>
      <c r="D87" s="473">
        <f>'Cental Budget'!Z87-'Central budget fiskalna'!Z87</f>
        <v>138185065.70000005</v>
      </c>
      <c r="E87" s="510">
        <f>'Cental Budget'!Z87/'Central budget fiskalna'!Z87*100-100</f>
        <v>62.692988344817365</v>
      </c>
      <c r="F87" s="473" t="e">
        <f>'Cental Budget'!#REF!-'Central budget fiskalna'!AB87</f>
        <v>#REF!</v>
      </c>
      <c r="G87" s="510" t="e">
        <f>'Cental Budget'!#REF!/'Central budget fiskalna'!AB87*100-100</f>
        <v>#REF!</v>
      </c>
      <c r="H87" s="473" t="e">
        <f>'Cental Budget'!#REF!-'Central budget fiskalna'!AD87</f>
        <v>#REF!</v>
      </c>
      <c r="I87" s="510" t="e">
        <f>'Cental Budget'!#REF!/'Central budget fiskalna'!AD87*100-100</f>
        <v>#REF!</v>
      </c>
      <c r="J87" s="473" t="e">
        <f>'Cental Budget'!#REF!-'Central budget fiskalna'!AF87</f>
        <v>#REF!</v>
      </c>
      <c r="K87" s="510" t="e">
        <f>'Cental Budget'!#REF!/'Central budget fiskalna'!AF87*100-100</f>
        <v>#REF!</v>
      </c>
    </row>
    <row r="88" spans="3:11" ht="13.5" thickTop="1">
      <c r="C88" s="471" t="s">
        <v>134</v>
      </c>
      <c r="D88" s="473">
        <f>'Cental Budget'!Z88-'Central budget fiskalna'!Z88</f>
        <v>174100813.68000001</v>
      </c>
      <c r="E88" s="510">
        <f>'Cental Budget'!Z88/'Central budget fiskalna'!Z88*100-100</f>
        <v>335.37783763660951</v>
      </c>
      <c r="F88" s="473" t="e">
        <f>'Cental Budget'!#REF!-'Central budget fiskalna'!AB88</f>
        <v>#REF!</v>
      </c>
      <c r="G88" s="510" t="e">
        <f>'Cental Budget'!#REF!/'Central budget fiskalna'!AB88*100-100</f>
        <v>#REF!</v>
      </c>
      <c r="H88" s="473" t="e">
        <f>'Cental Budget'!#REF!-'Central budget fiskalna'!AD88</f>
        <v>#REF!</v>
      </c>
      <c r="I88" s="510" t="e">
        <f>'Cental Budget'!#REF!/'Central budget fiskalna'!AD88*100-100</f>
        <v>#REF!</v>
      </c>
      <c r="J88" s="473" t="e">
        <f>'Cental Budget'!#REF!-'Central budget fiskalna'!AF88</f>
        <v>#REF!</v>
      </c>
      <c r="K88" s="510" t="e">
        <f>'Cental Budget'!#REF!/'Central budget fiskalna'!AF88*100-100</f>
        <v>#REF!</v>
      </c>
    </row>
    <row r="89" spans="3:11">
      <c r="C89" s="471" t="s">
        <v>136</v>
      </c>
      <c r="D89" s="473">
        <f>'Cental Budget'!Z89-'Central budget fiskalna'!Z89</f>
        <v>-2199249.1799999475</v>
      </c>
      <c r="E89" s="510">
        <f>'Cental Budget'!Z89/'Central budget fiskalna'!Z89*100-100</f>
        <v>-1.6316458808863814</v>
      </c>
      <c r="F89" s="473" t="e">
        <f>'Cental Budget'!#REF!-'Central budget fiskalna'!AB89</f>
        <v>#REF!</v>
      </c>
      <c r="G89" s="510" t="e">
        <f>'Cental Budget'!#REF!/'Central budget fiskalna'!AB89*100-100</f>
        <v>#REF!</v>
      </c>
      <c r="H89" s="473" t="e">
        <f>'Cental Budget'!#REF!-'Central budget fiskalna'!AD89</f>
        <v>#REF!</v>
      </c>
      <c r="I89" s="510" t="e">
        <f>'Cental Budget'!#REF!/'Central budget fiskalna'!AD89*100-100</f>
        <v>#REF!</v>
      </c>
      <c r="J89" s="473" t="e">
        <f>'Cental Budget'!#REF!-'Central budget fiskalna'!AF89</f>
        <v>#REF!</v>
      </c>
      <c r="K89" s="510" t="e">
        <f>'Cental Budget'!#REF!/'Central budget fiskalna'!AF89*100-100</f>
        <v>#REF!</v>
      </c>
    </row>
    <row r="90" spans="3:11" ht="13.5" thickBot="1">
      <c r="C90" s="471" t="s">
        <v>115</v>
      </c>
      <c r="D90" s="473">
        <f>'Cental Budget'!Z90-'Central budget fiskalna'!Z90</f>
        <v>-33716498.799999997</v>
      </c>
      <c r="E90" s="510">
        <f>'Cental Budget'!Z90/'Central budget fiskalna'!Z90*100-100</f>
        <v>-100</v>
      </c>
      <c r="F90" s="473" t="e">
        <f>'Cental Budget'!#REF!-'Central budget fiskalna'!AB90</f>
        <v>#REF!</v>
      </c>
      <c r="G90" s="510" t="e">
        <f>'Cental Budget'!#REF!/'Central budget fiskalna'!AB90*100-100</f>
        <v>#REF!</v>
      </c>
      <c r="H90" s="473" t="e">
        <f>'Cental Budget'!#REF!-'Central budget fiskalna'!AD90</f>
        <v>#REF!</v>
      </c>
      <c r="I90" s="510" t="e">
        <f>'Cental Budget'!#REF!/'Central budget fiskalna'!AD90*100-100</f>
        <v>#REF!</v>
      </c>
      <c r="J90" s="473" t="e">
        <f>'Cental Budget'!#REF!-'Central budget fiskalna'!AF90</f>
        <v>#REF!</v>
      </c>
      <c r="K90" s="510" t="e">
        <f>'Cental Budget'!#REF!/'Central budget fiskalna'!AF90*100-100</f>
        <v>#REF!</v>
      </c>
    </row>
    <row r="91" spans="3:11" ht="14.25" thickTop="1" thickBot="1">
      <c r="C91" s="458" t="s">
        <v>140</v>
      </c>
      <c r="D91" s="473">
        <f>'Cental Budget'!Z91-'Central budget fiskalna'!Z91</f>
        <v>-191918073.94808173</v>
      </c>
      <c r="E91" s="510">
        <f>'Cental Budget'!Z91/'Central budget fiskalna'!Z91*100-100</f>
        <v>45.963797319388732</v>
      </c>
      <c r="F91" s="473" t="e">
        <f>'Cental Budget'!#REF!-'Central budget fiskalna'!AB91</f>
        <v>#REF!</v>
      </c>
      <c r="G91" s="510" t="e">
        <f>'Cental Budget'!#REF!/'Central budget fiskalna'!AB91*100-100</f>
        <v>#REF!</v>
      </c>
      <c r="H91" s="473" t="e">
        <f>'Cental Budget'!#REF!-'Central budget fiskalna'!AD91</f>
        <v>#REF!</v>
      </c>
      <c r="I91" s="510" t="e">
        <f>'Cental Budget'!#REF!/'Central budget fiskalna'!AD91*100-100</f>
        <v>#REF!</v>
      </c>
      <c r="J91" s="473" t="e">
        <f>'Cental Budget'!#REF!-'Central budget fiskalna'!AF91</f>
        <v>#REF!</v>
      </c>
      <c r="K91" s="510" t="e">
        <f>'Cental Budget'!#REF!/'Central budget fiskalna'!AF91*100-100</f>
        <v>#REF!</v>
      </c>
    </row>
    <row r="92" spans="3:11" ht="14.25" thickTop="1" thickBot="1">
      <c r="C92" s="458" t="s">
        <v>120</v>
      </c>
      <c r="D92" s="473">
        <f>'Cental Budget'!Z92-'Central budget fiskalna'!Z92</f>
        <v>191918073.94808173</v>
      </c>
      <c r="E92" s="510">
        <f>'Cental Budget'!Z92/'Central budget fiskalna'!Z92*100-100</f>
        <v>45.963797319388732</v>
      </c>
      <c r="F92" s="473" t="e">
        <f>'Cental Budget'!#REF!-'Central budget fiskalna'!AB92</f>
        <v>#REF!</v>
      </c>
      <c r="G92" s="510" t="e">
        <f>'Cental Budget'!#REF!/'Central budget fiskalna'!AB92*100-100</f>
        <v>#REF!</v>
      </c>
      <c r="H92" s="473" t="e">
        <f>'Cental Budget'!#REF!-'Central budget fiskalna'!AD92</f>
        <v>#REF!</v>
      </c>
      <c r="I92" s="510" t="e">
        <f>'Cental Budget'!#REF!/'Central budget fiskalna'!AD92*100-100</f>
        <v>#REF!</v>
      </c>
      <c r="J92" s="473" t="e">
        <f>'Cental Budget'!#REF!-'Central budget fiskalna'!AF92</f>
        <v>#REF!</v>
      </c>
      <c r="K92" s="510" t="e">
        <f>'Cental Budget'!#REF!/'Central budget fiskalna'!AF92*100-100</f>
        <v>#REF!</v>
      </c>
    </row>
    <row r="93" spans="3:11" ht="13.5" thickTop="1">
      <c r="C93" s="471" t="s">
        <v>143</v>
      </c>
      <c r="D93" s="473">
        <f>'Cental Budget'!Z93-'Central budget fiskalna'!Z93</f>
        <v>190070000</v>
      </c>
      <c r="E93" s="510">
        <f>'Cental Budget'!Z93/'Central budget fiskalna'!Z93*100-100</f>
        <v>271.52857142857141</v>
      </c>
      <c r="F93" s="473" t="e">
        <f>'Cental Budget'!#REF!-'Central budget fiskalna'!AB93</f>
        <v>#REF!</v>
      </c>
      <c r="G93" s="510" t="e">
        <f>'Cental Budget'!#REF!/'Central budget fiskalna'!AB93*100-100</f>
        <v>#REF!</v>
      </c>
      <c r="H93" s="473" t="e">
        <f>'Cental Budget'!#REF!-'Central budget fiskalna'!AD93</f>
        <v>#REF!</v>
      </c>
      <c r="I93" s="510" t="e">
        <f>'Cental Budget'!#REF!/'Central budget fiskalna'!AD93*100-100</f>
        <v>#REF!</v>
      </c>
      <c r="J93" s="473" t="e">
        <f>'Cental Budget'!#REF!-'Central budget fiskalna'!AF93</f>
        <v>#REF!</v>
      </c>
      <c r="K93" s="510" t="e">
        <f>'Cental Budget'!#REF!/'Central budget fiskalna'!AF93*100-100</f>
        <v>#REF!</v>
      </c>
    </row>
    <row r="94" spans="3:11">
      <c r="C94" s="471" t="s">
        <v>121</v>
      </c>
      <c r="D94" s="473">
        <f>'Cental Budget'!Z94-'Central budget fiskalna'!Z94</f>
        <v>-1406971.2548699379</v>
      </c>
      <c r="E94" s="510">
        <f>'Cental Budget'!Z94/'Central budget fiskalna'!Z94*100-100</f>
        <v>-0.39725444428113121</v>
      </c>
      <c r="F94" s="473" t="e">
        <f>'Cental Budget'!#REF!-'Central budget fiskalna'!AB94</f>
        <v>#REF!</v>
      </c>
      <c r="G94" s="510" t="e">
        <f>'Cental Budget'!#REF!/'Central budget fiskalna'!AB94*100-100</f>
        <v>#REF!</v>
      </c>
      <c r="H94" s="473" t="e">
        <f>'Cental Budget'!#REF!-'Central budget fiskalna'!AD94</f>
        <v>#REF!</v>
      </c>
      <c r="I94" s="510" t="e">
        <f>'Cental Budget'!#REF!/'Central budget fiskalna'!AD94*100-100</f>
        <v>#REF!</v>
      </c>
      <c r="J94" s="473" t="e">
        <f>'Cental Budget'!#REF!-'Central budget fiskalna'!AF94</f>
        <v>#REF!</v>
      </c>
      <c r="K94" s="510" t="e">
        <f>'Cental Budget'!#REF!/'Central budget fiskalna'!AF94*100-100</f>
        <v>#REF!</v>
      </c>
    </row>
    <row r="95" spans="3:11">
      <c r="C95" s="506" t="s">
        <v>326</v>
      </c>
      <c r="D95" s="473">
        <f>'Cental Budget'!Z95-'Central budget fiskalna'!Z95</f>
        <v>6191115.2299999995</v>
      </c>
      <c r="E95" s="510" t="e">
        <f>'Cental Budget'!Z95/'Central budget fiskalna'!Z95*100-100</f>
        <v>#DIV/0!</v>
      </c>
      <c r="F95" s="473" t="e">
        <f>'Cental Budget'!#REF!-'Central budget fiskalna'!AB95</f>
        <v>#REF!</v>
      </c>
      <c r="G95" s="510" t="e">
        <f>'Cental Budget'!#REF!/'Central budget fiskalna'!AB95*100-100</f>
        <v>#REF!</v>
      </c>
      <c r="H95" s="473" t="e">
        <f>'Cental Budget'!#REF!-'Central budget fiskalna'!AD95</f>
        <v>#REF!</v>
      </c>
      <c r="I95" s="510" t="e">
        <f>'Cental Budget'!#REF!/'Central budget fiskalna'!AD95*100-100</f>
        <v>#REF!</v>
      </c>
      <c r="J95" s="473" t="e">
        <f>'Cental Budget'!#REF!-'Central budget fiskalna'!AF95</f>
        <v>#REF!</v>
      </c>
      <c r="K95" s="510" t="e">
        <f>'Cental Budget'!#REF!/'Central budget fiskalna'!AF95*100-100</f>
        <v>#REF!</v>
      </c>
    </row>
    <row r="96" spans="3:11" ht="13.5" thickBot="1">
      <c r="C96" s="509" t="s">
        <v>124</v>
      </c>
      <c r="D96" s="473">
        <f>'Cental Budget'!Z96-'Central budget fiskalna'!Z96</f>
        <v>-16929298.537048347</v>
      </c>
      <c r="E96" s="510">
        <f>'Cental Budget'!Z96/'Central budget fiskalna'!Z96*100-100</f>
        <v>255.26656503609837</v>
      </c>
      <c r="F96" s="473" t="e">
        <f>'Cental Budget'!#REF!-'Central budget fiskalna'!AB96</f>
        <v>#REF!</v>
      </c>
      <c r="G96" s="510" t="e">
        <f>'Cental Budget'!#REF!/'Central budget fiskalna'!AB96*100-100</f>
        <v>#REF!</v>
      </c>
      <c r="H96" s="473" t="e">
        <f>'Cental Budget'!#REF!-'Central budget fiskalna'!AD96</f>
        <v>#REF!</v>
      </c>
      <c r="I96" s="510" t="e">
        <f>'Cental Budget'!#REF!/'Central budget fiskalna'!AD96*100-100</f>
        <v>#REF!</v>
      </c>
      <c r="J96" s="473" t="e">
        <f>'Cental Budget'!#REF!-'Central budget fiskalna'!AF96</f>
        <v>#REF!</v>
      </c>
      <c r="K96" s="510" t="e">
        <f>'Cental Budget'!#REF!/'Central budget fiskalna'!AF96*100-100</f>
        <v>#REF!</v>
      </c>
    </row>
    <row r="97" ht="13.5" thickTop="1"/>
  </sheetData>
  <mergeCells count="6">
    <mergeCell ref="D11:K12"/>
    <mergeCell ref="C13:C14"/>
    <mergeCell ref="D13:E13"/>
    <mergeCell ref="F13:G13"/>
    <mergeCell ref="H13:I13"/>
    <mergeCell ref="J13:K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Welcome tab</vt:lpstr>
      <vt:lpstr>Sheet1</vt:lpstr>
      <vt:lpstr>Stope rasta</vt:lpstr>
      <vt:lpstr>Korekcije</vt:lpstr>
      <vt:lpstr>Sheet2</vt:lpstr>
      <vt:lpstr>Cental Budget</vt:lpstr>
      <vt:lpstr>Local Government_int</vt:lpstr>
      <vt:lpstr>Central budget fiskalna</vt:lpstr>
      <vt:lpstr>Razlika</vt:lpstr>
      <vt:lpstr>Central_sanacioni</vt:lpstr>
      <vt:lpstr>Razlika prihodi </vt:lpstr>
      <vt:lpstr>Public expenditure_int</vt:lpstr>
      <vt:lpstr>MasterSheet</vt:lpstr>
      <vt:lpstr>'Public expenditure_int'!_ftn1</vt:lpstr>
      <vt:lpstr>'Public expenditure_int'!_ftn2</vt:lpstr>
      <vt:lpstr>'Public expenditure_int'!_ftnref1</vt:lpstr>
      <vt:lpstr>'Public expenditure_int'!_ftnref2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Krvavac</dc:creator>
  <cp:lastModifiedBy>aleksandar.bozovic</cp:lastModifiedBy>
  <cp:lastPrinted>2018-07-02T13:46:34Z</cp:lastPrinted>
  <dcterms:created xsi:type="dcterms:W3CDTF">2008-03-17T08:49:23Z</dcterms:created>
  <dcterms:modified xsi:type="dcterms:W3CDTF">2018-09-03T08:11:59Z</dcterms:modified>
</cp:coreProperties>
</file>