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nina.jakic\Desktop\IPARD III\IPARD III program\Mjera 7\7.1\JP\Primjeri popunjenih Zahtjeva za dodjelu podrške i Biznis plana – za fizička i pravna lica\"/>
    </mc:Choice>
  </mc:AlternateContent>
  <xr:revisionPtr revIDLastSave="0" documentId="8_{64EAD6BA-10E9-482E-A45E-E8DE32A25D69}" xr6:coauthVersionLast="36" xr6:coauthVersionMax="36" xr10:uidLastSave="{00000000-0000-0000-0000-000000000000}"/>
  <bookViews>
    <workbookView xWindow="-120" yWindow="-120" windowWidth="29040" windowHeight="15840" tabRatio="817" xr2:uid="{00000000-000D-0000-FFFF-FFFF00000000}"/>
  </bookViews>
  <sheets>
    <sheet name="Tabela 1 Struktura ulaganja" sheetId="7" r:id="rId1"/>
    <sheet name="Tabela 2 Prihodi" sheetId="2" r:id="rId2"/>
    <sheet name="Tabela  3 - Mat. troškovi" sheetId="3" r:id="rId3"/>
    <sheet name="Tabela 4 - Bruto zarade" sheetId="1" r:id="rId4"/>
    <sheet name="Tabela 5 - Amortizacija" sheetId="6" r:id="rId5"/>
    <sheet name="Tabela 6 - Plan otplate kredita" sheetId="8" r:id="rId6"/>
    <sheet name="Tabela 7 - Ostali troškovi" sheetId="4" r:id="rId7"/>
    <sheet name="Tabela 8 -Projekcija bilansa " sheetId="9" r:id="rId8"/>
    <sheet name="Tabela 9 Ekonomski tok" sheetId="10" r:id="rId9"/>
    <sheet name="Tabela 10 - NSV" sheetId="11" r:id="rId10"/>
    <sheet name="Tabela 11 IRR" sheetId="12" state="hidden" r:id="rId11"/>
    <sheet name="Tabela 11 - Period povrata" sheetId="13" r:id="rId12"/>
    <sheet name="Tabela 12 - Finansijski tok" sheetId="15" r:id="rId13"/>
  </sheets>
  <definedNames>
    <definedName name="_xlnm.Print_Area" localSheetId="2">'Tabela  3 - Mat. troškovi'!$A$1:$M$14</definedName>
    <definedName name="_xlnm.Print_Area" localSheetId="9">'Tabela 10 - NSV'!$A$1:$E$12</definedName>
    <definedName name="_xlnm.Print_Area" localSheetId="11">'Tabela 11 - Period povrata'!$A$1:$F$12</definedName>
    <definedName name="_xlnm.Print_Area" localSheetId="12">'Tabela 12 - Finansijski tok'!$A$1:$L$13</definedName>
    <definedName name="_xlnm.Print_Area" localSheetId="1">'Tabela 2 Prihodi'!$A$1:$M$18</definedName>
    <definedName name="_xlnm.Print_Area" localSheetId="3">'Tabela 4 - Bruto zarade'!$A$1:$Q$13</definedName>
    <definedName name="_xlnm.Print_Area" localSheetId="4">'Tabela 5 - Amortizacija'!$A$1:$O$11</definedName>
    <definedName name="_xlnm.Print_Area" localSheetId="5">'Tabela 6 - Plan otplate kredita'!$I$2:$S$5</definedName>
    <definedName name="_xlnm.Print_Area" localSheetId="6">'Tabela 7 - Ostali troškovi'!$A$1:$L$13</definedName>
    <definedName name="_xlnm.Print_Area" localSheetId="7">'Tabela 8 -Projekcija bilansa '!$A$1:$K$13</definedName>
    <definedName name="_xlnm.Print_Area" localSheetId="8">'Tabela 9 Ekonomski tok'!$A$1:$L$9</definedName>
  </definedName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7" i="2" l="1"/>
  <c r="D15" i="2"/>
  <c r="M6" i="2"/>
  <c r="L6" i="2"/>
  <c r="K6" i="2"/>
  <c r="J6" i="2"/>
  <c r="I6" i="2"/>
  <c r="H6" i="2"/>
  <c r="G6" i="2"/>
  <c r="F6" i="2"/>
  <c r="E6" i="2"/>
  <c r="D6" i="2"/>
  <c r="M5" i="2"/>
  <c r="L5" i="2"/>
  <c r="K5" i="2"/>
  <c r="J5" i="2"/>
  <c r="I5" i="2"/>
  <c r="H5" i="2"/>
  <c r="G5" i="2"/>
  <c r="F5" i="2"/>
  <c r="E5" i="2"/>
  <c r="D5" i="2"/>
  <c r="M4" i="2"/>
  <c r="L4" i="2"/>
  <c r="K4" i="2"/>
  <c r="J4" i="2"/>
  <c r="I4" i="2"/>
  <c r="H4" i="2"/>
  <c r="G4" i="2"/>
  <c r="F4" i="2"/>
  <c r="E4" i="2"/>
  <c r="D4" i="2"/>
  <c r="M3" i="2"/>
  <c r="L3" i="2"/>
  <c r="K3" i="2"/>
  <c r="J3" i="2"/>
  <c r="I3" i="2"/>
  <c r="H3" i="2"/>
  <c r="G3" i="2"/>
  <c r="F3" i="2"/>
  <c r="E3" i="2"/>
  <c r="D3" i="2"/>
  <c r="D3" i="7"/>
  <c r="D4" i="7"/>
  <c r="E18" i="2" l="1"/>
  <c r="D18" i="2"/>
  <c r="F18" i="2"/>
  <c r="G18" i="2"/>
  <c r="H18" i="2"/>
  <c r="I18" i="2"/>
  <c r="J18" i="2"/>
  <c r="K18" i="2"/>
  <c r="L18" i="2"/>
  <c r="M18" i="2"/>
  <c r="E3" i="1" l="1"/>
  <c r="D3" i="1"/>
  <c r="F3" i="1" s="1"/>
  <c r="E4" i="1" l="1"/>
  <c r="E5" i="1"/>
  <c r="E6" i="1"/>
  <c r="E7" i="1"/>
  <c r="E8" i="1"/>
  <c r="E9" i="1"/>
  <c r="E10" i="1"/>
  <c r="E11" i="1"/>
  <c r="E12" i="1"/>
  <c r="D4" i="1"/>
  <c r="D5" i="1"/>
  <c r="F5" i="1" s="1"/>
  <c r="D6" i="1"/>
  <c r="D7" i="1"/>
  <c r="D8" i="1"/>
  <c r="D9" i="1"/>
  <c r="F9" i="1" s="1"/>
  <c r="D10" i="1"/>
  <c r="F10" i="1"/>
  <c r="D11" i="1"/>
  <c r="D12" i="1"/>
  <c r="F12" i="1" s="1"/>
  <c r="F4" i="1" l="1"/>
  <c r="F8" i="1"/>
  <c r="F6" i="1"/>
  <c r="F7" i="1"/>
  <c r="F11" i="1"/>
  <c r="C3" i="11"/>
  <c r="C4" i="11" s="1"/>
  <c r="C5" i="11" s="1"/>
  <c r="C6" i="11" s="1"/>
  <c r="C7" i="11" s="1"/>
  <c r="C8" i="11" s="1"/>
  <c r="C9" i="11" s="1"/>
  <c r="C10" i="11" s="1"/>
  <c r="C11" i="11" s="1"/>
  <c r="H13" i="1" l="1"/>
  <c r="F9" i="6"/>
  <c r="F8" i="6"/>
  <c r="F7" i="6"/>
  <c r="F6" i="6"/>
  <c r="F4" i="6"/>
  <c r="F10" i="6"/>
  <c r="F3" i="6"/>
  <c r="G10" i="6"/>
  <c r="H10" i="6"/>
  <c r="I10" i="6"/>
  <c r="J10" i="6"/>
  <c r="K10" i="6"/>
  <c r="L10" i="6"/>
  <c r="M10" i="6"/>
  <c r="N10" i="6"/>
  <c r="O10" i="6"/>
  <c r="G9" i="6"/>
  <c r="H9" i="6"/>
  <c r="I9" i="6"/>
  <c r="J9" i="6"/>
  <c r="K9" i="6"/>
  <c r="L9" i="6"/>
  <c r="M9" i="6"/>
  <c r="N9" i="6"/>
  <c r="O9" i="6"/>
  <c r="G8" i="6"/>
  <c r="H8" i="6"/>
  <c r="I8" i="6"/>
  <c r="J8" i="6"/>
  <c r="K8" i="6"/>
  <c r="L8" i="6"/>
  <c r="M8" i="6"/>
  <c r="N8" i="6"/>
  <c r="O8" i="6"/>
  <c r="G7" i="6"/>
  <c r="H7" i="6"/>
  <c r="I7" i="6"/>
  <c r="J7" i="6"/>
  <c r="K7" i="6"/>
  <c r="L7" i="6"/>
  <c r="M7" i="6"/>
  <c r="N7" i="6"/>
  <c r="O7" i="6"/>
  <c r="G6" i="6"/>
  <c r="H6" i="6"/>
  <c r="I6" i="6"/>
  <c r="J6" i="6"/>
  <c r="K6" i="6"/>
  <c r="L6" i="6"/>
  <c r="M6" i="6"/>
  <c r="N6" i="6"/>
  <c r="O6" i="6"/>
  <c r="G4" i="6"/>
  <c r="H4" i="6"/>
  <c r="I4" i="6"/>
  <c r="J4" i="6"/>
  <c r="K4" i="6"/>
  <c r="L4" i="6"/>
  <c r="M4" i="6"/>
  <c r="N4" i="6"/>
  <c r="O4" i="6"/>
  <c r="G3" i="6"/>
  <c r="H3" i="6"/>
  <c r="I3" i="6"/>
  <c r="J3" i="6"/>
  <c r="K3" i="6"/>
  <c r="L3" i="6"/>
  <c r="M3" i="6"/>
  <c r="N3" i="6"/>
  <c r="O3" i="6"/>
  <c r="C3" i="9"/>
  <c r="D4" i="10" s="1"/>
  <c r="D3" i="9"/>
  <c r="E3" i="9"/>
  <c r="F3" i="9"/>
  <c r="G4" i="10" s="1"/>
  <c r="G3" i="9"/>
  <c r="H3" i="9"/>
  <c r="J3" i="9"/>
  <c r="K3" i="9"/>
  <c r="B3" i="9"/>
  <c r="E4" i="7"/>
  <c r="D5" i="7"/>
  <c r="C6" i="15" s="1"/>
  <c r="C5" i="7"/>
  <c r="B1" i="8" s="1"/>
  <c r="D14" i="3"/>
  <c r="B5" i="9" s="1"/>
  <c r="J4" i="8"/>
  <c r="B8" i="9" s="1"/>
  <c r="C13" i="4"/>
  <c r="B9" i="9" s="1"/>
  <c r="J5" i="8"/>
  <c r="C12" i="15" s="1"/>
  <c r="S5" i="8"/>
  <c r="L12" i="15" s="1"/>
  <c r="R5" i="8"/>
  <c r="K12" i="15" s="1"/>
  <c r="Q5" i="8"/>
  <c r="J12" i="15" s="1"/>
  <c r="P5" i="8"/>
  <c r="I12" i="15" s="1"/>
  <c r="O5" i="8"/>
  <c r="H12" i="15" s="1"/>
  <c r="N5" i="8"/>
  <c r="G12" i="15" s="1"/>
  <c r="M5" i="8"/>
  <c r="F12" i="15" s="1"/>
  <c r="L5" i="8"/>
  <c r="E12" i="15" s="1"/>
  <c r="K5" i="8"/>
  <c r="D12" i="15" s="1"/>
  <c r="M14" i="3"/>
  <c r="K5" i="9" s="1"/>
  <c r="S4" i="8"/>
  <c r="K8" i="9" s="1"/>
  <c r="L13" i="4"/>
  <c r="L14" i="3"/>
  <c r="J5" i="9" s="1"/>
  <c r="R4" i="8"/>
  <c r="J8" i="9" s="1"/>
  <c r="K13" i="4"/>
  <c r="J9" i="9" s="1"/>
  <c r="K14" i="3"/>
  <c r="I5" i="9" s="1"/>
  <c r="Q4" i="8"/>
  <c r="I8" i="9" s="1"/>
  <c r="J13" i="4"/>
  <c r="I9" i="9" s="1"/>
  <c r="J14" i="3"/>
  <c r="H5" i="9" s="1"/>
  <c r="P4" i="8"/>
  <c r="H8" i="9" s="1"/>
  <c r="I13" i="4"/>
  <c r="H9" i="9" s="1"/>
  <c r="I14" i="3"/>
  <c r="G5" i="9" s="1"/>
  <c r="O4" i="8"/>
  <c r="G8" i="9" s="1"/>
  <c r="H13" i="4"/>
  <c r="G9" i="9" s="1"/>
  <c r="H14" i="3"/>
  <c r="F5" i="9" s="1"/>
  <c r="N4" i="8"/>
  <c r="F8" i="9" s="1"/>
  <c r="G13" i="4"/>
  <c r="F9" i="9" s="1"/>
  <c r="G14" i="3"/>
  <c r="E5" i="9" s="1"/>
  <c r="M4" i="8"/>
  <c r="E8" i="9" s="1"/>
  <c r="F13" i="4"/>
  <c r="E9" i="9" s="1"/>
  <c r="F14" i="3"/>
  <c r="D5" i="9" s="1"/>
  <c r="L4" i="8"/>
  <c r="D8" i="9" s="1"/>
  <c r="E13" i="4"/>
  <c r="D9" i="9" s="1"/>
  <c r="E14" i="3"/>
  <c r="C5" i="9" s="1"/>
  <c r="K4" i="8"/>
  <c r="C8" i="9" s="1"/>
  <c r="D13" i="4"/>
  <c r="C9" i="9" s="1"/>
  <c r="I3" i="9"/>
  <c r="E3" i="7"/>
  <c r="E2" i="7"/>
  <c r="K9" i="9"/>
  <c r="I11" i="6" l="1"/>
  <c r="E7" i="9" s="1"/>
  <c r="B6" i="9"/>
  <c r="C8" i="10" s="1"/>
  <c r="C11" i="15" s="1"/>
  <c r="K13" i="1"/>
  <c r="E6" i="9" s="1"/>
  <c r="F8" i="10" s="1"/>
  <c r="F11" i="15" s="1"/>
  <c r="O13" i="1"/>
  <c r="I6" i="9" s="1"/>
  <c r="J8" i="10" s="1"/>
  <c r="J11" i="15" s="1"/>
  <c r="L13" i="1"/>
  <c r="F6" i="9" s="1"/>
  <c r="G8" i="10" s="1"/>
  <c r="G11" i="15" s="1"/>
  <c r="P13" i="1"/>
  <c r="J6" i="9" s="1"/>
  <c r="K8" i="10" s="1"/>
  <c r="K11" i="15" s="1"/>
  <c r="I13" i="1"/>
  <c r="C6" i="9" s="1"/>
  <c r="D8" i="10" s="1"/>
  <c r="D11" i="15" s="1"/>
  <c r="M13" i="1"/>
  <c r="G6" i="9" s="1"/>
  <c r="H8" i="10" s="1"/>
  <c r="H11" i="15" s="1"/>
  <c r="Q13" i="1"/>
  <c r="K6" i="9" s="1"/>
  <c r="L8" i="10" s="1"/>
  <c r="L11" i="15" s="1"/>
  <c r="J13" i="1"/>
  <c r="D6" i="9" s="1"/>
  <c r="E8" i="10" s="1"/>
  <c r="E11" i="15" s="1"/>
  <c r="N13" i="1"/>
  <c r="H6" i="9" s="1"/>
  <c r="I8" i="10" s="1"/>
  <c r="I11" i="15" s="1"/>
  <c r="L11" i="6"/>
  <c r="H7" i="9" s="1"/>
  <c r="H11" i="6"/>
  <c r="D7" i="9" s="1"/>
  <c r="F11" i="6"/>
  <c r="B7" i="9" s="1"/>
  <c r="O11" i="6"/>
  <c r="K7" i="9" s="1"/>
  <c r="G7" i="10"/>
  <c r="I7" i="10"/>
  <c r="K7" i="10"/>
  <c r="L7" i="10"/>
  <c r="N11" i="6"/>
  <c r="J7" i="9" s="1"/>
  <c r="J11" i="6"/>
  <c r="F7" i="9" s="1"/>
  <c r="K11" i="6"/>
  <c r="G7" i="9" s="1"/>
  <c r="G11" i="6"/>
  <c r="C7" i="9" s="1"/>
  <c r="M11" i="6"/>
  <c r="I7" i="9" s="1"/>
  <c r="C7" i="10"/>
  <c r="C10" i="15" s="1"/>
  <c r="D7" i="10"/>
  <c r="E7" i="10"/>
  <c r="F7" i="10"/>
  <c r="H7" i="10"/>
  <c r="J7" i="10"/>
  <c r="H4" i="10"/>
  <c r="H3" i="10" s="1"/>
  <c r="K4" i="10"/>
  <c r="K3" i="10" s="1"/>
  <c r="I4" i="10"/>
  <c r="E4" i="10"/>
  <c r="L4" i="10"/>
  <c r="D4" i="15"/>
  <c r="D3" i="15" s="1"/>
  <c r="D3" i="10"/>
  <c r="J4" i="10"/>
  <c r="F4" i="10"/>
  <c r="H4" i="15"/>
  <c r="H3" i="15" s="1"/>
  <c r="G4" i="15"/>
  <c r="G3" i="15" s="1"/>
  <c r="G3" i="10"/>
  <c r="E5" i="7"/>
  <c r="C6" i="10" s="1"/>
  <c r="C9" i="15" s="1"/>
  <c r="C7" i="15"/>
  <c r="C5" i="15" s="1"/>
  <c r="F2" i="8"/>
  <c r="F1" i="8"/>
  <c r="C4" i="10"/>
  <c r="I4" i="9" l="1"/>
  <c r="I10" i="9" s="1"/>
  <c r="I11" i="9" s="1"/>
  <c r="I12" i="9" s="1"/>
  <c r="I13" i="9" s="1"/>
  <c r="K5" i="10"/>
  <c r="K9" i="10" s="1"/>
  <c r="B10" i="11" s="1"/>
  <c r="D10" i="11" s="1"/>
  <c r="D11" i="13" s="1"/>
  <c r="G5" i="10"/>
  <c r="G9" i="10" s="1"/>
  <c r="B6" i="11" s="1"/>
  <c r="D6" i="11" s="1"/>
  <c r="D7" i="13" s="1"/>
  <c r="B4" i="9"/>
  <c r="B10" i="9" s="1"/>
  <c r="B11" i="9" s="1"/>
  <c r="B12" i="9" s="1"/>
  <c r="B13" i="9" s="1"/>
  <c r="G4" i="9"/>
  <c r="G10" i="9" s="1"/>
  <c r="G11" i="9" s="1"/>
  <c r="G12" i="9" s="1"/>
  <c r="G13" i="9" s="1"/>
  <c r="F4" i="9"/>
  <c r="F10" i="9" s="1"/>
  <c r="F11" i="9" s="1"/>
  <c r="F12" i="9" s="1"/>
  <c r="F13" i="9" s="1"/>
  <c r="E4" i="9"/>
  <c r="E10" i="9" s="1"/>
  <c r="E11" i="9" s="1"/>
  <c r="E12" i="9" s="1"/>
  <c r="E13" i="9" s="1"/>
  <c r="D4" i="9"/>
  <c r="D10" i="9" s="1"/>
  <c r="D11" i="9" s="1"/>
  <c r="D12" i="9" s="1"/>
  <c r="D13" i="9" s="1"/>
  <c r="H4" i="9"/>
  <c r="H10" i="9" s="1"/>
  <c r="H11" i="9" s="1"/>
  <c r="H12" i="9" s="1"/>
  <c r="H13" i="9" s="1"/>
  <c r="I5" i="10"/>
  <c r="J4" i="9"/>
  <c r="J10" i="9" s="1"/>
  <c r="J11" i="9" s="1"/>
  <c r="J12" i="9" s="1"/>
  <c r="J13" i="9" s="1"/>
  <c r="C4" i="9"/>
  <c r="C10" i="9" s="1"/>
  <c r="C11" i="9" s="1"/>
  <c r="C12" i="9" s="1"/>
  <c r="C13" i="9" s="1"/>
  <c r="L5" i="10"/>
  <c r="K4" i="9"/>
  <c r="K10" i="9" s="1"/>
  <c r="K11" i="9" s="1"/>
  <c r="K12" i="9" s="1"/>
  <c r="K13" i="9" s="1"/>
  <c r="B3" i="13"/>
  <c r="K4" i="15"/>
  <c r="K3" i="15" s="1"/>
  <c r="L10" i="15"/>
  <c r="L8" i="15" s="1"/>
  <c r="K10" i="15"/>
  <c r="K8" i="15" s="1"/>
  <c r="I10" i="15"/>
  <c r="I8" i="15" s="1"/>
  <c r="G10" i="15"/>
  <c r="G8" i="15" s="1"/>
  <c r="G13" i="15" s="1"/>
  <c r="C5" i="10"/>
  <c r="C8" i="15"/>
  <c r="J5" i="10"/>
  <c r="J10" i="15"/>
  <c r="J8" i="15" s="1"/>
  <c r="F5" i="10"/>
  <c r="F10" i="15"/>
  <c r="F8" i="15" s="1"/>
  <c r="D10" i="15"/>
  <c r="D8" i="15" s="1"/>
  <c r="D13" i="15" s="1"/>
  <c r="D5" i="10"/>
  <c r="D9" i="10" s="1"/>
  <c r="B3" i="11" s="1"/>
  <c r="H10" i="15"/>
  <c r="H8" i="15" s="1"/>
  <c r="H13" i="15" s="1"/>
  <c r="H5" i="10"/>
  <c r="H9" i="10" s="1"/>
  <c r="B7" i="11" s="1"/>
  <c r="E10" i="15"/>
  <c r="E8" i="15" s="1"/>
  <c r="E5" i="10"/>
  <c r="I3" i="10"/>
  <c r="I4" i="15"/>
  <c r="I3" i="15" s="1"/>
  <c r="E3" i="10"/>
  <c r="E4" i="15"/>
  <c r="E3" i="15" s="1"/>
  <c r="J4" i="15"/>
  <c r="J3" i="15" s="1"/>
  <c r="J3" i="10"/>
  <c r="F4" i="15"/>
  <c r="F3" i="15" s="1"/>
  <c r="F3" i="10"/>
  <c r="L4" i="15"/>
  <c r="L3" i="15" s="1"/>
  <c r="L3" i="10"/>
  <c r="C5" i="13"/>
  <c r="C6" i="13"/>
  <c r="C10" i="13"/>
  <c r="C8" i="13"/>
  <c r="C12" i="13"/>
  <c r="C7" i="13"/>
  <c r="C9" i="13"/>
  <c r="C11" i="13"/>
  <c r="C4" i="13"/>
  <c r="C3" i="13"/>
  <c r="C4" i="15"/>
  <c r="C3" i="15" s="1"/>
  <c r="C3" i="10"/>
  <c r="K13" i="15" l="1"/>
  <c r="L9" i="10"/>
  <c r="B11" i="11" s="1"/>
  <c r="D11" i="11" s="1"/>
  <c r="D12" i="13" s="1"/>
  <c r="I9" i="10"/>
  <c r="B8" i="11" s="1"/>
  <c r="B8" i="12" s="1"/>
  <c r="C9" i="10"/>
  <c r="B2" i="11" s="1"/>
  <c r="D2" i="11" s="1"/>
  <c r="D3" i="13" s="1"/>
  <c r="E3" i="13" s="1"/>
  <c r="L13" i="15"/>
  <c r="I13" i="15"/>
  <c r="J9" i="10"/>
  <c r="B9" i="11" s="1"/>
  <c r="D9" i="11" s="1"/>
  <c r="D10" i="13" s="1"/>
  <c r="B6" i="12"/>
  <c r="F9" i="10"/>
  <c r="B5" i="11" s="1"/>
  <c r="D5" i="11" s="1"/>
  <c r="D6" i="13" s="1"/>
  <c r="E9" i="10"/>
  <c r="B4" i="11" s="1"/>
  <c r="C13" i="15"/>
  <c r="J13" i="15"/>
  <c r="B3" i="12"/>
  <c r="D3" i="11"/>
  <c r="D4" i="13" s="1"/>
  <c r="B10" i="12"/>
  <c r="F13" i="15"/>
  <c r="E13" i="15"/>
  <c r="D7" i="11"/>
  <c r="D8" i="13" s="1"/>
  <c r="B7" i="12"/>
  <c r="B11" i="12" l="1"/>
  <c r="D8" i="11"/>
  <c r="D9" i="13" s="1"/>
  <c r="B2" i="12"/>
  <c r="B9" i="12"/>
  <c r="B5" i="12"/>
  <c r="B12" i="11"/>
  <c r="B4" i="12"/>
  <c r="D4" i="11"/>
  <c r="D12" i="11" l="1"/>
  <c r="D5" i="13"/>
  <c r="B12" i="12"/>
  <c r="E6" i="11"/>
  <c r="C2" i="12"/>
  <c r="E4" i="13"/>
  <c r="F3" i="13"/>
  <c r="F4" i="13" l="1"/>
  <c r="E5" i="13"/>
  <c r="F5" i="13" l="1"/>
  <c r="E6" i="13"/>
  <c r="F6" i="13" l="1"/>
  <c r="E7" i="13"/>
  <c r="F7" i="13" l="1"/>
  <c r="E8" i="13"/>
  <c r="F8" i="13" l="1"/>
  <c r="E9" i="13"/>
  <c r="F9" i="13" l="1"/>
  <c r="E10" i="13"/>
  <c r="F10" i="13" l="1"/>
  <c r="E11" i="13"/>
  <c r="F11" i="13" l="1"/>
  <c r="E12" i="13"/>
  <c r="F12" i="13" s="1"/>
</calcChain>
</file>

<file path=xl/sharedStrings.xml><?xml version="1.0" encoding="utf-8"?>
<sst xmlns="http://schemas.openxmlformats.org/spreadsheetml/2006/main" count="167" uniqueCount="122">
  <si>
    <t>rb</t>
  </si>
  <si>
    <t>Naziv radnog mjesta</t>
  </si>
  <si>
    <t>Neto Plata (mjesečna)</t>
  </si>
  <si>
    <t>UKUPNO BRUTO PLATA PO GODINAMA</t>
  </si>
  <si>
    <t>UKUPNO</t>
  </si>
  <si>
    <t>Broj mjeseci rada (max 12)</t>
  </si>
  <si>
    <t>Naziv proizvoda / usluge</t>
  </si>
  <si>
    <t>jed. mjere</t>
  </si>
  <si>
    <t>Cijena</t>
  </si>
  <si>
    <t>UKUPNO PRIHOD PO GODINAMA</t>
  </si>
  <si>
    <t>Naziv troška</t>
  </si>
  <si>
    <t>UKUPNO TROŠAK PO GODINAMA</t>
  </si>
  <si>
    <t>Struja</t>
  </si>
  <si>
    <t>Voda</t>
  </si>
  <si>
    <t>PTT troškovi</t>
  </si>
  <si>
    <t>Marketing</t>
  </si>
  <si>
    <t>Intelektualne usluge</t>
  </si>
  <si>
    <t xml:space="preserve">Ostalo: </t>
  </si>
  <si>
    <t>Oprema</t>
  </si>
  <si>
    <t>3.1.</t>
  </si>
  <si>
    <t>3.2.</t>
  </si>
  <si>
    <t>3.3.</t>
  </si>
  <si>
    <t>3.4.</t>
  </si>
  <si>
    <t>GODINA</t>
  </si>
  <si>
    <t>UKUPNO AMORTIZACIJA PO GODINAMA</t>
  </si>
  <si>
    <t>Vijek trajanja (godine)</t>
  </si>
  <si>
    <t>Procijenjena vrijednost</t>
  </si>
  <si>
    <t>Amortizacija</t>
  </si>
  <si>
    <t>Porez na dobit 9%</t>
  </si>
  <si>
    <t>Neto dobit</t>
  </si>
  <si>
    <t>Materijalni troškovi</t>
  </si>
  <si>
    <t>Osiguranje</t>
  </si>
  <si>
    <t>Kamata</t>
  </si>
  <si>
    <t>Ostali troškovi</t>
  </si>
  <si>
    <t>NAZIV</t>
  </si>
  <si>
    <t>I</t>
  </si>
  <si>
    <t>PRILIVI</t>
  </si>
  <si>
    <t>Ukupan prihod</t>
  </si>
  <si>
    <t>II</t>
  </si>
  <si>
    <t>ODLIVI</t>
  </si>
  <si>
    <t>Investiciona ulaganja</t>
  </si>
  <si>
    <t>Materijalni i nematerijalni troškovi</t>
  </si>
  <si>
    <t>Bruto zarade</t>
  </si>
  <si>
    <t>III</t>
  </si>
  <si>
    <t>NETO PRIMICI</t>
  </si>
  <si>
    <t>Godina</t>
  </si>
  <si>
    <t>Neto prihod iz ekonomskog toka</t>
  </si>
  <si>
    <t>IRR</t>
  </si>
  <si>
    <t>Iznos akumulacije</t>
  </si>
  <si>
    <t>RAZLIKA</t>
  </si>
  <si>
    <t>Kumulativ I (vrijednost ukupne investicije)</t>
  </si>
  <si>
    <t>Po godinama (vrijednost iz ekonomskog toka)</t>
  </si>
  <si>
    <t>Kumulativ   II</t>
  </si>
  <si>
    <t>Ukupno</t>
  </si>
  <si>
    <t>Kamatna stopa</t>
  </si>
  <si>
    <t>Period broj</t>
  </si>
  <si>
    <t>Anuitet</t>
  </si>
  <si>
    <t>Otplata</t>
  </si>
  <si>
    <t xml:space="preserve">Period otplate - broj mjeseci </t>
  </si>
  <si>
    <t>Grejs period - broj mjeseci</t>
  </si>
  <si>
    <t>GODINE</t>
  </si>
  <si>
    <t>Rezidualna vrijednost</t>
  </si>
  <si>
    <t>Građevinski objekti</t>
  </si>
  <si>
    <t>TABELA BROJ 6  NAPOMENA: Ovu tabelu ubaciti u word dokuzment - Biznis plan u podnaslov 6.4.</t>
  </si>
  <si>
    <t xml:space="preserve">  </t>
  </si>
  <si>
    <t>GODINE (Unijeti planiranu količinu proizvodnje po godinama - za minimum 5 godina)</t>
  </si>
  <si>
    <t xml:space="preserve">Upisati  materijalnog troška (npr. gorivo, sjeme itd), jedinicu mjere i cijenu pojedinačnog troška. U sivo obojenom dijelu tabele potrebno je unijeti planiranu količinu materijalnih troškova po godinama. Potrebno je upisati plan za minimum 5 godina ili ukoliko se projekat finansira iz kredita, potrebno upisati planiranu proizvodnju za sve godine otplate kredita.                                                                                                                                                                                                        </t>
  </si>
  <si>
    <t>ZA PRAVNA LICA</t>
  </si>
  <si>
    <t>NSV V godina</t>
  </si>
  <si>
    <t xml:space="preserve">Nakon upisa podataka u žuta polja, kliknuti dugme "KREDIT". U word ubaciti samo tabelu sa desne strane. </t>
  </si>
  <si>
    <t>GODINE (Unijeti planiranu količinu materijalnih troškova po godinama - za minimum 5 godina). Unijeti isti broj godina kao u tabeli 2</t>
  </si>
  <si>
    <t>GODINE (Unijeti broj potrebnih izvršilaca - minimum 5 godina) Unijeti isti broj godina kao u tabeli 2</t>
  </si>
  <si>
    <t xml:space="preserve">Upisati: Naziv radnog mjesta, NETO mjesečni iznos plate i broj mjeseci rada tokom godine za to mjesto. Za svaku godinu u sivo obojenim poljima tabele upisati broj izvršilaca za određeno radno mjesto i to po godinama. Program će sam obračunati godišnji bruto iznos za plate. </t>
  </si>
  <si>
    <t>Upisati godišnji iznos troškova (MINIMUM 5 godina) Unijeti isti broj godina kao u tabeli 2</t>
  </si>
  <si>
    <t>Ispunjava Evaluator</t>
  </si>
  <si>
    <t>Procenat povećanja(max 4%)</t>
  </si>
  <si>
    <t>Ispunjava evaluator</t>
  </si>
  <si>
    <t>Procenat povećanja</t>
  </si>
  <si>
    <t>Izvori finansiranja</t>
  </si>
  <si>
    <t>2.1.</t>
  </si>
  <si>
    <t>Sopstvena sredstva</t>
  </si>
  <si>
    <t>2.2.</t>
  </si>
  <si>
    <t>Kredit</t>
  </si>
  <si>
    <t>Anuiteti</t>
  </si>
  <si>
    <t>Opšti troškovi</t>
  </si>
  <si>
    <t>Redni broj</t>
  </si>
  <si>
    <t>Struktura ulaganja</t>
  </si>
  <si>
    <t>Sopstveno učešće</t>
  </si>
  <si>
    <t>Napomena: Sve vrijednosti treba da sadrže ukalkulisan PDV</t>
  </si>
  <si>
    <t>PDV pretplata po investiciji*</t>
  </si>
  <si>
    <t>SUBVENCIJE **</t>
  </si>
  <si>
    <t>IPARD  ***</t>
  </si>
  <si>
    <t>3.5.</t>
  </si>
  <si>
    <t>Iznos kredita</t>
  </si>
  <si>
    <t>Jedinica
mjere</t>
  </si>
  <si>
    <t xml:space="preserve">Unijeti podatak o vrijednosti objekata (knjigovodstvena za objekte ili opremu koju investitor već posjeduje, procijenjena vrijednost ili vrijednost iz projekta i profaktura za novu opremu i objekte), vijek trajanja u godinama, kao i rezidualnu vrijednost. Rezidualna vrijednost je vrijednost nakon isteka vijeka trajanja. Ukoliko investitor posjeduje više stavki opreme - grupisati istu shodno amortizacionim grupama (vijeku trajanja).  Obračun amortizacije se vrši za broj godina shodno planu prihoda iz Tabele 2 (ukoliko je broj godina za prihode 6 godina, obračun amortizacije se vrši za 6 godina). </t>
  </si>
  <si>
    <t>Ukupni rashodi</t>
  </si>
  <si>
    <t>BRUTO dobit</t>
  </si>
  <si>
    <t>Profitna stopa</t>
  </si>
  <si>
    <t>Neto priliv</t>
  </si>
  <si>
    <t>Diskontovani neto priliv</t>
  </si>
  <si>
    <t>Ukupna investiciona ulaganja
po godinama</t>
  </si>
  <si>
    <t xml:space="preserve">Upisati naziv proizvoda i usluge, jedinicu mjere i cijenu pojedinačnog proizvoda. U sivo obojenom dijelu tabele potrebno je unijeti planiranu količinu proizvodnje po godinama. Potrebno je upisati plan za minimum 5 godina ili ukoliko se projekat finansira iz kredita, potrebno upisati planiranu proizvodnju za sve godine otplate kredita. Za svaku sljedeću tabelu je potrebno upisati isti broj godina.   
*  Upisati vrijednost ukupno obračunatog PDV-a po investiciji                                                                                                                                                              
 ** Upisati i plan prihoda od subvencija od države (samo kvantifikovati) i to po godinama, a potrebno iste i opisati u dijelu teksta 5.3. Upisivati samo iznose direktno po godinama - u sivo obojenom dijelu tabele. 
*** Upisati i plan prihoda od IPARD (samo kvantifikovati), a potrebno iste i opisati u dijelu teksta 5.4
</t>
  </si>
  <si>
    <t>Građevinski objekti (montažni)</t>
  </si>
  <si>
    <t>Diskontni faktor 5%</t>
  </si>
  <si>
    <t>Pomoćna</t>
  </si>
  <si>
    <t>Pomoćna 2</t>
  </si>
  <si>
    <t>Pomoćna za računanje</t>
  </si>
  <si>
    <t>Boravak 24h (odrasli)</t>
  </si>
  <si>
    <t>kom</t>
  </si>
  <si>
    <t>Boravak 24h (djeca)</t>
  </si>
  <si>
    <t>Doručak</t>
  </si>
  <si>
    <t>Ručak</t>
  </si>
  <si>
    <t>Potrošni materijal</t>
  </si>
  <si>
    <t>Prehr. artikli (doručak)</t>
  </si>
  <si>
    <t>Prehr. artikli (ručak)</t>
  </si>
  <si>
    <t>Izvršni direktor</t>
  </si>
  <si>
    <t>Radnik na održavanju</t>
  </si>
  <si>
    <t>Radnik u kuhinji</t>
  </si>
  <si>
    <t>Oprema (postojeća)</t>
  </si>
  <si>
    <t>Oprema (nova)</t>
  </si>
  <si>
    <t>Vanredni troškovi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</si>
</sst>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#,##0.00\ &quot;€&quot;;\-#,##0.00\ &quot;€&quot;"/>
    <numFmt numFmtId="165" formatCode="#,##0.00\ &quot;€&quot;;[Red]\-#,##0.00\ &quot;€&quot;"/>
    <numFmt numFmtId="166" formatCode="_-* #,##0.00\ &quot;€&quot;_-;\-* #,##0.00\ &quot;€&quot;_-;_-* &quot;-&quot;??\ &quot;€&quot;_-;_-@_-"/>
    <numFmt numFmtId="167" formatCode="_-* #,##0.00\ _€_-;\-* #,##0.00\ _€_-;_-* &quot;-&quot;??\ _€_-;_-@_-"/>
    <numFmt numFmtId="168" formatCode="&quot;£&quot;#,##0.00;[Red]\-&quot;£&quot;#,##0.00"/>
    <numFmt numFmtId="169" formatCode="_-&quot;£&quot;* #,##0.00_-;\-&quot;£&quot;* #,##0.00_-;_-&quot;£&quot;* &quot;-&quot;??_-;_-@_-"/>
    <numFmt numFmtId="170" formatCode="_-* #,##0.00_-;\-* #,##0.00_-;_-* &quot;-&quot;??_-;_-@_-"/>
    <numFmt numFmtId="171" formatCode="_-* #,##0.00\ [$€-2C1A]_-;\-* #,##0.00\ [$€-2C1A]_-;_-* &quot;-&quot;??\ [$€-2C1A]_-;_-@_-"/>
    <numFmt numFmtId="172" formatCode="_-* #,##0_-;\-* #,##0_-;_-* &quot;-&quot;??_-;_-@_-"/>
    <numFmt numFmtId="173" formatCode="#,##0.00\ [$€-1]"/>
    <numFmt numFmtId="174" formatCode="#,##0.00\ [$€-1];[Red]\-#,##0.00\ [$€-1]"/>
    <numFmt numFmtId="175" formatCode="&quot;$&quot;#,##0.00"/>
    <numFmt numFmtId="176" formatCode="_-* #,##0\ _€_-;\-* #,##0\ _€_-;_-* &quot;-&quot;??\ _€_-;_-@_-"/>
    <numFmt numFmtId="177" formatCode="_ * #,##0.00_)\ [$€-1]_ ;_ * \(#,##0.00\)\ [$€-1]_ ;_ * &quot;-&quot;??_)\ [$€-1]_ ;_ @_ "/>
    <numFmt numFmtId="178" formatCode="0.0%"/>
    <numFmt numFmtId="179" formatCode="_-* #,##0.0000\ [$€-2C1A]_-;\-* #,##0.0000\ [$€-2C1A]_-;_-* &quot;-&quot;??\ [$€-2C1A]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Times New Roman"/>
      <family val="1"/>
    </font>
    <font>
      <b/>
      <sz val="11"/>
      <color theme="1"/>
      <name val="Calibri"/>
      <family val="2"/>
      <charset val="238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170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6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171" fontId="2" fillId="3" borderId="1" xfId="0" applyNumberFormat="1" applyFont="1" applyFill="1" applyBorder="1"/>
    <xf numFmtId="0" fontId="3" fillId="0" borderId="0" xfId="3"/>
    <xf numFmtId="0" fontId="4" fillId="3" borderId="1" xfId="3" applyFont="1" applyFill="1" applyBorder="1" applyAlignment="1">
      <alignment horizontal="right"/>
    </xf>
    <xf numFmtId="0" fontId="5" fillId="2" borderId="1" xfId="3" applyFont="1" applyFill="1" applyBorder="1" applyAlignment="1">
      <alignment wrapText="1"/>
    </xf>
    <xf numFmtId="170" fontId="3" fillId="0" borderId="0" xfId="3" applyNumberFormat="1"/>
    <xf numFmtId="0" fontId="6" fillId="3" borderId="1" xfId="3" applyFont="1" applyFill="1" applyBorder="1" applyAlignment="1">
      <alignment wrapText="1"/>
    </xf>
    <xf numFmtId="0" fontId="7" fillId="3" borderId="1" xfId="3" applyFont="1" applyFill="1" applyBorder="1" applyAlignment="1">
      <alignment wrapText="1"/>
    </xf>
    <xf numFmtId="3" fontId="6" fillId="3" borderId="1" xfId="3" applyNumberFormat="1" applyFont="1" applyFill="1" applyBorder="1" applyAlignment="1">
      <alignment wrapText="1"/>
    </xf>
    <xf numFmtId="3" fontId="6" fillId="0" borderId="1" xfId="3" applyNumberFormat="1" applyFont="1" applyFill="1" applyBorder="1" applyAlignment="1">
      <alignment horizontal="right"/>
    </xf>
    <xf numFmtId="3" fontId="6" fillId="2" borderId="1" xfId="3" applyNumberFormat="1" applyFont="1" applyFill="1" applyBorder="1" applyAlignment="1">
      <alignment wrapText="1"/>
    </xf>
    <xf numFmtId="0" fontId="8" fillId="3" borderId="1" xfId="3" applyFont="1" applyFill="1" applyBorder="1" applyAlignment="1">
      <alignment wrapText="1"/>
    </xf>
    <xf numFmtId="3" fontId="6" fillId="0" borderId="1" xfId="3" applyNumberFormat="1" applyFont="1" applyFill="1" applyBorder="1" applyAlignment="1">
      <alignment wrapText="1"/>
    </xf>
    <xf numFmtId="3" fontId="8" fillId="3" borderId="1" xfId="3" applyNumberFormat="1" applyFont="1" applyFill="1" applyBorder="1" applyAlignment="1">
      <alignment wrapText="1"/>
    </xf>
    <xf numFmtId="0" fontId="3" fillId="0" borderId="0" xfId="3" applyBorder="1"/>
    <xf numFmtId="3" fontId="3" fillId="0" borderId="0" xfId="3" applyNumberFormat="1" applyBorder="1"/>
    <xf numFmtId="0" fontId="3" fillId="3" borderId="0" xfId="3" applyFill="1"/>
    <xf numFmtId="0" fontId="3" fillId="0" borderId="1" xfId="3" applyBorder="1"/>
    <xf numFmtId="9" fontId="6" fillId="3" borderId="1" xfId="3" applyNumberFormat="1" applyFont="1" applyFill="1" applyBorder="1" applyAlignment="1">
      <alignment wrapText="1"/>
    </xf>
    <xf numFmtId="0" fontId="6" fillId="3" borderId="1" xfId="3" applyFont="1" applyFill="1" applyBorder="1" applyAlignment="1">
      <alignment horizontal="center" wrapText="1"/>
    </xf>
    <xf numFmtId="0" fontId="8" fillId="3" borderId="1" xfId="3" applyFont="1" applyFill="1" applyBorder="1" applyAlignment="1">
      <alignment vertical="top" wrapText="1"/>
    </xf>
    <xf numFmtId="0" fontId="6" fillId="3" borderId="1" xfId="3" applyFont="1" applyFill="1" applyBorder="1" applyAlignment="1">
      <alignment vertical="top" wrapText="1"/>
    </xf>
    <xf numFmtId="3" fontId="6" fillId="3" borderId="1" xfId="3" applyNumberFormat="1" applyFont="1" applyFill="1" applyBorder="1" applyAlignment="1">
      <alignment horizontal="right" wrapText="1"/>
    </xf>
    <xf numFmtId="0" fontId="6" fillId="0" borderId="1" xfId="3" applyFont="1" applyBorder="1" applyAlignment="1">
      <alignment vertical="top" wrapText="1"/>
    </xf>
    <xf numFmtId="3" fontId="6" fillId="3" borderId="1" xfId="3" applyNumberFormat="1" applyFont="1" applyFill="1" applyBorder="1" applyAlignment="1">
      <alignment horizontal="right" vertical="top" wrapText="1"/>
    </xf>
    <xf numFmtId="3" fontId="6" fillId="0" borderId="1" xfId="3" applyNumberFormat="1" applyFont="1" applyBorder="1" applyAlignment="1">
      <alignment horizontal="right" vertical="center" wrapText="1"/>
    </xf>
    <xf numFmtId="3" fontId="6" fillId="0" borderId="1" xfId="3" applyNumberFormat="1" applyFont="1" applyBorder="1" applyAlignment="1">
      <alignment horizontal="right" vertical="center"/>
    </xf>
    <xf numFmtId="3" fontId="6" fillId="2" borderId="1" xfId="3" applyNumberFormat="1" applyFont="1" applyFill="1" applyBorder="1" applyAlignment="1">
      <alignment horizontal="right"/>
    </xf>
    <xf numFmtId="3" fontId="6" fillId="3" borderId="1" xfId="3" applyNumberFormat="1" applyFont="1" applyFill="1" applyBorder="1" applyAlignment="1">
      <alignment horizontal="right" vertical="center" wrapText="1"/>
    </xf>
    <xf numFmtId="0" fontId="3" fillId="3" borderId="1" xfId="3" applyFill="1" applyBorder="1"/>
    <xf numFmtId="0" fontId="3" fillId="0" borderId="0" xfId="3" applyAlignment="1">
      <alignment wrapText="1"/>
    </xf>
    <xf numFmtId="4" fontId="9" fillId="0" borderId="1" xfId="3" applyNumberFormat="1" applyFont="1" applyBorder="1"/>
    <xf numFmtId="173" fontId="3" fillId="0" borderId="0" xfId="3" applyNumberFormat="1"/>
    <xf numFmtId="0" fontId="9" fillId="3" borderId="1" xfId="3" applyFont="1" applyFill="1" applyBorder="1" applyAlignment="1">
      <alignment horizontal="center"/>
    </xf>
    <xf numFmtId="0" fontId="6" fillId="3" borderId="1" xfId="3" applyFont="1" applyFill="1" applyBorder="1"/>
    <xf numFmtId="174" fontId="6" fillId="3" borderId="1" xfId="3" applyNumberFormat="1" applyFont="1" applyFill="1" applyBorder="1"/>
    <xf numFmtId="176" fontId="6" fillId="2" borderId="1" xfId="5" applyNumberFormat="1" applyFont="1" applyFill="1" applyBorder="1"/>
    <xf numFmtId="176" fontId="6" fillId="2" borderId="1" xfId="5" applyNumberFormat="1" applyFont="1" applyFill="1" applyBorder="1" applyAlignment="1">
      <alignment horizontal="center" vertical="center"/>
    </xf>
    <xf numFmtId="166" fontId="10" fillId="2" borderId="1" xfId="4" applyFont="1" applyFill="1" applyBorder="1"/>
    <xf numFmtId="171" fontId="0" fillId="3" borderId="1" xfId="1" applyNumberFormat="1" applyFont="1" applyFill="1" applyBorder="1"/>
    <xf numFmtId="0" fontId="3" fillId="0" borderId="0" xfId="3" applyProtection="1">
      <protection locked="0"/>
    </xf>
    <xf numFmtId="166" fontId="4" fillId="2" borderId="1" xfId="4" applyFon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171" fontId="0" fillId="0" borderId="1" xfId="2" applyNumberFormat="1" applyFont="1" applyBorder="1" applyProtection="1">
      <protection locked="0"/>
    </xf>
    <xf numFmtId="172" fontId="0" fillId="3" borderId="1" xfId="1" applyNumberFormat="1" applyFont="1" applyFill="1" applyBorder="1" applyProtection="1">
      <protection locked="0"/>
    </xf>
    <xf numFmtId="171" fontId="2" fillId="3" borderId="1" xfId="0" applyNumberFormat="1" applyFont="1" applyFill="1" applyBorder="1" applyProtection="1"/>
    <xf numFmtId="171" fontId="0" fillId="0" borderId="1" xfId="0" applyNumberFormat="1" applyBorder="1" applyProtection="1">
      <protection locked="0"/>
    </xf>
    <xf numFmtId="172" fontId="0" fillId="0" borderId="1" xfId="1" applyNumberFormat="1" applyFont="1" applyBorder="1" applyAlignment="1" applyProtection="1">
      <protection locked="0"/>
    </xf>
    <xf numFmtId="172" fontId="0" fillId="0" borderId="1" xfId="1" applyNumberFormat="1" applyFont="1" applyBorder="1" applyAlignment="1" applyProtection="1">
      <alignment horizontal="center" vertical="center"/>
      <protection locked="0"/>
    </xf>
    <xf numFmtId="171" fontId="0" fillId="0" borderId="1" xfId="1" applyNumberFormat="1" applyFont="1" applyBorder="1" applyAlignment="1" applyProtection="1">
      <protection locked="0"/>
    </xf>
    <xf numFmtId="171" fontId="0" fillId="3" borderId="1" xfId="1" applyNumberFormat="1" applyFont="1" applyFill="1" applyBorder="1" applyProtection="1">
      <protection locked="0"/>
    </xf>
    <xf numFmtId="0" fontId="15" fillId="3" borderId="1" xfId="3" applyFont="1" applyFill="1" applyBorder="1" applyAlignment="1">
      <alignment horizontal="center"/>
    </xf>
    <xf numFmtId="4" fontId="15" fillId="0" borderId="1" xfId="3" applyNumberFormat="1" applyFont="1" applyBorder="1"/>
    <xf numFmtId="2" fontId="15" fillId="3" borderId="1" xfId="3" applyNumberFormat="1" applyFont="1" applyFill="1" applyBorder="1" applyAlignment="1">
      <alignment horizontal="right"/>
    </xf>
    <xf numFmtId="173" fontId="15" fillId="0" borderId="1" xfId="3" applyNumberFormat="1" applyFont="1" applyBorder="1"/>
    <xf numFmtId="0" fontId="1" fillId="0" borderId="0" xfId="3" applyFont="1"/>
    <xf numFmtId="173" fontId="1" fillId="0" borderId="0" xfId="3" applyNumberFormat="1" applyFont="1"/>
    <xf numFmtId="0" fontId="0" fillId="4" borderId="1" xfId="0" applyFill="1" applyBorder="1" applyProtection="1">
      <protection locked="0"/>
    </xf>
    <xf numFmtId="171" fontId="16" fillId="6" borderId="12" xfId="0" applyNumberFormat="1" applyFont="1" applyFill="1" applyBorder="1"/>
    <xf numFmtId="0" fontId="0" fillId="0" borderId="0" xfId="0" applyProtection="1"/>
    <xf numFmtId="9" fontId="0" fillId="0" borderId="0" xfId="0" applyNumberFormat="1" applyProtection="1"/>
    <xf numFmtId="10" fontId="2" fillId="0" borderId="1" xfId="0" applyNumberFormat="1" applyFont="1" applyBorder="1" applyProtection="1"/>
    <xf numFmtId="10" fontId="0" fillId="0" borderId="0" xfId="0" applyNumberFormat="1" applyProtection="1"/>
    <xf numFmtId="0" fontId="0" fillId="0" borderId="0" xfId="0" applyBorder="1" applyAlignment="1" applyProtection="1">
      <alignment wrapText="1"/>
    </xf>
    <xf numFmtId="0" fontId="2" fillId="2" borderId="3" xfId="0" applyFont="1" applyFill="1" applyBorder="1" applyAlignment="1" applyProtection="1">
      <alignment horizontal="center" wrapText="1"/>
    </xf>
    <xf numFmtId="0" fontId="0" fillId="0" borderId="1" xfId="0" applyBorder="1" applyProtection="1"/>
    <xf numFmtId="0" fontId="0" fillId="0" borderId="1" xfId="0" applyBorder="1" applyAlignment="1" applyProtection="1">
      <alignment horizontal="center" wrapText="1"/>
    </xf>
    <xf numFmtId="0" fontId="0" fillId="3" borderId="1" xfId="0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 wrapText="1"/>
    </xf>
    <xf numFmtId="0" fontId="0" fillId="3" borderId="1" xfId="0" applyFill="1" applyBorder="1" applyAlignment="1">
      <alignment horizontal="center"/>
    </xf>
    <xf numFmtId="0" fontId="4" fillId="3" borderId="1" xfId="3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19" fillId="3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/>
    </xf>
    <xf numFmtId="177" fontId="2" fillId="3" borderId="10" xfId="0" applyNumberFormat="1" applyFont="1" applyFill="1" applyBorder="1" applyProtection="1"/>
    <xf numFmtId="0" fontId="0" fillId="7" borderId="1" xfId="0" applyFill="1" applyBorder="1" applyProtection="1">
      <protection locked="0"/>
    </xf>
    <xf numFmtId="0" fontId="19" fillId="3" borderId="1" xfId="3" applyFont="1" applyFill="1" applyBorder="1" applyAlignment="1">
      <alignment wrapText="1"/>
    </xf>
    <xf numFmtId="166" fontId="20" fillId="3" borderId="1" xfId="4" applyFont="1" applyFill="1" applyBorder="1" applyAlignment="1">
      <alignment horizontal="right"/>
    </xf>
    <xf numFmtId="0" fontId="15" fillId="3" borderId="1" xfId="3" applyFont="1" applyFill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/>
    </xf>
    <xf numFmtId="175" fontId="6" fillId="3" borderId="1" xfId="3" applyNumberFormat="1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 wrapText="1"/>
    </xf>
    <xf numFmtId="0" fontId="21" fillId="3" borderId="1" xfId="3" applyFont="1" applyFill="1" applyBorder="1"/>
    <xf numFmtId="173" fontId="21" fillId="3" borderId="1" xfId="3" applyNumberFormat="1" applyFont="1" applyFill="1" applyBorder="1"/>
    <xf numFmtId="178" fontId="0" fillId="4" borderId="1" xfId="0" applyNumberFormat="1" applyFill="1" applyBorder="1" applyProtection="1">
      <protection locked="0"/>
    </xf>
    <xf numFmtId="171" fontId="0" fillId="0" borderId="0" xfId="0" applyNumberFormat="1" applyProtection="1">
      <protection locked="0"/>
    </xf>
    <xf numFmtId="0" fontId="11" fillId="0" borderId="0" xfId="0" applyFont="1" applyProtection="1">
      <protection locked="0"/>
    </xf>
    <xf numFmtId="168" fontId="11" fillId="0" borderId="0" xfId="0" applyNumberFormat="1" applyFont="1" applyProtection="1"/>
    <xf numFmtId="0" fontId="6" fillId="0" borderId="0" xfId="0" applyFont="1" applyProtection="1"/>
    <xf numFmtId="165" fontId="11" fillId="0" borderId="0" xfId="0" applyNumberFormat="1" applyFont="1" applyProtection="1"/>
    <xf numFmtId="0" fontId="0" fillId="3" borderId="1" xfId="0" applyFill="1" applyBorder="1" applyProtection="1"/>
    <xf numFmtId="171" fontId="0" fillId="0" borderId="1" xfId="0" applyNumberFormat="1" applyBorder="1" applyProtection="1"/>
    <xf numFmtId="164" fontId="0" fillId="0" borderId="0" xfId="0" applyNumberFormat="1" applyProtection="1"/>
    <xf numFmtId="171" fontId="0" fillId="0" borderId="0" xfId="0" applyNumberFormat="1" applyProtection="1"/>
    <xf numFmtId="0" fontId="6" fillId="5" borderId="0" xfId="0" applyFont="1" applyFill="1" applyBorder="1" applyAlignment="1" applyProtection="1">
      <alignment horizontal="center" wrapText="1"/>
    </xf>
    <xf numFmtId="10" fontId="2" fillId="0" borderId="0" xfId="0" applyNumberFormat="1" applyFont="1" applyBorder="1" applyProtection="1"/>
    <xf numFmtId="179" fontId="0" fillId="0" borderId="1" xfId="2" applyNumberFormat="1" applyFont="1" applyBorder="1" applyProtection="1">
      <protection locked="0"/>
    </xf>
    <xf numFmtId="170" fontId="0" fillId="0" borderId="1" xfId="1" applyFont="1" applyBorder="1" applyProtection="1">
      <protection locked="0"/>
    </xf>
    <xf numFmtId="170" fontId="0" fillId="0" borderId="0" xfId="1" applyFont="1" applyProtection="1"/>
    <xf numFmtId="0" fontId="6" fillId="5" borderId="1" xfId="0" applyFont="1" applyFill="1" applyBorder="1" applyAlignment="1" applyProtection="1">
      <alignment horizontal="center" wrapText="1"/>
    </xf>
    <xf numFmtId="0" fontId="18" fillId="0" borderId="0" xfId="3" applyFont="1" applyAlignment="1">
      <alignment horizontal="left" wrapText="1"/>
    </xf>
    <xf numFmtId="0" fontId="6" fillId="5" borderId="8" xfId="0" applyFont="1" applyFill="1" applyBorder="1" applyAlignment="1" applyProtection="1">
      <alignment horizontal="center" wrapText="1"/>
    </xf>
    <xf numFmtId="0" fontId="2" fillId="2" borderId="4" xfId="0" applyFont="1" applyFill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 wrapText="1"/>
    </xf>
    <xf numFmtId="0" fontId="0" fillId="3" borderId="1" xfId="0" applyFill="1" applyBorder="1" applyAlignment="1" applyProtection="1">
      <alignment horizontal="center" wrapText="1"/>
    </xf>
    <xf numFmtId="0" fontId="2" fillId="3" borderId="2" xfId="0" applyFont="1" applyFill="1" applyBorder="1" applyAlignment="1" applyProtection="1">
      <alignment horizontal="center" wrapText="1"/>
    </xf>
    <xf numFmtId="0" fontId="2" fillId="3" borderId="3" xfId="0" applyFont="1" applyFill="1" applyBorder="1" applyAlignment="1" applyProtection="1">
      <alignment horizontal="center" wrapText="1"/>
    </xf>
    <xf numFmtId="0" fontId="2" fillId="3" borderId="4" xfId="0" applyFont="1" applyFill="1" applyBorder="1" applyAlignment="1" applyProtection="1">
      <alignment horizontal="center" wrapText="1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4" xfId="0" applyBorder="1" applyAlignment="1" applyProtection="1">
      <alignment horizontal="left" wrapText="1"/>
    </xf>
    <xf numFmtId="0" fontId="0" fillId="0" borderId="9" xfId="0" applyBorder="1" applyAlignment="1" applyProtection="1">
      <alignment horizontal="left" wrapText="1"/>
    </xf>
    <xf numFmtId="0" fontId="0" fillId="0" borderId="0" xfId="0" applyBorder="1" applyAlignment="1" applyProtection="1">
      <alignment horizontal="left" wrapText="1"/>
    </xf>
    <xf numFmtId="172" fontId="0" fillId="3" borderId="2" xfId="1" applyNumberFormat="1" applyFont="1" applyFill="1" applyBorder="1" applyAlignment="1" applyProtection="1">
      <alignment horizontal="center"/>
    </xf>
    <xf numFmtId="172" fontId="0" fillId="3" borderId="3" xfId="1" applyNumberFormat="1" applyFont="1" applyFill="1" applyBorder="1" applyAlignment="1" applyProtection="1">
      <alignment horizontal="center"/>
    </xf>
    <xf numFmtId="172" fontId="0" fillId="3" borderId="4" xfId="1" applyNumberFormat="1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172" fontId="0" fillId="3" borderId="2" xfId="1" applyNumberFormat="1" applyFont="1" applyFill="1" applyBorder="1" applyAlignment="1" applyProtection="1">
      <alignment horizontal="center"/>
      <protection locked="0"/>
    </xf>
    <xf numFmtId="172" fontId="0" fillId="3" borderId="3" xfId="1" applyNumberFormat="1" applyFont="1" applyFill="1" applyBorder="1" applyAlignment="1" applyProtection="1">
      <alignment horizontal="center"/>
      <protection locked="0"/>
    </xf>
    <xf numFmtId="172" fontId="0" fillId="3" borderId="4" xfId="1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left" wrapText="1"/>
    </xf>
    <xf numFmtId="0" fontId="2" fillId="4" borderId="2" xfId="0" applyFont="1" applyFill="1" applyBorder="1" applyAlignment="1" applyProtection="1">
      <alignment horizontal="center" wrapText="1"/>
    </xf>
    <xf numFmtId="0" fontId="2" fillId="4" borderId="3" xfId="0" applyFont="1" applyFill="1" applyBorder="1" applyAlignment="1" applyProtection="1">
      <alignment horizontal="center" wrapText="1"/>
    </xf>
    <xf numFmtId="0" fontId="2" fillId="4" borderId="4" xfId="0" applyFont="1" applyFill="1" applyBorder="1" applyAlignment="1" applyProtection="1">
      <alignment horizontal="center" wrapText="1"/>
    </xf>
    <xf numFmtId="0" fontId="6" fillId="5" borderId="11" xfId="0" applyFont="1" applyFill="1" applyBorder="1" applyAlignment="1" applyProtection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71" fontId="0" fillId="0" borderId="2" xfId="0" applyNumberFormat="1" applyBorder="1" applyAlignment="1">
      <alignment horizontal="center" wrapText="1"/>
    </xf>
    <xf numFmtId="171" fontId="0" fillId="0" borderId="3" xfId="0" applyNumberFormat="1" applyBorder="1" applyAlignment="1">
      <alignment horizontal="center" wrapText="1"/>
    </xf>
    <xf numFmtId="171" fontId="0" fillId="0" borderId="4" xfId="0" applyNumberFormat="1" applyBorder="1" applyAlignment="1">
      <alignment horizontal="center" wrapText="1"/>
    </xf>
    <xf numFmtId="171" fontId="0" fillId="3" borderId="2" xfId="1" applyNumberFormat="1" applyFont="1" applyFill="1" applyBorder="1" applyAlignment="1">
      <alignment horizontal="center" wrapText="1"/>
    </xf>
    <xf numFmtId="171" fontId="0" fillId="3" borderId="3" xfId="1" applyNumberFormat="1" applyFont="1" applyFill="1" applyBorder="1" applyAlignment="1">
      <alignment horizontal="center" wrapText="1"/>
    </xf>
    <xf numFmtId="171" fontId="0" fillId="3" borderId="4" xfId="1" applyNumberFormat="1" applyFont="1" applyFill="1" applyBorder="1" applyAlignment="1">
      <alignment horizontal="center" wrapText="1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3" borderId="1" xfId="0" applyFill="1" applyBorder="1" applyAlignment="1" applyProtection="1">
      <alignment horizontal="center"/>
    </xf>
    <xf numFmtId="0" fontId="0" fillId="0" borderId="8" xfId="0" applyBorder="1" applyAlignment="1" applyProtection="1">
      <alignment horizontal="center" wrapText="1"/>
    </xf>
    <xf numFmtId="0" fontId="12" fillId="0" borderId="0" xfId="0" applyFont="1" applyAlignment="1" applyProtection="1">
      <alignment horizontal="center" wrapText="1"/>
    </xf>
    <xf numFmtId="0" fontId="12" fillId="0" borderId="0" xfId="0" applyFont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71" fontId="0" fillId="3" borderId="2" xfId="1" applyNumberFormat="1" applyFont="1" applyFill="1" applyBorder="1" applyAlignment="1" applyProtection="1">
      <alignment horizontal="center" wrapText="1"/>
    </xf>
    <xf numFmtId="171" fontId="0" fillId="3" borderId="3" xfId="1" applyNumberFormat="1" applyFont="1" applyFill="1" applyBorder="1" applyAlignment="1" applyProtection="1">
      <alignment horizontal="center" wrapText="1"/>
    </xf>
    <xf numFmtId="171" fontId="0" fillId="3" borderId="4" xfId="1" applyNumberFormat="1" applyFont="1" applyFill="1" applyBorder="1" applyAlignment="1" applyProtection="1">
      <alignment horizontal="center" wrapText="1"/>
    </xf>
    <xf numFmtId="0" fontId="3" fillId="3" borderId="1" xfId="3" applyFill="1" applyBorder="1" applyAlignment="1">
      <alignment horizontal="center" wrapText="1"/>
    </xf>
    <xf numFmtId="9" fontId="8" fillId="3" borderId="5" xfId="3" applyNumberFormat="1" applyFont="1" applyFill="1" applyBorder="1" applyAlignment="1">
      <alignment horizontal="center" vertical="center"/>
    </xf>
    <xf numFmtId="9" fontId="8" fillId="3" borderId="6" xfId="3" applyNumberFormat="1" applyFont="1" applyFill="1" applyBorder="1" applyAlignment="1">
      <alignment horizontal="center" vertical="center"/>
    </xf>
    <xf numFmtId="9" fontId="8" fillId="3" borderId="7" xfId="3" applyNumberFormat="1" applyFont="1" applyFill="1" applyBorder="1" applyAlignment="1">
      <alignment horizontal="center" vertical="center"/>
    </xf>
    <xf numFmtId="0" fontId="6" fillId="3" borderId="1" xfId="3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/>
    </xf>
  </cellXfs>
  <cellStyles count="8">
    <cellStyle name="Comma" xfId="1" builtinId="3"/>
    <cellStyle name="Comma 2" xfId="5" xr:uid="{00000000-0005-0000-0000-000001000000}"/>
    <cellStyle name="Currency" xfId="2" builtinId="4"/>
    <cellStyle name="Currency 2" xfId="4" xr:uid="{00000000-0005-0000-0000-000003000000}"/>
    <cellStyle name="Followed Hyperlink" xfId="7" builtinId="9" hidden="1"/>
    <cellStyle name="Hyperlink" xfId="6" builtinId="8" hidden="1"/>
    <cellStyle name="Normal" xfId="0" builtinId="0"/>
    <cellStyle name="Normal 2" xfId="3" xr:uid="{00000000-0005-0000-0000-000007000000}"/>
  </cellStyles>
  <dxfs count="10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x-none"/>
              <a:t>Struktura ulaganja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0CB-4593-BB2F-BD9FCD660BC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0CB-4593-BB2F-BD9FCD660BC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'Tabela 1 Struktura ulaganja'!$C$1:$D$1</c:f>
              <c:strCache>
                <c:ptCount val="2"/>
                <c:pt idx="0">
                  <c:v>Kredit</c:v>
                </c:pt>
                <c:pt idx="1">
                  <c:v>Sopstveno učešće</c:v>
                </c:pt>
              </c:strCache>
            </c:strRef>
          </c:cat>
          <c:val>
            <c:numRef>
              <c:f>'Tabela 1 Struktura ulaganja'!$C$5:$D$5</c:f>
              <c:numCache>
                <c:formatCode>_-* #,##0.00\ "€"_-;\-* #,##0.00\ "€"_-;_-* "-"??\ "€"_-;_-@_-</c:formatCode>
                <c:ptCount val="2"/>
                <c:pt idx="0">
                  <c:v>40000</c:v>
                </c:pt>
                <c:pt idx="1">
                  <c:v>64907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CB-4593-BB2F-BD9FCD660BC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933450</xdr:colOff>
      <xdr:row>7</xdr:row>
      <xdr:rowOff>176212</xdr:rowOff>
    </xdr:from>
    <xdr:to>
      <xdr:col>4</xdr:col>
      <xdr:colOff>0</xdr:colOff>
      <xdr:row>22</xdr:row>
      <xdr:rowOff>61912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257175</xdr:colOff>
          <xdr:row>1</xdr:row>
          <xdr:rowOff>28575</xdr:rowOff>
        </xdr:from>
        <xdr:to>
          <xdr:col>7</xdr:col>
          <xdr:colOff>371475</xdr:colOff>
          <xdr:row>2</xdr:row>
          <xdr:rowOff>123825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5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Kredit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J7"/>
  <sheetViews>
    <sheetView tabSelected="1" workbookViewId="0">
      <selection sqref="A1:E23"/>
    </sheetView>
  </sheetViews>
  <sheetFormatPr defaultColWidth="8.85546875" defaultRowHeight="15" x14ac:dyDescent="0.25"/>
  <cols>
    <col min="1" max="1" width="6.7109375" style="6" customWidth="1"/>
    <col min="2" max="2" width="37.7109375" style="6" customWidth="1"/>
    <col min="3" max="5" width="15.7109375" style="6" customWidth="1"/>
    <col min="6" max="6" width="8.85546875" style="6"/>
    <col min="7" max="7" width="9.42578125" style="6" bestFit="1" customWidth="1"/>
    <col min="8" max="9" width="8.85546875" style="6"/>
    <col min="10" max="10" width="12" style="6" bestFit="1" customWidth="1"/>
    <col min="11" max="11" width="8.85546875" style="6"/>
    <col min="12" max="12" width="20.42578125" style="6" bestFit="1" customWidth="1"/>
    <col min="13" max="16384" width="8.85546875" style="6"/>
  </cols>
  <sheetData>
    <row r="1" spans="1:10" ht="31.5" customHeight="1" x14ac:dyDescent="0.25">
      <c r="A1" s="77" t="s">
        <v>85</v>
      </c>
      <c r="B1" s="78" t="s">
        <v>86</v>
      </c>
      <c r="C1" s="78" t="s">
        <v>82</v>
      </c>
      <c r="D1" s="78" t="s">
        <v>87</v>
      </c>
      <c r="E1" s="79" t="s">
        <v>4</v>
      </c>
    </row>
    <row r="2" spans="1:10" ht="15.75" x14ac:dyDescent="0.25">
      <c r="A2" s="80">
        <v>1</v>
      </c>
      <c r="B2" s="8" t="s">
        <v>62</v>
      </c>
      <c r="C2" s="45">
        <v>40000</v>
      </c>
      <c r="D2" s="45">
        <v>44700</v>
      </c>
      <c r="E2" s="42">
        <f>SUM(C2:D2)</f>
        <v>84700</v>
      </c>
      <c r="G2" s="9"/>
      <c r="J2" s="44"/>
    </row>
    <row r="3" spans="1:10" ht="15.75" x14ac:dyDescent="0.25">
      <c r="A3" s="80">
        <v>2</v>
      </c>
      <c r="B3" s="8" t="s">
        <v>18</v>
      </c>
      <c r="C3" s="45"/>
      <c r="D3" s="45">
        <f>12100+4000*1.21</f>
        <v>16940</v>
      </c>
      <c r="E3" s="42">
        <f>SUM(C3:D3)</f>
        <v>16940</v>
      </c>
      <c r="F3" s="9"/>
    </row>
    <row r="4" spans="1:10" ht="15.75" x14ac:dyDescent="0.25">
      <c r="A4" s="80">
        <v>3</v>
      </c>
      <c r="B4" s="8" t="s">
        <v>84</v>
      </c>
      <c r="C4" s="45"/>
      <c r="D4" s="45">
        <f>(2000+200+500)*1.21</f>
        <v>3267</v>
      </c>
      <c r="E4" s="42">
        <f>SUM(C4:D4)</f>
        <v>3267</v>
      </c>
      <c r="F4" s="9"/>
    </row>
    <row r="5" spans="1:10" ht="15.75" x14ac:dyDescent="0.25">
      <c r="A5" s="7"/>
      <c r="B5" s="83" t="s">
        <v>4</v>
      </c>
      <c r="C5" s="84">
        <f>SUM(C2:C4)</f>
        <v>40000</v>
      </c>
      <c r="D5" s="84">
        <f>SUM(D2:D4)</f>
        <v>64907</v>
      </c>
      <c r="E5" s="84">
        <f>D5+C5</f>
        <v>104907</v>
      </c>
    </row>
    <row r="7" spans="1:10" x14ac:dyDescent="0.25">
      <c r="B7" s="108" t="s">
        <v>88</v>
      </c>
      <c r="C7" s="108"/>
      <c r="D7" s="108"/>
      <c r="E7" s="108"/>
    </row>
  </sheetData>
  <sheetProtection algorithmName="SHA-512" hashValue="XEZc6eJNtcbv37pkht/3z4xJmbIdTP96npznzXVGwgMZfjgvmOsoRdxGwc0mBcdvcRMgomKO+lyfzjXqU+RlwQ==" saltValue="kU9aD8B2SHztB2SL2jW0oQ==" spinCount="100000" sheet="1" objects="1" scenarios="1"/>
  <mergeCells count="1">
    <mergeCell ref="B7:E7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>
    <pageSetUpPr fitToPage="1"/>
  </sheetPr>
  <dimension ref="A1:G12"/>
  <sheetViews>
    <sheetView workbookViewId="0">
      <selection sqref="A1:E12"/>
    </sheetView>
  </sheetViews>
  <sheetFormatPr defaultColWidth="8.85546875" defaultRowHeight="15" x14ac:dyDescent="0.25"/>
  <cols>
    <col min="1" max="1" width="8.85546875" style="6"/>
    <col min="2" max="5" width="15.7109375" style="6" customWidth="1"/>
    <col min="6" max="16384" width="8.85546875" style="6"/>
  </cols>
  <sheetData>
    <row r="1" spans="1:7" ht="25.5" x14ac:dyDescent="0.25">
      <c r="A1" s="85" t="s">
        <v>45</v>
      </c>
      <c r="B1" s="85" t="s">
        <v>99</v>
      </c>
      <c r="C1" s="85" t="s">
        <v>104</v>
      </c>
      <c r="D1" s="85" t="s">
        <v>100</v>
      </c>
      <c r="E1" s="86" t="s">
        <v>68</v>
      </c>
      <c r="F1" s="34"/>
      <c r="G1" s="34"/>
    </row>
    <row r="2" spans="1:7" x14ac:dyDescent="0.25">
      <c r="A2" s="58">
        <v>1</v>
      </c>
      <c r="B2" s="59">
        <f>'Tabela 9 Ekonomski tok'!C9</f>
        <v>-7642.1600000000035</v>
      </c>
      <c r="C2" s="60">
        <v>1</v>
      </c>
      <c r="D2" s="61">
        <f t="shared" ref="D2:D11" si="0">B2*C2</f>
        <v>-7642.1600000000035</v>
      </c>
      <c r="E2" s="62"/>
    </row>
    <row r="3" spans="1:7" x14ac:dyDescent="0.25">
      <c r="A3" s="58">
        <v>2</v>
      </c>
      <c r="B3" s="59">
        <f>'Tabela 9 Ekonomski tok'!D9</f>
        <v>29617.839999999997</v>
      </c>
      <c r="C3" s="60">
        <f t="shared" ref="C3:C11" si="1">C2*0.95</f>
        <v>0.95</v>
      </c>
      <c r="D3" s="61">
        <f t="shared" si="0"/>
        <v>28136.947999999997</v>
      </c>
      <c r="E3" s="62"/>
    </row>
    <row r="4" spans="1:7" x14ac:dyDescent="0.25">
      <c r="A4" s="58">
        <v>3</v>
      </c>
      <c r="B4" s="59">
        <f>'Tabela 9 Ekonomski tok'!E9</f>
        <v>29696.604732781911</v>
      </c>
      <c r="C4" s="60">
        <f t="shared" si="1"/>
        <v>0.90249999999999997</v>
      </c>
      <c r="D4" s="61">
        <f t="shared" si="0"/>
        <v>26801.185771335673</v>
      </c>
      <c r="E4" s="62"/>
    </row>
    <row r="5" spans="1:7" x14ac:dyDescent="0.25">
      <c r="A5" s="58">
        <v>4</v>
      </c>
      <c r="B5" s="59">
        <f>'Tabela 9 Ekonomski tok'!F9</f>
        <v>36053.001634300395</v>
      </c>
      <c r="C5" s="60">
        <f t="shared" si="1"/>
        <v>0.85737499999999989</v>
      </c>
      <c r="D5" s="61">
        <f t="shared" si="0"/>
        <v>30910.942276208298</v>
      </c>
      <c r="E5" s="62"/>
    </row>
    <row r="6" spans="1:7" x14ac:dyDescent="0.25">
      <c r="A6" s="58">
        <v>5</v>
      </c>
      <c r="B6" s="59">
        <f>'Tabela 9 Ekonomski tok'!G9</f>
        <v>36236.585217753018</v>
      </c>
      <c r="C6" s="60">
        <f t="shared" si="1"/>
        <v>0.81450624999999988</v>
      </c>
      <c r="D6" s="61">
        <f t="shared" si="0"/>
        <v>29514.925138517439</v>
      </c>
      <c r="E6" s="63">
        <f>SUM(D2:D6)</f>
        <v>107721.8411860614</v>
      </c>
    </row>
    <row r="7" spans="1:7" x14ac:dyDescent="0.25">
      <c r="A7" s="58">
        <v>6</v>
      </c>
      <c r="B7" s="59">
        <f>'Tabela 9 Ekonomski tok'!H9</f>
        <v>36427.648279650253</v>
      </c>
      <c r="C7" s="60">
        <f t="shared" si="1"/>
        <v>0.77378093749999988</v>
      </c>
      <c r="D7" s="61">
        <f t="shared" si="0"/>
        <v>28187.01983674803</v>
      </c>
      <c r="E7" s="62"/>
    </row>
    <row r="8" spans="1:7" x14ac:dyDescent="0.25">
      <c r="A8" s="58">
        <v>7</v>
      </c>
      <c r="B8" s="59">
        <f>'Tabela 9 Ekonomski tok'!I9</f>
        <v>36626.49554548414</v>
      </c>
      <c r="C8" s="60">
        <f t="shared" si="1"/>
        <v>0.7350918906249998</v>
      </c>
      <c r="D8" s="61">
        <f t="shared" si="0"/>
        <v>26923.839857498071</v>
      </c>
      <c r="E8" s="62"/>
    </row>
    <row r="9" spans="1:7" x14ac:dyDescent="0.25">
      <c r="A9" s="58">
        <v>8</v>
      </c>
      <c r="B9" s="59">
        <f>'Tabela 9 Ekonomski tok'!J9</f>
        <v>36833.444155733494</v>
      </c>
      <c r="C9" s="60">
        <f t="shared" si="1"/>
        <v>0.69833729609374973</v>
      </c>
      <c r="D9" s="61">
        <f t="shared" si="0"/>
        <v>25722.167797535058</v>
      </c>
      <c r="E9" s="62"/>
    </row>
    <row r="10" spans="1:7" x14ac:dyDescent="0.25">
      <c r="A10" s="58">
        <v>9</v>
      </c>
      <c r="B10" s="59">
        <f>'Tabela 9 Ekonomski tok'!K9</f>
        <v>37048.824171669505</v>
      </c>
      <c r="C10" s="60">
        <f t="shared" si="1"/>
        <v>0.66342043128906225</v>
      </c>
      <c r="D10" s="61">
        <f t="shared" si="0"/>
        <v>24578.946910721617</v>
      </c>
      <c r="E10" s="62"/>
    </row>
    <row r="11" spans="1:7" x14ac:dyDescent="0.25">
      <c r="A11" s="58">
        <v>10</v>
      </c>
      <c r="B11" s="59">
        <f>'Tabela 9 Ekonomski tok'!L9</f>
        <v>37272.97910176884</v>
      </c>
      <c r="C11" s="60">
        <f t="shared" si="1"/>
        <v>0.63024940972460908</v>
      </c>
      <c r="D11" s="61">
        <f t="shared" si="0"/>
        <v>23491.273077567501</v>
      </c>
      <c r="E11" s="62"/>
    </row>
    <row r="12" spans="1:7" x14ac:dyDescent="0.25">
      <c r="A12" s="90" t="s">
        <v>4</v>
      </c>
      <c r="B12" s="91">
        <f>SUM(B2:B11)</f>
        <v>308171.26283914153</v>
      </c>
      <c r="C12" s="90"/>
      <c r="D12" s="91">
        <f>SUM(D2:D11)</f>
        <v>236625.08866613166</v>
      </c>
      <c r="E12" s="62"/>
      <c r="G12" s="36"/>
    </row>
  </sheetData>
  <sheetProtection algorithmName="SHA-512" hashValue="xPwxFp5kx5lkWrjrtgGpMuJQVcgcyHTJckmwwJTBHIYTR4XTnGeAyX8QeCbHH9RAD7oTmnpFZoK5mw1UZXz0Dg==" saltValue="mjMUzdWQekTNXvCRcQhSPQ==" spinCount="100000" sheet="1" objects="1" scenarios="1"/>
  <conditionalFormatting sqref="E6">
    <cfRule type="cellIs" dxfId="9" priority="1" operator="lessThan">
      <formula>0</formula>
    </cfRule>
    <cfRule type="cellIs" dxfId="8" priority="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/>
  <dimension ref="A1:C12"/>
  <sheetViews>
    <sheetView workbookViewId="0">
      <selection activeCell="B12" sqref="B12"/>
    </sheetView>
  </sheetViews>
  <sheetFormatPr defaultColWidth="8.85546875" defaultRowHeight="15" x14ac:dyDescent="0.25"/>
  <cols>
    <col min="1" max="1" width="9.7109375" style="6" bestFit="1" customWidth="1"/>
    <col min="2" max="2" width="15.85546875" style="6" customWidth="1"/>
    <col min="3" max="16384" width="8.85546875" style="6"/>
  </cols>
  <sheetData>
    <row r="1" spans="1:3" ht="45" x14ac:dyDescent="0.25">
      <c r="A1" s="38" t="s">
        <v>45</v>
      </c>
      <c r="B1" s="23" t="s">
        <v>46</v>
      </c>
      <c r="C1" s="38" t="s">
        <v>47</v>
      </c>
    </row>
    <row r="2" spans="1:3" x14ac:dyDescent="0.25">
      <c r="A2" s="37">
        <v>1</v>
      </c>
      <c r="B2" s="35">
        <f>'Tabela 10 - NSV'!B2</f>
        <v>-7642.1600000000035</v>
      </c>
      <c r="C2" s="158">
        <f>IFERROR(IRR(B2:B11),0)</f>
        <v>3.9124044093100103</v>
      </c>
    </row>
    <row r="3" spans="1:3" x14ac:dyDescent="0.25">
      <c r="A3" s="37">
        <v>2</v>
      </c>
      <c r="B3" s="35">
        <f>'Tabela 10 - NSV'!B3</f>
        <v>29617.839999999997</v>
      </c>
      <c r="C3" s="159"/>
    </row>
    <row r="4" spans="1:3" x14ac:dyDescent="0.25">
      <c r="A4" s="37">
        <v>3</v>
      </c>
      <c r="B4" s="35">
        <f>'Tabela 10 - NSV'!B4</f>
        <v>29696.604732781911</v>
      </c>
      <c r="C4" s="159"/>
    </row>
    <row r="5" spans="1:3" x14ac:dyDescent="0.25">
      <c r="A5" s="37">
        <v>4</v>
      </c>
      <c r="B5" s="35">
        <f>'Tabela 10 - NSV'!B5</f>
        <v>36053.001634300395</v>
      </c>
      <c r="C5" s="159"/>
    </row>
    <row r="6" spans="1:3" x14ac:dyDescent="0.25">
      <c r="A6" s="37">
        <v>5</v>
      </c>
      <c r="B6" s="35">
        <f>'Tabela 10 - NSV'!B6</f>
        <v>36236.585217753018</v>
      </c>
      <c r="C6" s="159"/>
    </row>
    <row r="7" spans="1:3" x14ac:dyDescent="0.25">
      <c r="A7" s="37">
        <v>6</v>
      </c>
      <c r="B7" s="35">
        <f>'Tabela 10 - NSV'!B7</f>
        <v>36427.648279650253</v>
      </c>
      <c r="C7" s="159"/>
    </row>
    <row r="8" spans="1:3" x14ac:dyDescent="0.25">
      <c r="A8" s="37">
        <v>7</v>
      </c>
      <c r="B8" s="35">
        <f>'Tabela 10 - NSV'!B8</f>
        <v>36626.49554548414</v>
      </c>
      <c r="C8" s="159"/>
    </row>
    <row r="9" spans="1:3" x14ac:dyDescent="0.25">
      <c r="A9" s="37">
        <v>8</v>
      </c>
      <c r="B9" s="35">
        <f>'Tabela 10 - NSV'!B9</f>
        <v>36833.444155733494</v>
      </c>
      <c r="C9" s="159"/>
    </row>
    <row r="10" spans="1:3" x14ac:dyDescent="0.25">
      <c r="A10" s="37">
        <v>9</v>
      </c>
      <c r="B10" s="35">
        <f>'Tabela 10 - NSV'!B10</f>
        <v>37048.824171669505</v>
      </c>
      <c r="C10" s="159"/>
    </row>
    <row r="11" spans="1:3" x14ac:dyDescent="0.25">
      <c r="A11" s="37">
        <v>10</v>
      </c>
      <c r="B11" s="35">
        <f>'Tabela 10 - NSV'!B11</f>
        <v>37272.97910176884</v>
      </c>
      <c r="C11" s="160"/>
    </row>
    <row r="12" spans="1:3" x14ac:dyDescent="0.25">
      <c r="A12" s="38" t="s">
        <v>4</v>
      </c>
      <c r="B12" s="39">
        <f>SUM(B2:B11)</f>
        <v>308171.26283914153</v>
      </c>
      <c r="C12" s="38"/>
    </row>
  </sheetData>
  <mergeCells count="1">
    <mergeCell ref="C2:C1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8">
    <pageSetUpPr fitToPage="1"/>
  </sheetPr>
  <dimension ref="A1:F12"/>
  <sheetViews>
    <sheetView workbookViewId="0">
      <selection sqref="A1:F12"/>
    </sheetView>
  </sheetViews>
  <sheetFormatPr defaultColWidth="8.85546875" defaultRowHeight="15" x14ac:dyDescent="0.25"/>
  <cols>
    <col min="1" max="1" width="9.42578125" style="6" customWidth="1"/>
    <col min="2" max="6" width="15.7109375" style="6" customWidth="1"/>
    <col min="7" max="16384" width="8.85546875" style="6"/>
  </cols>
  <sheetData>
    <row r="1" spans="1:6" ht="31.5" customHeight="1" x14ac:dyDescent="0.25">
      <c r="A1" s="87" t="s">
        <v>45</v>
      </c>
      <c r="B1" s="161" t="s">
        <v>101</v>
      </c>
      <c r="C1" s="162"/>
      <c r="D1" s="162" t="s">
        <v>48</v>
      </c>
      <c r="E1" s="162"/>
      <c r="F1" s="162" t="s">
        <v>49</v>
      </c>
    </row>
    <row r="2" spans="1:6" ht="60" x14ac:dyDescent="0.25">
      <c r="A2" s="38"/>
      <c r="B2" s="10"/>
      <c r="C2" s="88" t="s">
        <v>50</v>
      </c>
      <c r="D2" s="89" t="s">
        <v>51</v>
      </c>
      <c r="E2" s="89" t="s">
        <v>52</v>
      </c>
      <c r="F2" s="162"/>
    </row>
    <row r="3" spans="1:6" x14ac:dyDescent="0.25">
      <c r="A3" s="37">
        <v>1</v>
      </c>
      <c r="B3" s="40">
        <f>'Tabela 9 Ekonomski tok'!C6</f>
        <v>104907</v>
      </c>
      <c r="C3" s="41">
        <f t="shared" ref="C3:C12" si="0">$B$3</f>
        <v>104907</v>
      </c>
      <c r="D3" s="40">
        <f>'Tabela 10 - NSV'!D2</f>
        <v>-7642.1600000000035</v>
      </c>
      <c r="E3" s="40">
        <f>D3</f>
        <v>-7642.1600000000035</v>
      </c>
      <c r="F3" s="40">
        <f t="shared" ref="F3:F7" si="1">E3-C3</f>
        <v>-112549.16</v>
      </c>
    </row>
    <row r="4" spans="1:6" x14ac:dyDescent="0.25">
      <c r="A4" s="37">
        <v>2</v>
      </c>
      <c r="B4" s="40"/>
      <c r="C4" s="41">
        <f t="shared" si="0"/>
        <v>104907</v>
      </c>
      <c r="D4" s="40">
        <f>'Tabela 10 - NSV'!D3</f>
        <v>28136.947999999997</v>
      </c>
      <c r="E4" s="40">
        <f t="shared" ref="E4:E7" si="2">D4+E3</f>
        <v>20494.787999999993</v>
      </c>
      <c r="F4" s="40">
        <f t="shared" si="1"/>
        <v>-84412.212</v>
      </c>
    </row>
    <row r="5" spans="1:6" x14ac:dyDescent="0.25">
      <c r="A5" s="37">
        <v>3</v>
      </c>
      <c r="B5" s="40"/>
      <c r="C5" s="41">
        <f t="shared" si="0"/>
        <v>104907</v>
      </c>
      <c r="D5" s="40">
        <f>'Tabela 10 - NSV'!D4</f>
        <v>26801.185771335673</v>
      </c>
      <c r="E5" s="40">
        <f t="shared" si="2"/>
        <v>47295.973771335666</v>
      </c>
      <c r="F5" s="40">
        <f t="shared" si="1"/>
        <v>-57611.026228664334</v>
      </c>
    </row>
    <row r="6" spans="1:6" x14ac:dyDescent="0.25">
      <c r="A6" s="37">
        <v>4</v>
      </c>
      <c r="B6" s="40"/>
      <c r="C6" s="41">
        <f t="shared" si="0"/>
        <v>104907</v>
      </c>
      <c r="D6" s="40">
        <f>'Tabela 10 - NSV'!D5</f>
        <v>30910.942276208298</v>
      </c>
      <c r="E6" s="40">
        <f t="shared" si="2"/>
        <v>78206.916047543957</v>
      </c>
      <c r="F6" s="40">
        <f t="shared" si="1"/>
        <v>-26700.083952456043</v>
      </c>
    </row>
    <row r="7" spans="1:6" x14ac:dyDescent="0.25">
      <c r="A7" s="37">
        <v>5</v>
      </c>
      <c r="B7" s="40"/>
      <c r="C7" s="41">
        <f t="shared" si="0"/>
        <v>104907</v>
      </c>
      <c r="D7" s="40">
        <f>'Tabela 10 - NSV'!D6</f>
        <v>29514.925138517439</v>
      </c>
      <c r="E7" s="40">
        <f t="shared" si="2"/>
        <v>107721.8411860614</v>
      </c>
      <c r="F7" s="40">
        <f t="shared" si="1"/>
        <v>2814.8411860613996</v>
      </c>
    </row>
    <row r="8" spans="1:6" x14ac:dyDescent="0.25">
      <c r="A8" s="37">
        <v>6</v>
      </c>
      <c r="B8" s="40"/>
      <c r="C8" s="41">
        <f t="shared" si="0"/>
        <v>104907</v>
      </c>
      <c r="D8" s="40">
        <f>'Tabela 10 - NSV'!D7</f>
        <v>28187.01983674803</v>
      </c>
      <c r="E8" s="40">
        <f t="shared" ref="E8:E12" si="3">D8+E7</f>
        <v>135908.86102280943</v>
      </c>
      <c r="F8" s="40">
        <f t="shared" ref="F8:F12" si="4">E8-C8</f>
        <v>31001.861022809433</v>
      </c>
    </row>
    <row r="9" spans="1:6" x14ac:dyDescent="0.25">
      <c r="A9" s="37">
        <v>7</v>
      </c>
      <c r="B9" s="40"/>
      <c r="C9" s="41">
        <f t="shared" si="0"/>
        <v>104907</v>
      </c>
      <c r="D9" s="40">
        <f>'Tabela 10 - NSV'!D8</f>
        <v>26923.839857498071</v>
      </c>
      <c r="E9" s="40">
        <f t="shared" si="3"/>
        <v>162832.7008803075</v>
      </c>
      <c r="F9" s="40">
        <f t="shared" si="4"/>
        <v>57925.7008803075</v>
      </c>
    </row>
    <row r="10" spans="1:6" x14ac:dyDescent="0.25">
      <c r="A10" s="37">
        <v>8</v>
      </c>
      <c r="B10" s="40"/>
      <c r="C10" s="41">
        <f t="shared" si="0"/>
        <v>104907</v>
      </c>
      <c r="D10" s="40">
        <f>'Tabela 10 - NSV'!D9</f>
        <v>25722.167797535058</v>
      </c>
      <c r="E10" s="40">
        <f t="shared" si="3"/>
        <v>188554.86867784255</v>
      </c>
      <c r="F10" s="40">
        <f t="shared" si="4"/>
        <v>83647.868677842547</v>
      </c>
    </row>
    <row r="11" spans="1:6" x14ac:dyDescent="0.25">
      <c r="A11" s="37">
        <v>9</v>
      </c>
      <c r="B11" s="40"/>
      <c r="C11" s="41">
        <f t="shared" si="0"/>
        <v>104907</v>
      </c>
      <c r="D11" s="40">
        <f>'Tabela 10 - NSV'!D10</f>
        <v>24578.946910721617</v>
      </c>
      <c r="E11" s="40">
        <f t="shared" si="3"/>
        <v>213133.81558856418</v>
      </c>
      <c r="F11" s="40">
        <f t="shared" si="4"/>
        <v>108226.81558856418</v>
      </c>
    </row>
    <row r="12" spans="1:6" x14ac:dyDescent="0.25">
      <c r="A12" s="37">
        <v>10</v>
      </c>
      <c r="B12" s="40"/>
      <c r="C12" s="41">
        <f t="shared" si="0"/>
        <v>104907</v>
      </c>
      <c r="D12" s="40">
        <f>'Tabela 10 - NSV'!D11</f>
        <v>23491.273077567501</v>
      </c>
      <c r="E12" s="40">
        <f t="shared" si="3"/>
        <v>236625.08866613166</v>
      </c>
      <c r="F12" s="40">
        <f t="shared" si="4"/>
        <v>131718.08866613166</v>
      </c>
    </row>
  </sheetData>
  <sheetProtection algorithmName="SHA-512" hashValue="SB6+sSmIUt6B3D/wThmIjCK9vb6ha1/k1VarpYPYsgppzMszH/H7z8kXgdUxG/xic3dDpceHWopRVkNNrzXVKg==" saltValue="AdmLU6lu6OwQyv43GP8IRA==" spinCount="100000" sheet="1" objects="1" scenarios="1"/>
  <mergeCells count="3">
    <mergeCell ref="B1:C1"/>
    <mergeCell ref="D1:E1"/>
    <mergeCell ref="F1:F2"/>
  </mergeCells>
  <conditionalFormatting sqref="F3">
    <cfRule type="cellIs" dxfId="7" priority="8" operator="greaterThan">
      <formula>0</formula>
    </cfRule>
  </conditionalFormatting>
  <conditionalFormatting sqref="F4">
    <cfRule type="cellIs" dxfId="6" priority="7" operator="greaterThan">
      <formula>0</formula>
    </cfRule>
  </conditionalFormatting>
  <conditionalFormatting sqref="F5">
    <cfRule type="cellIs" dxfId="5" priority="6" operator="greaterThan">
      <formula>0</formula>
    </cfRule>
  </conditionalFormatting>
  <conditionalFormatting sqref="F6">
    <cfRule type="cellIs" dxfId="4" priority="5" operator="greaterThan">
      <formula>0</formula>
    </cfRule>
  </conditionalFormatting>
  <conditionalFormatting sqref="F7">
    <cfRule type="cellIs" dxfId="3" priority="4" operator="greaterThan">
      <formula>0</formula>
    </cfRule>
  </conditionalFormatting>
  <conditionalFormatting sqref="F8">
    <cfRule type="cellIs" dxfId="2" priority="3" operator="greaterThan">
      <formula>0</formula>
    </cfRule>
  </conditionalFormatting>
  <conditionalFormatting sqref="F9">
    <cfRule type="cellIs" dxfId="1" priority="2" operator="greaterThan">
      <formula>0</formula>
    </cfRule>
  </conditionalFormatting>
  <conditionalFormatting sqref="F3:F12">
    <cfRule type="cellIs" dxfId="0" priority="1" stopIfTrue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">
    <pageSetUpPr fitToPage="1"/>
  </sheetPr>
  <dimension ref="A1:L13"/>
  <sheetViews>
    <sheetView workbookViewId="0">
      <selection sqref="A1:L13"/>
    </sheetView>
  </sheetViews>
  <sheetFormatPr defaultRowHeight="15" x14ac:dyDescent="0.25"/>
  <cols>
    <col min="1" max="1" width="4.140625" bestFit="1" customWidth="1"/>
    <col min="2" max="2" width="21.42578125" customWidth="1"/>
    <col min="3" max="12" width="15.7109375" customWidth="1"/>
  </cols>
  <sheetData>
    <row r="1" spans="1:12" x14ac:dyDescent="0.25">
      <c r="A1" s="33"/>
      <c r="B1" s="33"/>
      <c r="C1" s="157" t="s">
        <v>23</v>
      </c>
      <c r="D1" s="157"/>
      <c r="E1" s="157"/>
      <c r="F1" s="157"/>
      <c r="G1" s="157"/>
      <c r="H1" s="157"/>
      <c r="I1" s="157"/>
      <c r="J1" s="157"/>
      <c r="K1" s="157"/>
      <c r="L1" s="157"/>
    </row>
    <row r="2" spans="1:12" x14ac:dyDescent="0.25">
      <c r="A2" s="10"/>
      <c r="B2" s="10" t="s">
        <v>34</v>
      </c>
      <c r="C2" s="76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</row>
    <row r="3" spans="1:12" x14ac:dyDescent="0.25">
      <c r="A3" s="24" t="s">
        <v>35</v>
      </c>
      <c r="B3" s="25" t="s">
        <v>36</v>
      </c>
      <c r="C3" s="26">
        <f>SUM(C4:C5)</f>
        <v>271014</v>
      </c>
      <c r="D3" s="26">
        <f t="shared" ref="D3:L3" si="0">D4</f>
        <v>99820</v>
      </c>
      <c r="E3" s="26">
        <f t="shared" si="0"/>
        <v>99820</v>
      </c>
      <c r="F3" s="26">
        <f t="shared" si="0"/>
        <v>108500</v>
      </c>
      <c r="G3" s="26">
        <f t="shared" si="0"/>
        <v>108500</v>
      </c>
      <c r="H3" s="26">
        <f t="shared" si="0"/>
        <v>108500</v>
      </c>
      <c r="I3" s="26">
        <f t="shared" si="0"/>
        <v>108500</v>
      </c>
      <c r="J3" s="26">
        <f t="shared" si="0"/>
        <v>108500</v>
      </c>
      <c r="K3" s="26">
        <f t="shared" si="0"/>
        <v>108500</v>
      </c>
      <c r="L3" s="26">
        <f t="shared" si="0"/>
        <v>108500</v>
      </c>
    </row>
    <row r="4" spans="1:12" x14ac:dyDescent="0.25">
      <c r="A4" s="25">
        <v>1</v>
      </c>
      <c r="B4" s="27" t="s">
        <v>37</v>
      </c>
      <c r="C4" s="14">
        <f>'Tabela 9 Ekonomski tok'!C4</f>
        <v>166107</v>
      </c>
      <c r="D4" s="14">
        <f>'Tabela 9 Ekonomski tok'!D4</f>
        <v>99820</v>
      </c>
      <c r="E4" s="14">
        <f>'Tabela 9 Ekonomski tok'!E4</f>
        <v>99820</v>
      </c>
      <c r="F4" s="14">
        <f>'Tabela 9 Ekonomski tok'!F4</f>
        <v>108500</v>
      </c>
      <c r="G4" s="14">
        <f>'Tabela 9 Ekonomski tok'!G4</f>
        <v>108500</v>
      </c>
      <c r="H4" s="14">
        <f>'Tabela 9 Ekonomski tok'!H4</f>
        <v>108500</v>
      </c>
      <c r="I4" s="14">
        <f>'Tabela 9 Ekonomski tok'!I4</f>
        <v>108500</v>
      </c>
      <c r="J4" s="14">
        <f>'Tabela 9 Ekonomski tok'!J4</f>
        <v>108500</v>
      </c>
      <c r="K4" s="14">
        <f>'Tabela 9 Ekonomski tok'!K4</f>
        <v>108500</v>
      </c>
      <c r="L4" s="14">
        <f>'Tabela 9 Ekonomski tok'!L4</f>
        <v>108500</v>
      </c>
    </row>
    <row r="5" spans="1:12" x14ac:dyDescent="0.25">
      <c r="A5" s="25">
        <v>2</v>
      </c>
      <c r="B5" s="27" t="s">
        <v>78</v>
      </c>
      <c r="C5" s="14">
        <f>SUM(C6:C7)</f>
        <v>104907</v>
      </c>
      <c r="D5" s="14"/>
      <c r="E5" s="14"/>
      <c r="F5" s="14"/>
      <c r="G5" s="14"/>
      <c r="H5" s="14"/>
      <c r="I5" s="14"/>
      <c r="J5" s="14"/>
      <c r="K5" s="14"/>
      <c r="L5" s="14"/>
    </row>
    <row r="6" spans="1:12" x14ac:dyDescent="0.25">
      <c r="A6" s="25" t="s">
        <v>79</v>
      </c>
      <c r="B6" s="27" t="s">
        <v>80</v>
      </c>
      <c r="C6" s="14">
        <f>'Tabela 1 Struktura ulaganja'!D5</f>
        <v>64907</v>
      </c>
      <c r="D6" s="14"/>
      <c r="E6" s="14"/>
      <c r="F6" s="14"/>
      <c r="G6" s="14"/>
      <c r="H6" s="14"/>
      <c r="I6" s="14"/>
      <c r="J6" s="14"/>
      <c r="K6" s="14"/>
      <c r="L6" s="14"/>
    </row>
    <row r="7" spans="1:12" x14ac:dyDescent="0.25">
      <c r="A7" s="25" t="s">
        <v>81</v>
      </c>
      <c r="B7" s="27" t="s">
        <v>82</v>
      </c>
      <c r="C7" s="14">
        <f>'Tabela 1 Struktura ulaganja'!C5</f>
        <v>40000</v>
      </c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5">
      <c r="A8" s="24" t="s">
        <v>38</v>
      </c>
      <c r="B8" s="25" t="s">
        <v>39</v>
      </c>
      <c r="C8" s="28">
        <f>SUM(C9:C12)</f>
        <v>175349.12</v>
      </c>
      <c r="D8" s="28">
        <f t="shared" ref="D8:L8" si="1">SUM(D9:D12)</f>
        <v>71802.12000000001</v>
      </c>
      <c r="E8" s="28">
        <f t="shared" si="1"/>
        <v>75974.247412325392</v>
      </c>
      <c r="F8" s="28">
        <f t="shared" si="1"/>
        <v>78297.850510806908</v>
      </c>
      <c r="G8" s="28">
        <f t="shared" si="1"/>
        <v>78114.266927354285</v>
      </c>
      <c r="H8" s="28">
        <f t="shared" si="1"/>
        <v>77923.20386545705</v>
      </c>
      <c r="I8" s="28">
        <f t="shared" si="1"/>
        <v>77724.356599623163</v>
      </c>
      <c r="J8" s="28">
        <f t="shared" si="1"/>
        <v>77517.407989373809</v>
      </c>
      <c r="K8" s="28">
        <f t="shared" si="1"/>
        <v>77302.027973437798</v>
      </c>
      <c r="L8" s="28">
        <f t="shared" si="1"/>
        <v>77077.873043338463</v>
      </c>
    </row>
    <row r="9" spans="1:12" x14ac:dyDescent="0.25">
      <c r="A9" s="25">
        <v>3</v>
      </c>
      <c r="B9" s="27" t="s">
        <v>40</v>
      </c>
      <c r="C9" s="29">
        <f>'Tabela 9 Ekonomski tok'!C6</f>
        <v>104907</v>
      </c>
      <c r="D9" s="29"/>
      <c r="E9" s="29"/>
      <c r="F9" s="29"/>
      <c r="G9" s="29"/>
      <c r="H9" s="21"/>
      <c r="I9" s="21"/>
      <c r="J9" s="21"/>
      <c r="K9" s="21"/>
      <c r="L9" s="21"/>
    </row>
    <row r="10" spans="1:12" ht="30" x14ac:dyDescent="0.25">
      <c r="A10" s="25">
        <v>4</v>
      </c>
      <c r="B10" s="27" t="s">
        <v>41</v>
      </c>
      <c r="C10" s="30">
        <f>'Tabela 9 Ekonomski tok'!C7</f>
        <v>29789.96</v>
      </c>
      <c r="D10" s="30">
        <f>'Tabela 9 Ekonomski tok'!D7</f>
        <v>31149.96</v>
      </c>
      <c r="E10" s="30">
        <f>'Tabela 9 Ekonomski tok'!E7</f>
        <v>31071.195267218078</v>
      </c>
      <c r="F10" s="30">
        <f>'Tabela 9 Ekonomski tok'!F7</f>
        <v>33394.798365699593</v>
      </c>
      <c r="G10" s="30">
        <f>'Tabela 9 Ekonomski tok'!G7</f>
        <v>33211.214782246971</v>
      </c>
      <c r="H10" s="30">
        <f>'Tabela 9 Ekonomski tok'!H7</f>
        <v>33020.15172034975</v>
      </c>
      <c r="I10" s="30">
        <f>'Tabela 9 Ekonomski tok'!I7</f>
        <v>32821.304454515855</v>
      </c>
      <c r="J10" s="30">
        <f>'Tabela 9 Ekonomski tok'!J7</f>
        <v>32614.355844266505</v>
      </c>
      <c r="K10" s="30">
        <f>'Tabela 9 Ekonomski tok'!K7</f>
        <v>32398.975828330491</v>
      </c>
      <c r="L10" s="30">
        <f>'Tabela 9 Ekonomski tok'!L7</f>
        <v>32174.820898231152</v>
      </c>
    </row>
    <row r="11" spans="1:12" x14ac:dyDescent="0.25">
      <c r="A11" s="25">
        <v>5</v>
      </c>
      <c r="B11" s="27" t="s">
        <v>42</v>
      </c>
      <c r="C11" s="31">
        <f>'Tabela 9 Ekonomski tok'!C8</f>
        <v>39052.200000000004</v>
      </c>
      <c r="D11" s="31">
        <f>'Tabela 9 Ekonomski tok'!D8</f>
        <v>39052.200000000004</v>
      </c>
      <c r="E11" s="31">
        <f>'Tabela 9 Ekonomski tok'!E8</f>
        <v>39052.200000000004</v>
      </c>
      <c r="F11" s="31">
        <f>'Tabela 9 Ekonomski tok'!F8</f>
        <v>39052.200000000004</v>
      </c>
      <c r="G11" s="31">
        <f>'Tabela 9 Ekonomski tok'!G8</f>
        <v>39052.200000000004</v>
      </c>
      <c r="H11" s="31">
        <f>'Tabela 9 Ekonomski tok'!H8</f>
        <v>39052.200000000004</v>
      </c>
      <c r="I11" s="31">
        <f>'Tabela 9 Ekonomski tok'!I8</f>
        <v>39052.200000000004</v>
      </c>
      <c r="J11" s="31">
        <f>'Tabela 9 Ekonomski tok'!J8</f>
        <v>39052.200000000004</v>
      </c>
      <c r="K11" s="31">
        <f>'Tabela 9 Ekonomski tok'!K8</f>
        <v>39052.200000000004</v>
      </c>
      <c r="L11" s="31">
        <f>'Tabela 9 Ekonomski tok'!L8</f>
        <v>39052.200000000004</v>
      </c>
    </row>
    <row r="12" spans="1:12" x14ac:dyDescent="0.25">
      <c r="A12" s="25">
        <v>6</v>
      </c>
      <c r="B12" s="27" t="s">
        <v>83</v>
      </c>
      <c r="C12" s="31">
        <f>'Tabela 6 - Plan otplate kredita'!J5</f>
        <v>1599.9599999999998</v>
      </c>
      <c r="D12" s="31">
        <f>'Tabela 6 - Plan otplate kredita'!K5</f>
        <v>1599.9599999999998</v>
      </c>
      <c r="E12" s="31">
        <f>'Tabela 6 - Plan otplate kredita'!L5</f>
        <v>5850.8521451072984</v>
      </c>
      <c r="F12" s="31">
        <f>'Tabela 6 - Plan otplate kredita'!M5</f>
        <v>5850.8521451072984</v>
      </c>
      <c r="G12" s="31">
        <f>'Tabela 6 - Plan otplate kredita'!N5</f>
        <v>5850.8521451072984</v>
      </c>
      <c r="H12" s="31">
        <f>'Tabela 6 - Plan otplate kredita'!O5</f>
        <v>5850.8521451072984</v>
      </c>
      <c r="I12" s="31">
        <f>'Tabela 6 - Plan otplate kredita'!P5</f>
        <v>5850.8521451072984</v>
      </c>
      <c r="J12" s="31">
        <f>'Tabela 6 - Plan otplate kredita'!Q5</f>
        <v>5850.8521451072984</v>
      </c>
      <c r="K12" s="31">
        <f>'Tabela 6 - Plan otplate kredita'!R5</f>
        <v>5850.8521451072984</v>
      </c>
      <c r="L12" s="31">
        <f>'Tabela 6 - Plan otplate kredita'!S5</f>
        <v>5850.8521451072984</v>
      </c>
    </row>
    <row r="13" spans="1:12" x14ac:dyDescent="0.25">
      <c r="A13" s="24" t="s">
        <v>43</v>
      </c>
      <c r="B13" s="25" t="s">
        <v>44</v>
      </c>
      <c r="C13" s="32">
        <f>C3-C8</f>
        <v>95664.88</v>
      </c>
      <c r="D13" s="32">
        <f>D3-D8</f>
        <v>28017.87999999999</v>
      </c>
      <c r="E13" s="32">
        <f>E3-E8</f>
        <v>23845.752587674608</v>
      </c>
      <c r="F13" s="32">
        <f>F3-F8</f>
        <v>30202.149489193092</v>
      </c>
      <c r="G13" s="32">
        <f>G3-G8</f>
        <v>30385.733072645715</v>
      </c>
      <c r="H13" s="32">
        <f t="shared" ref="H13:L13" si="2">H3-H8</f>
        <v>30576.79613454295</v>
      </c>
      <c r="I13" s="32">
        <f t="shared" si="2"/>
        <v>30775.643400376837</v>
      </c>
      <c r="J13" s="32">
        <f t="shared" si="2"/>
        <v>30982.592010626191</v>
      </c>
      <c r="K13" s="32">
        <f t="shared" si="2"/>
        <v>31197.972026562202</v>
      </c>
      <c r="L13" s="32">
        <f t="shared" si="2"/>
        <v>31422.126956661537</v>
      </c>
    </row>
  </sheetData>
  <sheetProtection algorithmName="SHA-512" hashValue="OXScHnIDHQTTemvxdIYc+FpE5496oBxf/NCsTPfVaxFgslJ9vWwmzL/8GfjiKmKDENnj5356lay4vCTbSho3lA==" saltValue="pDfVD4uGryx5BVCgKXpztA==" spinCount="100000" sheet="1" objects="1" scenarios="1"/>
  <mergeCells count="1">
    <mergeCell ref="C1:L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U48"/>
  <sheetViews>
    <sheetView workbookViewId="0">
      <selection activeCell="I6" sqref="I6"/>
    </sheetView>
  </sheetViews>
  <sheetFormatPr defaultColWidth="8.85546875" defaultRowHeight="15" x14ac:dyDescent="0.25"/>
  <cols>
    <col min="1" max="1" width="23" style="47" customWidth="1"/>
    <col min="2" max="2" width="8.140625" style="47" customWidth="1"/>
    <col min="3" max="3" width="13.140625" style="47" bestFit="1" customWidth="1"/>
    <col min="4" max="13" width="15.7109375" style="47" customWidth="1"/>
    <col min="14" max="15" width="8.85546875" style="47"/>
    <col min="16" max="16" width="0" style="47" hidden="1" customWidth="1"/>
    <col min="17" max="16384" width="8.85546875" style="47"/>
  </cols>
  <sheetData>
    <row r="1" spans="1:20" x14ac:dyDescent="0.25">
      <c r="A1" s="72"/>
      <c r="B1" s="72"/>
      <c r="C1" s="72"/>
      <c r="D1" s="112" t="s">
        <v>65</v>
      </c>
      <c r="E1" s="112"/>
      <c r="F1" s="112"/>
      <c r="G1" s="112"/>
      <c r="H1" s="112"/>
      <c r="I1" s="112"/>
      <c r="J1" s="112"/>
      <c r="K1" s="112"/>
      <c r="L1" s="112"/>
      <c r="M1" s="112"/>
    </row>
    <row r="2" spans="1:20" ht="47.25" customHeight="1" x14ac:dyDescent="0.25">
      <c r="A2" s="73" t="s">
        <v>6</v>
      </c>
      <c r="B2" s="73" t="s">
        <v>94</v>
      </c>
      <c r="C2" s="73" t="s">
        <v>8</v>
      </c>
      <c r="D2" s="74">
        <v>1</v>
      </c>
      <c r="E2" s="75">
        <v>2</v>
      </c>
      <c r="F2" s="75">
        <v>3</v>
      </c>
      <c r="G2" s="75">
        <v>4</v>
      </c>
      <c r="H2" s="75">
        <v>5</v>
      </c>
      <c r="I2" s="75">
        <v>6</v>
      </c>
      <c r="J2" s="75">
        <v>7</v>
      </c>
      <c r="K2" s="75">
        <v>8</v>
      </c>
      <c r="L2" s="75">
        <v>9</v>
      </c>
      <c r="M2" s="75">
        <v>10</v>
      </c>
      <c r="T2" s="47" t="s">
        <v>64</v>
      </c>
    </row>
    <row r="3" spans="1:20" x14ac:dyDescent="0.25">
      <c r="A3" s="46" t="s">
        <v>108</v>
      </c>
      <c r="B3" s="46" t="s">
        <v>109</v>
      </c>
      <c r="C3" s="50">
        <v>13</v>
      </c>
      <c r="D3" s="51">
        <f>14*220</f>
        <v>3080</v>
      </c>
      <c r="E3" s="51">
        <f>14*230</f>
        <v>3220</v>
      </c>
      <c r="F3" s="51">
        <f>14*230</f>
        <v>3220</v>
      </c>
      <c r="G3" s="51">
        <f>14*250</f>
        <v>3500</v>
      </c>
      <c r="H3" s="51">
        <f t="shared" ref="H3:M3" si="0">14*250</f>
        <v>3500</v>
      </c>
      <c r="I3" s="51">
        <f t="shared" si="0"/>
        <v>3500</v>
      </c>
      <c r="J3" s="51">
        <f t="shared" si="0"/>
        <v>3500</v>
      </c>
      <c r="K3" s="51">
        <f t="shared" si="0"/>
        <v>3500</v>
      </c>
      <c r="L3" s="51">
        <f t="shared" si="0"/>
        <v>3500</v>
      </c>
      <c r="M3" s="51">
        <f t="shared" si="0"/>
        <v>3500</v>
      </c>
    </row>
    <row r="4" spans="1:20" x14ac:dyDescent="0.25">
      <c r="A4" s="46" t="s">
        <v>110</v>
      </c>
      <c r="B4" s="46" t="s">
        <v>109</v>
      </c>
      <c r="C4" s="50">
        <v>7</v>
      </c>
      <c r="D4" s="51">
        <f>6*220</f>
        <v>1320</v>
      </c>
      <c r="E4" s="51">
        <f>6*230</f>
        <v>1380</v>
      </c>
      <c r="F4" s="51">
        <f>6*230</f>
        <v>1380</v>
      </c>
      <c r="G4" s="51">
        <f>6*250</f>
        <v>1500</v>
      </c>
      <c r="H4" s="51">
        <f t="shared" ref="H4:M4" si="1">6*250</f>
        <v>1500</v>
      </c>
      <c r="I4" s="51">
        <f t="shared" si="1"/>
        <v>1500</v>
      </c>
      <c r="J4" s="51">
        <f t="shared" si="1"/>
        <v>1500</v>
      </c>
      <c r="K4" s="51">
        <f t="shared" si="1"/>
        <v>1500</v>
      </c>
      <c r="L4" s="51">
        <f t="shared" si="1"/>
        <v>1500</v>
      </c>
      <c r="M4" s="51">
        <f t="shared" si="1"/>
        <v>1500</v>
      </c>
    </row>
    <row r="5" spans="1:20" x14ac:dyDescent="0.25">
      <c r="A5" s="46" t="s">
        <v>111</v>
      </c>
      <c r="B5" s="46" t="s">
        <v>109</v>
      </c>
      <c r="C5" s="50">
        <v>4.5</v>
      </c>
      <c r="D5" s="51">
        <f>3080+1320</f>
        <v>4400</v>
      </c>
      <c r="E5" s="51">
        <f>3220+1380</f>
        <v>4600</v>
      </c>
      <c r="F5" s="51">
        <f>3220+1380</f>
        <v>4600</v>
      </c>
      <c r="G5" s="51">
        <f>3500+1500</f>
        <v>5000</v>
      </c>
      <c r="H5" s="51">
        <f t="shared" ref="H5:M6" si="2">3500+1500</f>
        <v>5000</v>
      </c>
      <c r="I5" s="51">
        <f t="shared" si="2"/>
        <v>5000</v>
      </c>
      <c r="J5" s="51">
        <f t="shared" si="2"/>
        <v>5000</v>
      </c>
      <c r="K5" s="51">
        <f t="shared" si="2"/>
        <v>5000</v>
      </c>
      <c r="L5" s="51">
        <f t="shared" si="2"/>
        <v>5000</v>
      </c>
      <c r="M5" s="51">
        <f t="shared" si="2"/>
        <v>5000</v>
      </c>
    </row>
    <row r="6" spans="1:20" x14ac:dyDescent="0.25">
      <c r="A6" s="46" t="s">
        <v>112</v>
      </c>
      <c r="B6" s="46" t="s">
        <v>109</v>
      </c>
      <c r="C6" s="50">
        <v>6</v>
      </c>
      <c r="D6" s="51">
        <f>3080+1320</f>
        <v>4400</v>
      </c>
      <c r="E6" s="51">
        <f>3220+1380</f>
        <v>4600</v>
      </c>
      <c r="F6" s="51">
        <f>3220+1380</f>
        <v>4600</v>
      </c>
      <c r="G6" s="51">
        <f>3500+1500</f>
        <v>5000</v>
      </c>
      <c r="H6" s="51">
        <f t="shared" si="2"/>
        <v>5000</v>
      </c>
      <c r="I6" s="51">
        <f t="shared" si="2"/>
        <v>5000</v>
      </c>
      <c r="J6" s="51">
        <f t="shared" si="2"/>
        <v>5000</v>
      </c>
      <c r="K6" s="51">
        <f t="shared" si="2"/>
        <v>5000</v>
      </c>
      <c r="L6" s="51">
        <f t="shared" si="2"/>
        <v>5000</v>
      </c>
      <c r="M6" s="51">
        <f t="shared" si="2"/>
        <v>5000</v>
      </c>
    </row>
    <row r="7" spans="1:20" x14ac:dyDescent="0.25">
      <c r="A7" s="46"/>
      <c r="B7" s="46"/>
      <c r="C7" s="50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20" x14ac:dyDescent="0.25">
      <c r="A8" s="46"/>
      <c r="B8" s="46"/>
      <c r="C8" s="50"/>
      <c r="D8" s="51"/>
      <c r="E8" s="51"/>
      <c r="F8" s="51"/>
      <c r="G8" s="51"/>
      <c r="H8" s="51"/>
      <c r="I8" s="51"/>
      <c r="J8" s="51"/>
      <c r="K8" s="51"/>
      <c r="L8" s="51"/>
      <c r="M8" s="51"/>
    </row>
    <row r="9" spans="1:20" x14ac:dyDescent="0.25">
      <c r="A9" s="46"/>
      <c r="B9" s="46"/>
      <c r="C9" s="50"/>
      <c r="D9" s="51"/>
      <c r="E9" s="51"/>
      <c r="F9" s="51"/>
      <c r="G9" s="51"/>
      <c r="H9" s="51"/>
      <c r="I9" s="51"/>
      <c r="J9" s="51"/>
      <c r="K9" s="51"/>
      <c r="L9" s="51"/>
      <c r="M9" s="51"/>
    </row>
    <row r="10" spans="1:20" x14ac:dyDescent="0.25">
      <c r="A10" s="46"/>
      <c r="B10" s="46"/>
      <c r="C10" s="50"/>
      <c r="D10" s="51"/>
      <c r="E10" s="51"/>
      <c r="F10" s="51"/>
      <c r="G10" s="51"/>
      <c r="H10" s="51"/>
      <c r="I10" s="51"/>
      <c r="J10" s="51"/>
      <c r="K10" s="51"/>
      <c r="L10" s="51"/>
      <c r="M10" s="51"/>
    </row>
    <row r="11" spans="1:20" x14ac:dyDescent="0.25">
      <c r="A11" s="46"/>
      <c r="B11" s="46"/>
      <c r="C11" s="50"/>
      <c r="D11" s="51"/>
      <c r="E11" s="51"/>
      <c r="F11" s="51"/>
      <c r="G11" s="51"/>
      <c r="H11" s="51"/>
      <c r="I11" s="51"/>
      <c r="J11" s="51"/>
      <c r="K11" s="51"/>
      <c r="L11" s="51"/>
      <c r="M11" s="51"/>
    </row>
    <row r="12" spans="1:20" x14ac:dyDescent="0.25">
      <c r="A12" s="46"/>
      <c r="B12" s="46"/>
      <c r="C12" s="50"/>
      <c r="D12" s="51"/>
      <c r="E12" s="51"/>
      <c r="F12" s="51"/>
      <c r="G12" s="51"/>
      <c r="H12" s="51"/>
      <c r="I12" s="51"/>
      <c r="J12" s="51"/>
      <c r="K12" s="51"/>
      <c r="L12" s="51"/>
      <c r="M12" s="51"/>
    </row>
    <row r="13" spans="1:20" x14ac:dyDescent="0.25">
      <c r="A13" s="46"/>
      <c r="B13" s="46"/>
      <c r="C13" s="50"/>
      <c r="D13" s="51"/>
      <c r="E13" s="51"/>
      <c r="F13" s="51"/>
      <c r="G13" s="51"/>
      <c r="H13" s="51"/>
      <c r="I13" s="51"/>
      <c r="J13" s="51"/>
      <c r="K13" s="51"/>
      <c r="L13" s="51"/>
      <c r="M13" s="51"/>
    </row>
    <row r="14" spans="1:20" x14ac:dyDescent="0.25">
      <c r="A14" s="46"/>
      <c r="B14" s="46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</row>
    <row r="15" spans="1:20" x14ac:dyDescent="0.25">
      <c r="A15" s="124" t="s">
        <v>89</v>
      </c>
      <c r="B15" s="125"/>
      <c r="C15" s="126"/>
      <c r="D15" s="51">
        <f>'Tabela 1 Struktura ulaganja'!E5-'Tabela 1 Struktura ulaganja'!E5/1.21</f>
        <v>18207</v>
      </c>
      <c r="E15" s="127"/>
      <c r="F15" s="128"/>
      <c r="G15" s="128"/>
      <c r="H15" s="128"/>
      <c r="I15" s="128"/>
      <c r="J15" s="128"/>
      <c r="K15" s="128"/>
      <c r="L15" s="128"/>
      <c r="M15" s="129"/>
    </row>
    <row r="16" spans="1:20" x14ac:dyDescent="0.25">
      <c r="A16" s="116" t="s">
        <v>90</v>
      </c>
      <c r="B16" s="117"/>
      <c r="C16" s="118"/>
      <c r="D16" s="51"/>
      <c r="E16" s="51"/>
      <c r="F16" s="51"/>
      <c r="G16" s="51"/>
      <c r="H16" s="51"/>
      <c r="I16" s="51"/>
      <c r="J16" s="51"/>
      <c r="K16" s="51"/>
      <c r="L16" s="51"/>
      <c r="M16" s="51"/>
    </row>
    <row r="17" spans="1:21" ht="15" customHeight="1" x14ac:dyDescent="0.25">
      <c r="A17" s="116" t="s">
        <v>91</v>
      </c>
      <c r="B17" s="117"/>
      <c r="C17" s="118"/>
      <c r="D17" s="51">
        <f>('Tabela 1 Struktura ulaganja'!E5/1.21)*0.6+4000*0.1</f>
        <v>52420</v>
      </c>
      <c r="E17" s="121"/>
      <c r="F17" s="122"/>
      <c r="G17" s="122"/>
      <c r="H17" s="122"/>
      <c r="I17" s="122"/>
      <c r="J17" s="122"/>
      <c r="K17" s="122"/>
      <c r="L17" s="122"/>
      <c r="M17" s="123"/>
    </row>
    <row r="18" spans="1:21" ht="15.75" thickBot="1" x14ac:dyDescent="0.3">
      <c r="A18" s="113" t="s">
        <v>9</v>
      </c>
      <c r="B18" s="114"/>
      <c r="C18" s="115"/>
      <c r="D18" s="81">
        <f>SUMPRODUCT(D3:D14,$C$3:$C$14)+D15+D16+D17</f>
        <v>166107</v>
      </c>
      <c r="E18" s="81">
        <f>SUMPRODUCT(E3:E14,$C$3:$C$14)+E16</f>
        <v>99820</v>
      </c>
      <c r="F18" s="81">
        <f t="shared" ref="F18:M18" si="3">SUMPRODUCT(F3:F14,$C$3:$C$14)+F16</f>
        <v>99820</v>
      </c>
      <c r="G18" s="81">
        <f t="shared" si="3"/>
        <v>108500</v>
      </c>
      <c r="H18" s="81">
        <f t="shared" si="3"/>
        <v>108500</v>
      </c>
      <c r="I18" s="81">
        <f t="shared" si="3"/>
        <v>108500</v>
      </c>
      <c r="J18" s="81">
        <f t="shared" si="3"/>
        <v>108500</v>
      </c>
      <c r="K18" s="81">
        <f t="shared" si="3"/>
        <v>108500</v>
      </c>
      <c r="L18" s="81">
        <f t="shared" si="3"/>
        <v>108500</v>
      </c>
      <c r="M18" s="81">
        <f t="shared" si="3"/>
        <v>108500</v>
      </c>
    </row>
    <row r="19" spans="1:21" ht="15" customHeight="1" x14ac:dyDescent="0.25">
      <c r="A19" s="119" t="s">
        <v>102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66"/>
      <c r="O19" s="66"/>
      <c r="P19" s="66"/>
      <c r="Q19" s="66"/>
      <c r="R19" s="66"/>
      <c r="S19" s="66"/>
      <c r="T19" s="66"/>
      <c r="U19" s="66"/>
    </row>
    <row r="20" spans="1:21" x14ac:dyDescent="0.25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66"/>
      <c r="O20" s="66"/>
      <c r="P20" s="66"/>
      <c r="Q20" s="66"/>
      <c r="R20" s="66"/>
      <c r="S20" s="66"/>
      <c r="T20" s="66"/>
      <c r="U20" s="66"/>
    </row>
    <row r="21" spans="1:21" x14ac:dyDescent="0.25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66"/>
      <c r="O21" s="66"/>
      <c r="P21" s="66"/>
      <c r="Q21" s="66"/>
      <c r="R21" s="66"/>
      <c r="S21" s="66"/>
      <c r="T21" s="66"/>
      <c r="U21" s="66"/>
    </row>
    <row r="22" spans="1:21" x14ac:dyDescent="0.25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66"/>
      <c r="O22" s="66"/>
      <c r="P22" s="66"/>
      <c r="Q22" s="66"/>
      <c r="R22" s="66"/>
      <c r="S22" s="66"/>
      <c r="T22" s="66"/>
      <c r="U22" s="66"/>
    </row>
    <row r="23" spans="1:21" ht="43.5" customHeight="1" x14ac:dyDescent="0.25">
      <c r="A23" s="120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66"/>
      <c r="O23" s="66"/>
      <c r="P23" s="66"/>
      <c r="Q23" s="66"/>
      <c r="R23" s="66"/>
      <c r="S23" s="66"/>
      <c r="T23" s="66"/>
      <c r="U23" s="66"/>
    </row>
    <row r="24" spans="1:21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</row>
    <row r="25" spans="1:21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</row>
    <row r="26" spans="1:21" x14ac:dyDescent="0.25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</row>
    <row r="27" spans="1:21" x14ac:dyDescent="0.25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</row>
    <row r="28" spans="1:21" x14ac:dyDescent="0.25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</row>
    <row r="29" spans="1:21" x14ac:dyDescent="0.25">
      <c r="A29" s="109" t="s">
        <v>74</v>
      </c>
      <c r="B29" s="109"/>
      <c r="C29" s="109"/>
      <c r="D29" s="66"/>
      <c r="E29" s="66"/>
      <c r="F29" s="66"/>
      <c r="G29" s="66" t="s">
        <v>64</v>
      </c>
      <c r="H29" s="66"/>
      <c r="I29" s="66"/>
      <c r="J29" s="66"/>
      <c r="K29" s="66"/>
      <c r="L29" s="66"/>
      <c r="M29" s="66"/>
      <c r="N29" s="66"/>
      <c r="O29" s="66"/>
      <c r="P29" s="67">
        <v>0.01</v>
      </c>
      <c r="Q29" s="66"/>
      <c r="R29" s="66"/>
      <c r="S29" s="66"/>
      <c r="T29" s="66"/>
      <c r="U29" s="66"/>
    </row>
    <row r="30" spans="1:21" x14ac:dyDescent="0.25">
      <c r="A30" s="110" t="s">
        <v>75</v>
      </c>
      <c r="B30" s="111"/>
      <c r="C30" s="68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9">
        <v>1.4999999999999999E-2</v>
      </c>
      <c r="Q30" s="66"/>
      <c r="R30" s="66"/>
      <c r="S30" s="66"/>
      <c r="T30" s="66"/>
      <c r="U30" s="66"/>
    </row>
    <row r="31" spans="1:21" x14ac:dyDescent="0.25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7">
        <v>0.02</v>
      </c>
      <c r="Q31" s="66"/>
      <c r="R31" s="66"/>
      <c r="S31" s="66"/>
      <c r="T31" s="66"/>
      <c r="U31" s="66"/>
    </row>
    <row r="32" spans="1:21" x14ac:dyDescent="0.25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9">
        <v>2.5000000000000001E-2</v>
      </c>
      <c r="Q32" s="66"/>
      <c r="R32" s="66"/>
      <c r="S32" s="66"/>
      <c r="T32" s="66"/>
      <c r="U32" s="66"/>
    </row>
    <row r="33" spans="1:21" x14ac:dyDescent="0.25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7">
        <v>0.03</v>
      </c>
      <c r="Q33" s="66"/>
      <c r="R33" s="66"/>
      <c r="S33" s="66"/>
      <c r="T33" s="66"/>
      <c r="U33" s="66"/>
    </row>
    <row r="34" spans="1:21" x14ac:dyDescent="0.2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9">
        <v>3.5000000000000003E-2</v>
      </c>
      <c r="Q34" s="66"/>
      <c r="R34" s="66"/>
      <c r="S34" s="66"/>
      <c r="T34" s="66"/>
      <c r="U34" s="66"/>
    </row>
    <row r="35" spans="1:21" x14ac:dyDescent="0.2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7">
        <v>0.04</v>
      </c>
      <c r="Q35" s="66"/>
      <c r="R35" s="66"/>
      <c r="S35" s="66"/>
      <c r="T35" s="66"/>
      <c r="U35" s="66"/>
    </row>
    <row r="36" spans="1:21" x14ac:dyDescent="0.25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</row>
    <row r="37" spans="1:21" x14ac:dyDescent="0.25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</row>
    <row r="38" spans="1:21" x14ac:dyDescent="0.25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</row>
    <row r="39" spans="1:21" x14ac:dyDescent="0.25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</row>
    <row r="40" spans="1:21" x14ac:dyDescent="0.25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</row>
    <row r="41" spans="1:21" x14ac:dyDescent="0.25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</row>
    <row r="42" spans="1:21" x14ac:dyDescent="0.25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</row>
    <row r="43" spans="1:21" x14ac:dyDescent="0.25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</row>
    <row r="44" spans="1:21" x14ac:dyDescent="0.2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</row>
    <row r="45" spans="1:21" x14ac:dyDescent="0.2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</row>
    <row r="46" spans="1:21" x14ac:dyDescent="0.25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</row>
    <row r="47" spans="1:21" x14ac:dyDescent="0.25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</row>
    <row r="48" spans="1:21" x14ac:dyDescent="0.25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</row>
  </sheetData>
  <sheetProtection algorithmName="SHA-512" hashValue="r7wHvNFMSPS/EAQnS/uwiN+k8jBHq+5RoqjQtciBtBl/NIyb89UvdtXvRnRECuwVOx9qZzOnUKTou/FlCZQHvw==" saltValue="vc9bpi0Da8moQ6j730RrHQ==" spinCount="100000" sheet="1" objects="1" scenarios="1"/>
  <mergeCells count="10">
    <mergeCell ref="A29:C29"/>
    <mergeCell ref="A30:B30"/>
    <mergeCell ref="D1:M1"/>
    <mergeCell ref="A18:C18"/>
    <mergeCell ref="A16:C16"/>
    <mergeCell ref="A17:C17"/>
    <mergeCell ref="A19:M23"/>
    <mergeCell ref="E17:M17"/>
    <mergeCell ref="A15:C15"/>
    <mergeCell ref="E15:M15"/>
  </mergeCells>
  <dataValidations count="1">
    <dataValidation type="list" allowBlank="1" showInputMessage="1" showErrorMessage="1" sqref="C30" xr:uid="{00000000-0002-0000-0100-000000000000}">
      <formula1>$P$29:$P$35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AH57"/>
  <sheetViews>
    <sheetView workbookViewId="0">
      <selection activeCell="F25" sqref="F25"/>
    </sheetView>
  </sheetViews>
  <sheetFormatPr defaultColWidth="8.85546875" defaultRowHeight="15" x14ac:dyDescent="0.25"/>
  <cols>
    <col min="1" max="1" width="19.140625" style="47" bestFit="1" customWidth="1"/>
    <col min="2" max="2" width="8.140625" style="47" customWidth="1"/>
    <col min="3" max="3" width="10.85546875" style="47" bestFit="1" customWidth="1"/>
    <col min="4" max="13" width="15.7109375" style="47" customWidth="1"/>
    <col min="14" max="15" width="8.85546875" style="47"/>
    <col min="16" max="16" width="0" style="47" hidden="1" customWidth="1"/>
    <col min="17" max="16384" width="8.85546875" style="47"/>
  </cols>
  <sheetData>
    <row r="1" spans="1:34" x14ac:dyDescent="0.25">
      <c r="A1" s="72"/>
      <c r="B1" s="72"/>
      <c r="C1" s="72"/>
      <c r="D1" s="112" t="s">
        <v>70</v>
      </c>
      <c r="E1" s="112"/>
      <c r="F1" s="112"/>
      <c r="G1" s="112"/>
      <c r="H1" s="112"/>
      <c r="I1" s="112"/>
      <c r="J1" s="112"/>
      <c r="K1" s="112"/>
      <c r="L1" s="112"/>
      <c r="M1" s="112"/>
    </row>
    <row r="2" spans="1:34" ht="47.25" customHeight="1" x14ac:dyDescent="0.25">
      <c r="A2" s="73" t="s">
        <v>10</v>
      </c>
      <c r="B2" s="73" t="s">
        <v>7</v>
      </c>
      <c r="C2" s="73" t="s">
        <v>8</v>
      </c>
      <c r="D2" s="74">
        <v>1</v>
      </c>
      <c r="E2" s="75">
        <v>2</v>
      </c>
      <c r="F2" s="75">
        <v>3</v>
      </c>
      <c r="G2" s="75">
        <v>4</v>
      </c>
      <c r="H2" s="75">
        <v>5</v>
      </c>
      <c r="I2" s="75">
        <v>6</v>
      </c>
      <c r="J2" s="75">
        <v>7</v>
      </c>
      <c r="K2" s="75">
        <v>8</v>
      </c>
      <c r="L2" s="75">
        <v>9</v>
      </c>
      <c r="M2" s="75">
        <v>10</v>
      </c>
    </row>
    <row r="3" spans="1:34" x14ac:dyDescent="0.25">
      <c r="A3" s="46" t="s">
        <v>113</v>
      </c>
      <c r="B3" s="46" t="s">
        <v>109</v>
      </c>
      <c r="C3" s="50">
        <v>1.6</v>
      </c>
      <c r="D3" s="51">
        <v>4400</v>
      </c>
      <c r="E3" s="51">
        <v>4600</v>
      </c>
      <c r="F3" s="51">
        <v>4600</v>
      </c>
      <c r="G3" s="51">
        <v>5000</v>
      </c>
      <c r="H3" s="51">
        <v>5000</v>
      </c>
      <c r="I3" s="51">
        <v>5000</v>
      </c>
      <c r="J3" s="51">
        <v>5000</v>
      </c>
      <c r="K3" s="51">
        <v>5000</v>
      </c>
      <c r="L3" s="51">
        <v>5000</v>
      </c>
      <c r="M3" s="51">
        <v>5000</v>
      </c>
    </row>
    <row r="4" spans="1:34" x14ac:dyDescent="0.25">
      <c r="A4" s="46" t="s">
        <v>114</v>
      </c>
      <c r="B4" s="46" t="s">
        <v>109</v>
      </c>
      <c r="C4" s="50">
        <v>1.7</v>
      </c>
      <c r="D4" s="51">
        <v>4400</v>
      </c>
      <c r="E4" s="51">
        <v>4600</v>
      </c>
      <c r="F4" s="51">
        <v>4600</v>
      </c>
      <c r="G4" s="51">
        <v>5000</v>
      </c>
      <c r="H4" s="51">
        <v>5000</v>
      </c>
      <c r="I4" s="51">
        <v>5000</v>
      </c>
      <c r="J4" s="51">
        <v>5000</v>
      </c>
      <c r="K4" s="51">
        <v>5000</v>
      </c>
      <c r="L4" s="51">
        <v>5000</v>
      </c>
      <c r="M4" s="51">
        <v>5000</v>
      </c>
    </row>
    <row r="5" spans="1:34" x14ac:dyDescent="0.25">
      <c r="A5" s="46" t="s">
        <v>115</v>
      </c>
      <c r="B5" s="46" t="s">
        <v>109</v>
      </c>
      <c r="C5" s="50">
        <v>2.5</v>
      </c>
      <c r="D5" s="51">
        <v>4400</v>
      </c>
      <c r="E5" s="51">
        <v>4600</v>
      </c>
      <c r="F5" s="51">
        <v>4600</v>
      </c>
      <c r="G5" s="51">
        <v>5000</v>
      </c>
      <c r="H5" s="51">
        <v>5000</v>
      </c>
      <c r="I5" s="51">
        <v>5000</v>
      </c>
      <c r="J5" s="51">
        <v>5000</v>
      </c>
      <c r="K5" s="51">
        <v>5000</v>
      </c>
      <c r="L5" s="51">
        <v>5000</v>
      </c>
      <c r="M5" s="51">
        <v>5000</v>
      </c>
    </row>
    <row r="6" spans="1:34" x14ac:dyDescent="0.25">
      <c r="A6" s="46"/>
      <c r="B6" s="46"/>
      <c r="C6" s="53"/>
      <c r="D6" s="51"/>
      <c r="E6" s="51"/>
      <c r="F6" s="51"/>
      <c r="G6" s="51"/>
      <c r="H6" s="51"/>
      <c r="I6" s="51"/>
      <c r="J6" s="51"/>
      <c r="K6" s="51"/>
      <c r="L6" s="51"/>
      <c r="M6" s="51"/>
    </row>
    <row r="7" spans="1:34" x14ac:dyDescent="0.25">
      <c r="A7" s="46"/>
      <c r="B7" s="46"/>
      <c r="C7" s="53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34" x14ac:dyDescent="0.25">
      <c r="A8" s="46"/>
      <c r="B8" s="46"/>
      <c r="C8" s="53"/>
      <c r="D8" s="51"/>
      <c r="E8" s="51"/>
      <c r="F8" s="51"/>
      <c r="G8" s="51"/>
      <c r="H8" s="51"/>
      <c r="I8" s="51"/>
      <c r="J8" s="51"/>
      <c r="K8" s="51"/>
      <c r="L8" s="51"/>
      <c r="M8" s="51"/>
    </row>
    <row r="9" spans="1:34" x14ac:dyDescent="0.25">
      <c r="A9" s="46"/>
      <c r="B9" s="46"/>
      <c r="C9" s="53"/>
      <c r="D9" s="51"/>
      <c r="E9" s="51"/>
      <c r="F9" s="51"/>
      <c r="G9" s="51"/>
      <c r="H9" s="51"/>
      <c r="I9" s="51"/>
      <c r="J9" s="51"/>
      <c r="K9" s="51"/>
      <c r="L9" s="51"/>
      <c r="M9" s="51"/>
    </row>
    <row r="10" spans="1:34" x14ac:dyDescent="0.25">
      <c r="A10" s="46"/>
      <c r="B10" s="46"/>
      <c r="C10" s="53"/>
      <c r="D10" s="51"/>
      <c r="E10" s="51"/>
      <c r="F10" s="51"/>
      <c r="G10" s="51"/>
      <c r="H10" s="51"/>
      <c r="I10" s="51"/>
      <c r="J10" s="51"/>
      <c r="K10" s="51"/>
      <c r="L10" s="51"/>
      <c r="M10" s="51"/>
    </row>
    <row r="11" spans="1:34" x14ac:dyDescent="0.25">
      <c r="A11" s="46"/>
      <c r="B11" s="46"/>
      <c r="C11" s="53"/>
      <c r="D11" s="51"/>
      <c r="E11" s="51"/>
      <c r="F11" s="51"/>
      <c r="G11" s="51"/>
      <c r="H11" s="51"/>
      <c r="I11" s="51"/>
      <c r="J11" s="51"/>
      <c r="K11" s="51"/>
      <c r="L11" s="51"/>
      <c r="M11" s="51"/>
    </row>
    <row r="12" spans="1:34" x14ac:dyDescent="0.25">
      <c r="A12" s="46"/>
      <c r="B12" s="46"/>
      <c r="C12" s="53"/>
      <c r="D12" s="51"/>
      <c r="E12" s="51"/>
      <c r="F12" s="51"/>
      <c r="G12" s="51"/>
      <c r="H12" s="51"/>
      <c r="I12" s="51"/>
      <c r="J12" s="51"/>
      <c r="K12" s="51"/>
      <c r="L12" s="51"/>
      <c r="M12" s="51"/>
    </row>
    <row r="13" spans="1:34" x14ac:dyDescent="0.25">
      <c r="A13" s="46"/>
      <c r="B13" s="46"/>
      <c r="C13" s="53"/>
      <c r="D13" s="51"/>
      <c r="E13" s="51"/>
      <c r="F13" s="51"/>
      <c r="G13" s="51"/>
      <c r="H13" s="51"/>
      <c r="I13" s="51"/>
      <c r="J13" s="51"/>
      <c r="K13" s="51"/>
      <c r="L13" s="51"/>
      <c r="M13" s="51"/>
    </row>
    <row r="14" spans="1:34" x14ac:dyDescent="0.25">
      <c r="A14" s="113" t="s">
        <v>11</v>
      </c>
      <c r="B14" s="114"/>
      <c r="C14" s="115"/>
      <c r="D14" s="65">
        <f>SUMPRODUCT(D3:D13,$C$3:$C$13)</f>
        <v>25520</v>
      </c>
      <c r="E14" s="65">
        <f>SUMPRODUCT(E3:E13,$C$3:$C$13)</f>
        <v>26680</v>
      </c>
      <c r="F14" s="65">
        <f>SUMPRODUCT(F3:F13,$C$3:$C$13)*(100%+$C$26)</f>
        <v>26680</v>
      </c>
      <c r="G14" s="65">
        <f>SUMPRODUCT(G3:G13,$C$3:$C$13)*(100%+$C$26)^E2</f>
        <v>29000</v>
      </c>
      <c r="H14" s="65">
        <f t="shared" ref="H14:M14" si="0">SUMPRODUCT(H3:H13,$C$3:$C$13)*(100%+$C$26)^F2</f>
        <v>29000</v>
      </c>
      <c r="I14" s="65">
        <f t="shared" si="0"/>
        <v>29000</v>
      </c>
      <c r="J14" s="65">
        <f t="shared" si="0"/>
        <v>29000</v>
      </c>
      <c r="K14" s="65">
        <f t="shared" si="0"/>
        <v>29000</v>
      </c>
      <c r="L14" s="65">
        <f t="shared" si="0"/>
        <v>29000</v>
      </c>
      <c r="M14" s="65">
        <f t="shared" si="0"/>
        <v>29000</v>
      </c>
    </row>
    <row r="15" spans="1:34" ht="15" customHeight="1" x14ac:dyDescent="0.25">
      <c r="A15" s="119" t="s">
        <v>66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</row>
    <row r="16" spans="1:34" x14ac:dyDescent="0.25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</row>
    <row r="17" spans="1:34" x14ac:dyDescent="0.25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</row>
    <row r="18" spans="1:34" x14ac:dyDescent="0.25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</row>
    <row r="19" spans="1:34" ht="14.25" customHeight="1" x14ac:dyDescent="0.25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</row>
    <row r="20" spans="1:34" x14ac:dyDescent="0.25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</row>
    <row r="21" spans="1:34" x14ac:dyDescent="0.25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</row>
    <row r="22" spans="1:34" x14ac:dyDescent="0.25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</row>
    <row r="23" spans="1:34" x14ac:dyDescent="0.25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</row>
    <row r="24" spans="1:34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</row>
    <row r="25" spans="1:34" ht="15" customHeight="1" x14ac:dyDescent="0.25">
      <c r="A25" s="109" t="s">
        <v>74</v>
      </c>
      <c r="B25" s="109"/>
      <c r="C25" s="109"/>
      <c r="D25" s="66"/>
      <c r="E25" s="66"/>
      <c r="F25" s="66"/>
      <c r="G25" s="66" t="s">
        <v>64</v>
      </c>
      <c r="H25" s="66"/>
      <c r="I25" s="66"/>
      <c r="J25" s="66"/>
      <c r="K25" s="66"/>
      <c r="L25" s="66"/>
      <c r="M25" s="66"/>
      <c r="N25" s="66"/>
      <c r="O25" s="66"/>
      <c r="P25" s="67">
        <v>0.01</v>
      </c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</row>
    <row r="26" spans="1:34" ht="15" customHeight="1" x14ac:dyDescent="0.25">
      <c r="A26" s="110" t="s">
        <v>75</v>
      </c>
      <c r="B26" s="111"/>
      <c r="C26" s="68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9">
        <v>1.4999999999999999E-2</v>
      </c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</row>
    <row r="27" spans="1:34" x14ac:dyDescent="0.25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7">
        <v>0.02</v>
      </c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</row>
    <row r="28" spans="1:34" x14ac:dyDescent="0.25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9">
        <v>2.5000000000000001E-2</v>
      </c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</row>
    <row r="29" spans="1:34" x14ac:dyDescent="0.25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7">
        <v>0.03</v>
      </c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</row>
    <row r="30" spans="1:34" x14ac:dyDescent="0.25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9">
        <v>3.5000000000000003E-2</v>
      </c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</row>
    <row r="31" spans="1:34" x14ac:dyDescent="0.25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7">
        <v>0.04</v>
      </c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</row>
    <row r="32" spans="1:34" x14ac:dyDescent="0.25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</row>
    <row r="33" spans="1:34" x14ac:dyDescent="0.25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</row>
    <row r="34" spans="1:34" x14ac:dyDescent="0.2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</row>
    <row r="35" spans="1:34" x14ac:dyDescent="0.2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</row>
    <row r="36" spans="1:34" x14ac:dyDescent="0.25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</row>
    <row r="37" spans="1:34" x14ac:dyDescent="0.25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</row>
    <row r="38" spans="1:34" x14ac:dyDescent="0.25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</row>
    <row r="39" spans="1:34" x14ac:dyDescent="0.25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</row>
    <row r="40" spans="1:34" x14ac:dyDescent="0.25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</row>
    <row r="41" spans="1:34" x14ac:dyDescent="0.25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</row>
    <row r="42" spans="1:34" x14ac:dyDescent="0.25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</row>
    <row r="43" spans="1:34" x14ac:dyDescent="0.25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</row>
    <row r="44" spans="1:34" x14ac:dyDescent="0.2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</row>
    <row r="45" spans="1:34" x14ac:dyDescent="0.2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</row>
    <row r="46" spans="1:34" x14ac:dyDescent="0.25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</row>
    <row r="47" spans="1:34" x14ac:dyDescent="0.25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</row>
    <row r="48" spans="1:34" x14ac:dyDescent="0.25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</row>
    <row r="49" spans="1:34" x14ac:dyDescent="0.25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</row>
    <row r="50" spans="1:34" x14ac:dyDescent="0.25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</row>
    <row r="51" spans="1:34" x14ac:dyDescent="0.25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</row>
    <row r="52" spans="1:34" x14ac:dyDescent="0.25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</row>
    <row r="53" spans="1:34" x14ac:dyDescent="0.25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</row>
    <row r="54" spans="1:34" x14ac:dyDescent="0.25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</row>
    <row r="55" spans="1:34" x14ac:dyDescent="0.25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</row>
    <row r="56" spans="1:34" x14ac:dyDescent="0.25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</row>
    <row r="57" spans="1:34" x14ac:dyDescent="0.25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</row>
  </sheetData>
  <sheetProtection algorithmName="SHA-512" hashValue="khD8k1bc9+ceS6Sq4OViZYnJBZRfuPpJCkqNvNH9YfRr2gzUNh7fmylfWs7NU0MAy7S/9TNDqFizZLAz3hWTYw==" saltValue="X9CKMkwo9GhOHpZsZ8TN2g==" spinCount="100000" sheet="1" objects="1" scenarios="1"/>
  <mergeCells count="5">
    <mergeCell ref="D1:M1"/>
    <mergeCell ref="A14:C14"/>
    <mergeCell ref="A15:M17"/>
    <mergeCell ref="A25:C25"/>
    <mergeCell ref="A26:B26"/>
  </mergeCells>
  <dataValidations count="1">
    <dataValidation type="list" allowBlank="1" showInputMessage="1" showErrorMessage="1" sqref="C26" xr:uid="{00000000-0002-0000-0200-000000000000}">
      <formula1>$P$25:$P$31</formula1>
    </dataValidation>
  </dataValidation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B89"/>
  <sheetViews>
    <sheetView workbookViewId="0">
      <selection activeCell="J27" sqref="J27"/>
    </sheetView>
  </sheetViews>
  <sheetFormatPr defaultColWidth="8.85546875" defaultRowHeight="15" x14ac:dyDescent="0.25"/>
  <cols>
    <col min="1" max="1" width="2.85546875" style="47" bestFit="1" customWidth="1"/>
    <col min="2" max="2" width="19.140625" style="47" bestFit="1" customWidth="1"/>
    <col min="3" max="3" width="10.85546875" style="47" bestFit="1" customWidth="1"/>
    <col min="4" max="5" width="10.85546875" style="47" hidden="1" customWidth="1"/>
    <col min="6" max="6" width="13.140625" style="47" hidden="1" customWidth="1"/>
    <col min="7" max="7" width="11.7109375" style="47" customWidth="1"/>
    <col min="8" max="17" width="15.7109375" style="47" customWidth="1"/>
    <col min="18" max="18" width="8.85546875" style="47"/>
    <col min="19" max="19" width="0" style="47" hidden="1" customWidth="1"/>
    <col min="20" max="16384" width="8.85546875" style="47"/>
  </cols>
  <sheetData>
    <row r="1" spans="1:28" x14ac:dyDescent="0.25">
      <c r="A1" s="132" t="s">
        <v>67</v>
      </c>
      <c r="B1" s="133"/>
      <c r="C1" s="133"/>
      <c r="D1" s="133"/>
      <c r="E1" s="133"/>
      <c r="F1" s="133"/>
      <c r="G1" s="134"/>
      <c r="H1" s="112" t="s">
        <v>71</v>
      </c>
      <c r="I1" s="112"/>
      <c r="J1" s="112"/>
      <c r="K1" s="112"/>
      <c r="L1" s="112"/>
      <c r="M1" s="112"/>
      <c r="N1" s="112"/>
      <c r="O1" s="112"/>
      <c r="P1" s="112"/>
      <c r="Q1" s="112"/>
    </row>
    <row r="2" spans="1:28" ht="47.25" customHeight="1" x14ac:dyDescent="0.25">
      <c r="A2" s="72" t="s">
        <v>0</v>
      </c>
      <c r="B2" s="72" t="s">
        <v>1</v>
      </c>
      <c r="C2" s="73" t="s">
        <v>2</v>
      </c>
      <c r="D2" s="73" t="s">
        <v>105</v>
      </c>
      <c r="E2" s="73" t="s">
        <v>106</v>
      </c>
      <c r="F2" s="107" t="s">
        <v>107</v>
      </c>
      <c r="G2" s="73" t="s">
        <v>5</v>
      </c>
      <c r="H2" s="74">
        <v>1</v>
      </c>
      <c r="I2" s="75">
        <v>2</v>
      </c>
      <c r="J2" s="75">
        <v>3</v>
      </c>
      <c r="K2" s="75">
        <v>4</v>
      </c>
      <c r="L2" s="75">
        <v>5</v>
      </c>
      <c r="M2" s="75">
        <v>6</v>
      </c>
      <c r="N2" s="75">
        <v>7</v>
      </c>
      <c r="O2" s="75">
        <v>8</v>
      </c>
      <c r="P2" s="75">
        <v>9</v>
      </c>
      <c r="Q2" s="75">
        <v>10</v>
      </c>
    </row>
    <row r="3" spans="1:28" x14ac:dyDescent="0.25">
      <c r="A3" s="46">
        <v>1</v>
      </c>
      <c r="B3" s="46" t="s">
        <v>116</v>
      </c>
      <c r="C3" s="50">
        <v>650</v>
      </c>
      <c r="D3" s="50">
        <f>IF(C3&lt;=700,C3,IF(AND(C3&gt;700,C3&lt;=1000),C3-63,IF(C3&lt;=1000,C3-63,IF(C3&gt;1000,C3-123,FALSE))))</f>
        <v>650</v>
      </c>
      <c r="E3" s="104">
        <f>IF(C3&lt;=700,1.1834,IF(AND(C3&gt;700,C3&lt;=1000),1.3245,IF(C3&gt;999,1.4388,FALSE)))</f>
        <v>1.1834</v>
      </c>
      <c r="F3" s="105">
        <f>D3*E3</f>
        <v>769.21</v>
      </c>
      <c r="G3" s="54">
        <v>12</v>
      </c>
      <c r="H3" s="51">
        <v>1</v>
      </c>
      <c r="I3" s="51">
        <v>1</v>
      </c>
      <c r="J3" s="51">
        <v>1</v>
      </c>
      <c r="K3" s="51">
        <v>1</v>
      </c>
      <c r="L3" s="51">
        <v>1</v>
      </c>
      <c r="M3" s="51">
        <v>1</v>
      </c>
      <c r="N3" s="51">
        <v>1</v>
      </c>
      <c r="O3" s="51">
        <v>1</v>
      </c>
      <c r="P3" s="51">
        <v>1</v>
      </c>
      <c r="Q3" s="51">
        <v>1</v>
      </c>
    </row>
    <row r="4" spans="1:28" x14ac:dyDescent="0.25">
      <c r="A4" s="46">
        <v>2</v>
      </c>
      <c r="B4" s="46" t="s">
        <v>117</v>
      </c>
      <c r="C4" s="50">
        <v>550</v>
      </c>
      <c r="D4" s="50">
        <f t="shared" ref="D4:D12" si="0">IF(C4&lt;=700,C4,IF(AND(C4&gt;700,C4&lt;=1000),C4-63,IF(C4&lt;=1000,C4-63,IF(C4&gt;1000,C4-123,FALSE))))</f>
        <v>550</v>
      </c>
      <c r="E4" s="104">
        <f>IF(C4&lt;=700,1.1834,IF(AND(C4&gt;700,C4&lt;=1000),1.3245,IF(C4&gt;999,1.4388,FALSE)))</f>
        <v>1.1834</v>
      </c>
      <c r="F4" s="105">
        <f t="shared" ref="F4:F12" si="1">D4*E4</f>
        <v>650.87</v>
      </c>
      <c r="G4" s="54">
        <v>12</v>
      </c>
      <c r="H4" s="51">
        <v>2</v>
      </c>
      <c r="I4" s="51">
        <v>2</v>
      </c>
      <c r="J4" s="51">
        <v>2</v>
      </c>
      <c r="K4" s="51">
        <v>2</v>
      </c>
      <c r="L4" s="51">
        <v>2</v>
      </c>
      <c r="M4" s="51">
        <v>2</v>
      </c>
      <c r="N4" s="51">
        <v>2</v>
      </c>
      <c r="O4" s="51">
        <v>2</v>
      </c>
      <c r="P4" s="51">
        <v>2</v>
      </c>
      <c r="Q4" s="51">
        <v>2</v>
      </c>
    </row>
    <row r="5" spans="1:28" x14ac:dyDescent="0.25">
      <c r="A5" s="46">
        <v>3</v>
      </c>
      <c r="B5" s="46" t="s">
        <v>118</v>
      </c>
      <c r="C5" s="53">
        <v>500</v>
      </c>
      <c r="D5" s="50">
        <f t="shared" si="0"/>
        <v>500</v>
      </c>
      <c r="E5" s="104">
        <f t="shared" ref="E5:E12" si="2">IF(C5&lt;=699,1.1834,IF(AND(C5&gt;700,C5&lt;=1000),1.3245,IF(C5&gt;999,1.4388,FALSE)))</f>
        <v>1.1834</v>
      </c>
      <c r="F5" s="105">
        <f t="shared" si="1"/>
        <v>591.70000000000005</v>
      </c>
      <c r="G5" s="54">
        <v>12</v>
      </c>
      <c r="H5" s="51">
        <v>2</v>
      </c>
      <c r="I5" s="51">
        <v>2</v>
      </c>
      <c r="J5" s="51">
        <v>2</v>
      </c>
      <c r="K5" s="51">
        <v>2</v>
      </c>
      <c r="L5" s="51">
        <v>2</v>
      </c>
      <c r="M5" s="51">
        <v>2</v>
      </c>
      <c r="N5" s="51">
        <v>2</v>
      </c>
      <c r="O5" s="51">
        <v>2</v>
      </c>
      <c r="P5" s="51">
        <v>2</v>
      </c>
      <c r="Q5" s="51">
        <v>2</v>
      </c>
    </row>
    <row r="6" spans="1:28" x14ac:dyDescent="0.25">
      <c r="A6" s="46">
        <v>4</v>
      </c>
      <c r="B6" s="46"/>
      <c r="C6" s="50"/>
      <c r="D6" s="50">
        <f t="shared" si="0"/>
        <v>0</v>
      </c>
      <c r="E6" s="104">
        <f t="shared" si="2"/>
        <v>1.1834</v>
      </c>
      <c r="F6" s="105">
        <f t="shared" si="1"/>
        <v>0</v>
      </c>
      <c r="G6" s="54"/>
      <c r="H6" s="51"/>
      <c r="I6" s="51"/>
      <c r="J6" s="51"/>
      <c r="K6" s="51"/>
      <c r="L6" s="51"/>
      <c r="M6" s="51"/>
      <c r="N6" s="51"/>
      <c r="O6" s="51"/>
      <c r="P6" s="51"/>
      <c r="Q6" s="51"/>
    </row>
    <row r="7" spans="1:28" x14ac:dyDescent="0.25">
      <c r="A7" s="46">
        <v>5</v>
      </c>
      <c r="B7" s="46"/>
      <c r="C7" s="50"/>
      <c r="D7" s="50">
        <f t="shared" si="0"/>
        <v>0</v>
      </c>
      <c r="E7" s="104">
        <f t="shared" si="2"/>
        <v>1.1834</v>
      </c>
      <c r="F7" s="105">
        <f t="shared" si="1"/>
        <v>0</v>
      </c>
      <c r="G7" s="54"/>
      <c r="H7" s="51"/>
      <c r="I7" s="51"/>
      <c r="J7" s="51"/>
      <c r="K7" s="51"/>
      <c r="L7" s="51"/>
      <c r="M7" s="51"/>
      <c r="N7" s="51"/>
      <c r="O7" s="51"/>
      <c r="P7" s="51"/>
      <c r="Q7" s="51"/>
    </row>
    <row r="8" spans="1:28" x14ac:dyDescent="0.25">
      <c r="A8" s="46">
        <v>6</v>
      </c>
      <c r="B8" s="46"/>
      <c r="C8" s="50"/>
      <c r="D8" s="50">
        <f t="shared" si="0"/>
        <v>0</v>
      </c>
      <c r="E8" s="104">
        <f t="shared" si="2"/>
        <v>1.1834</v>
      </c>
      <c r="F8" s="105">
        <f t="shared" si="1"/>
        <v>0</v>
      </c>
      <c r="G8" s="54"/>
      <c r="H8" s="51"/>
      <c r="I8" s="51"/>
      <c r="J8" s="51"/>
      <c r="K8" s="51"/>
      <c r="L8" s="51"/>
      <c r="M8" s="51"/>
      <c r="N8" s="51"/>
      <c r="O8" s="51"/>
      <c r="P8" s="51"/>
      <c r="Q8" s="51"/>
    </row>
    <row r="9" spans="1:28" x14ac:dyDescent="0.25">
      <c r="A9" s="46">
        <v>7</v>
      </c>
      <c r="B9" s="46"/>
      <c r="C9" s="50"/>
      <c r="D9" s="50">
        <f t="shared" si="0"/>
        <v>0</v>
      </c>
      <c r="E9" s="104">
        <f t="shared" si="2"/>
        <v>1.1834</v>
      </c>
      <c r="F9" s="105">
        <f t="shared" si="1"/>
        <v>0</v>
      </c>
      <c r="G9" s="54"/>
      <c r="H9" s="51"/>
      <c r="I9" s="51"/>
      <c r="J9" s="51"/>
      <c r="K9" s="51"/>
      <c r="L9" s="51"/>
      <c r="M9" s="51"/>
      <c r="N9" s="51"/>
      <c r="O9" s="51"/>
      <c r="P9" s="51"/>
      <c r="Q9" s="51"/>
    </row>
    <row r="10" spans="1:28" x14ac:dyDescent="0.25">
      <c r="A10" s="46">
        <v>8</v>
      </c>
      <c r="B10" s="46"/>
      <c r="C10" s="50"/>
      <c r="D10" s="50">
        <f t="shared" si="0"/>
        <v>0</v>
      </c>
      <c r="E10" s="104">
        <f t="shared" si="2"/>
        <v>1.1834</v>
      </c>
      <c r="F10" s="105">
        <f t="shared" si="1"/>
        <v>0</v>
      </c>
      <c r="G10" s="54"/>
      <c r="H10" s="51"/>
      <c r="I10" s="51"/>
      <c r="J10" s="51"/>
      <c r="K10" s="51"/>
      <c r="L10" s="51"/>
      <c r="M10" s="51"/>
      <c r="N10" s="51"/>
      <c r="O10" s="51"/>
      <c r="P10" s="51"/>
      <c r="Q10" s="51"/>
    </row>
    <row r="11" spans="1:28" x14ac:dyDescent="0.25">
      <c r="A11" s="46">
        <v>9</v>
      </c>
      <c r="B11" s="46"/>
      <c r="C11" s="50"/>
      <c r="D11" s="50">
        <f t="shared" si="0"/>
        <v>0</v>
      </c>
      <c r="E11" s="104">
        <f t="shared" si="2"/>
        <v>1.1834</v>
      </c>
      <c r="F11" s="105">
        <f t="shared" si="1"/>
        <v>0</v>
      </c>
      <c r="G11" s="54"/>
      <c r="H11" s="51"/>
      <c r="I11" s="51"/>
      <c r="J11" s="51"/>
      <c r="K11" s="51"/>
      <c r="L11" s="51"/>
      <c r="M11" s="51"/>
      <c r="N11" s="51"/>
      <c r="O11" s="51"/>
      <c r="P11" s="51"/>
      <c r="Q11" s="51"/>
    </row>
    <row r="12" spans="1:28" x14ac:dyDescent="0.25">
      <c r="A12" s="46">
        <v>10</v>
      </c>
      <c r="B12" s="46"/>
      <c r="C12" s="50"/>
      <c r="D12" s="50">
        <f t="shared" si="0"/>
        <v>0</v>
      </c>
      <c r="E12" s="104">
        <f t="shared" si="2"/>
        <v>1.1834</v>
      </c>
      <c r="F12" s="105">
        <f t="shared" si="1"/>
        <v>0</v>
      </c>
      <c r="G12" s="54"/>
      <c r="H12" s="51"/>
      <c r="I12" s="51"/>
      <c r="J12" s="51"/>
      <c r="K12" s="51"/>
      <c r="L12" s="51"/>
      <c r="M12" s="51"/>
      <c r="N12" s="51"/>
      <c r="O12" s="51"/>
      <c r="P12" s="51"/>
      <c r="Q12" s="51"/>
    </row>
    <row r="13" spans="1:28" x14ac:dyDescent="0.25">
      <c r="A13" s="130" t="s">
        <v>3</v>
      </c>
      <c r="B13" s="130"/>
      <c r="C13" s="130"/>
      <c r="D13" s="130"/>
      <c r="E13" s="130"/>
      <c r="F13" s="130"/>
      <c r="G13" s="130"/>
      <c r="H13" s="52">
        <f>SUMPRODUCT($G$3:$G$12,H3:H12,$F$3:$F$12)</f>
        <v>39052.200000000004</v>
      </c>
      <c r="I13" s="52">
        <f t="shared" ref="I13:Q13" si="3">SUMPRODUCT($G$3:$G$12,I3:I12,$F$3:$F$12)</f>
        <v>39052.200000000004</v>
      </c>
      <c r="J13" s="52">
        <f t="shared" si="3"/>
        <v>39052.200000000004</v>
      </c>
      <c r="K13" s="52">
        <f t="shared" si="3"/>
        <v>39052.200000000004</v>
      </c>
      <c r="L13" s="52">
        <f t="shared" si="3"/>
        <v>39052.200000000004</v>
      </c>
      <c r="M13" s="52">
        <f t="shared" si="3"/>
        <v>39052.200000000004</v>
      </c>
      <c r="N13" s="52">
        <f t="shared" si="3"/>
        <v>39052.200000000004</v>
      </c>
      <c r="O13" s="52">
        <f t="shared" si="3"/>
        <v>39052.200000000004</v>
      </c>
      <c r="P13" s="52">
        <f t="shared" si="3"/>
        <v>39052.200000000004</v>
      </c>
      <c r="Q13" s="52">
        <f t="shared" si="3"/>
        <v>39052.200000000004</v>
      </c>
    </row>
    <row r="14" spans="1:28" x14ac:dyDescent="0.25">
      <c r="A14" s="119" t="s">
        <v>72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</row>
    <row r="15" spans="1:28" x14ac:dyDescent="0.25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</row>
    <row r="16" spans="1:28" x14ac:dyDescent="0.25">
      <c r="A16" s="66"/>
      <c r="B16" s="66"/>
      <c r="C16" s="66"/>
      <c r="D16" s="66"/>
      <c r="E16" s="66"/>
      <c r="F16" s="10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</row>
    <row r="17" spans="1:28" x14ac:dyDescent="0.25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</row>
    <row r="18" spans="1:28" x14ac:dyDescent="0.25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</row>
    <row r="19" spans="1:28" x14ac:dyDescent="0.25">
      <c r="A19" s="66"/>
      <c r="B19" s="66"/>
      <c r="C19" s="66"/>
      <c r="D19" s="66"/>
      <c r="E19" s="66"/>
      <c r="F19" s="66"/>
      <c r="G19" s="66"/>
      <c r="H19" s="66"/>
      <c r="I19" s="66"/>
      <c r="J19" s="10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</row>
    <row r="20" spans="1:28" ht="15" customHeight="1" x14ac:dyDescent="0.25">
      <c r="A20" s="66"/>
      <c r="B20" s="135" t="s">
        <v>76</v>
      </c>
      <c r="C20" s="109"/>
      <c r="D20" s="102"/>
      <c r="E20" s="102"/>
      <c r="F20" s="102"/>
      <c r="G20" s="66"/>
      <c r="H20" s="66"/>
      <c r="I20" s="66"/>
      <c r="J20" s="66" t="s">
        <v>64</v>
      </c>
      <c r="K20" s="66"/>
      <c r="L20" s="66"/>
      <c r="M20" s="66"/>
      <c r="N20" s="66"/>
      <c r="O20" s="66"/>
      <c r="P20" s="66"/>
      <c r="Q20" s="66"/>
      <c r="R20" s="66"/>
      <c r="S20" s="67">
        <v>0.01</v>
      </c>
      <c r="T20" s="66"/>
      <c r="U20" s="66"/>
      <c r="V20" s="66"/>
      <c r="W20" s="66"/>
      <c r="X20" s="66"/>
      <c r="Y20" s="66"/>
      <c r="Z20" s="66"/>
      <c r="AA20" s="66"/>
      <c r="AB20" s="66"/>
    </row>
    <row r="21" spans="1:28" ht="15" customHeight="1" x14ac:dyDescent="0.25">
      <c r="A21" s="66"/>
      <c r="B21" s="71" t="s">
        <v>77</v>
      </c>
      <c r="C21" s="68"/>
      <c r="D21" s="103"/>
      <c r="E21" s="103"/>
      <c r="F21" s="103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9">
        <v>1.4999999999999999E-2</v>
      </c>
      <c r="T21" s="66"/>
      <c r="U21" s="66"/>
      <c r="V21" s="66"/>
      <c r="W21" s="66"/>
      <c r="X21" s="66"/>
      <c r="Y21" s="66"/>
      <c r="Z21" s="66"/>
      <c r="AA21" s="66"/>
      <c r="AB21" s="66"/>
    </row>
    <row r="22" spans="1:28" x14ac:dyDescent="0.25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>
        <v>0.02</v>
      </c>
      <c r="T22" s="66"/>
      <c r="U22" s="66"/>
      <c r="V22" s="66"/>
      <c r="W22" s="66"/>
      <c r="X22" s="66"/>
      <c r="Y22" s="66"/>
      <c r="Z22" s="66"/>
      <c r="AA22" s="66"/>
      <c r="AB22" s="66"/>
    </row>
    <row r="23" spans="1:28" x14ac:dyDescent="0.25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9">
        <v>2.5000000000000001E-2</v>
      </c>
      <c r="T23" s="66"/>
      <c r="U23" s="66"/>
      <c r="V23" s="66"/>
      <c r="W23" s="66"/>
      <c r="X23" s="66"/>
      <c r="Y23" s="66"/>
      <c r="Z23" s="66"/>
      <c r="AA23" s="66"/>
      <c r="AB23" s="66"/>
    </row>
    <row r="24" spans="1:28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7">
        <v>0.03</v>
      </c>
      <c r="T24" s="66"/>
      <c r="U24" s="66"/>
      <c r="V24" s="66"/>
      <c r="W24" s="66"/>
      <c r="X24" s="66"/>
      <c r="Y24" s="66"/>
      <c r="Z24" s="66"/>
      <c r="AA24" s="66"/>
      <c r="AB24" s="66"/>
    </row>
    <row r="25" spans="1:28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9">
        <v>3.5000000000000003E-2</v>
      </c>
      <c r="T25" s="66"/>
      <c r="U25" s="66"/>
      <c r="V25" s="66"/>
      <c r="W25" s="66"/>
      <c r="X25" s="66"/>
      <c r="Y25" s="66"/>
      <c r="Z25" s="66"/>
      <c r="AA25" s="66"/>
      <c r="AB25" s="66"/>
    </row>
    <row r="26" spans="1:28" x14ac:dyDescent="0.25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7">
        <v>0.04</v>
      </c>
      <c r="T26" s="66"/>
      <c r="U26" s="66"/>
      <c r="V26" s="66"/>
      <c r="W26" s="66"/>
      <c r="X26" s="66"/>
      <c r="Y26" s="66"/>
      <c r="Z26" s="66"/>
      <c r="AA26" s="66"/>
      <c r="AB26" s="66"/>
    </row>
    <row r="27" spans="1:28" x14ac:dyDescent="0.25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</row>
    <row r="28" spans="1:28" x14ac:dyDescent="0.25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</row>
    <row r="29" spans="1:28" x14ac:dyDescent="0.25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</row>
    <row r="30" spans="1:28" x14ac:dyDescent="0.25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</row>
    <row r="31" spans="1:28" x14ac:dyDescent="0.25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</row>
    <row r="32" spans="1:28" x14ac:dyDescent="0.25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</row>
    <row r="33" spans="1:28" x14ac:dyDescent="0.25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</row>
    <row r="34" spans="1:28" x14ac:dyDescent="0.2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</row>
    <row r="35" spans="1:28" x14ac:dyDescent="0.2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</row>
    <row r="36" spans="1:28" x14ac:dyDescent="0.25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</row>
    <row r="37" spans="1:28" x14ac:dyDescent="0.25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</row>
    <row r="38" spans="1:28" x14ac:dyDescent="0.25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</row>
    <row r="39" spans="1:28" x14ac:dyDescent="0.25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</row>
    <row r="40" spans="1:28" x14ac:dyDescent="0.25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</row>
    <row r="41" spans="1:28" x14ac:dyDescent="0.25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</row>
    <row r="42" spans="1:28" x14ac:dyDescent="0.25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</row>
    <row r="43" spans="1:28" x14ac:dyDescent="0.25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</row>
    <row r="44" spans="1:28" x14ac:dyDescent="0.2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</row>
    <row r="45" spans="1:28" x14ac:dyDescent="0.2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</row>
    <row r="46" spans="1:28" x14ac:dyDescent="0.25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</row>
    <row r="47" spans="1:28" x14ac:dyDescent="0.25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</row>
    <row r="48" spans="1:28" x14ac:dyDescent="0.25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</row>
    <row r="49" spans="1:28" x14ac:dyDescent="0.25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</row>
    <row r="50" spans="1:28" x14ac:dyDescent="0.25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</row>
    <row r="51" spans="1:28" x14ac:dyDescent="0.25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</row>
    <row r="52" spans="1:28" x14ac:dyDescent="0.25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</row>
    <row r="53" spans="1:28" x14ac:dyDescent="0.25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</row>
    <row r="54" spans="1:28" x14ac:dyDescent="0.25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</row>
    <row r="55" spans="1:28" x14ac:dyDescent="0.25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</row>
    <row r="56" spans="1:28" x14ac:dyDescent="0.25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</row>
    <row r="57" spans="1:28" x14ac:dyDescent="0.25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</row>
    <row r="58" spans="1:28" x14ac:dyDescent="0.25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</row>
    <row r="59" spans="1:28" x14ac:dyDescent="0.25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</row>
    <row r="60" spans="1:28" x14ac:dyDescent="0.25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</row>
    <row r="61" spans="1:28" x14ac:dyDescent="0.25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</row>
    <row r="62" spans="1:28" x14ac:dyDescent="0.25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</row>
    <row r="63" spans="1:28" x14ac:dyDescent="0.25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</row>
    <row r="64" spans="1:28" x14ac:dyDescent="0.25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</row>
    <row r="65" spans="1:28" x14ac:dyDescent="0.25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</row>
    <row r="66" spans="1:28" x14ac:dyDescent="0.25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</row>
    <row r="67" spans="1:28" x14ac:dyDescent="0.25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</row>
    <row r="68" spans="1:28" x14ac:dyDescent="0.25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</row>
    <row r="69" spans="1:28" x14ac:dyDescent="0.25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</row>
    <row r="70" spans="1:28" x14ac:dyDescent="0.25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</row>
    <row r="71" spans="1:28" x14ac:dyDescent="0.25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</row>
    <row r="72" spans="1:28" x14ac:dyDescent="0.25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</row>
    <row r="73" spans="1:28" x14ac:dyDescent="0.25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</row>
    <row r="74" spans="1:28" x14ac:dyDescent="0.25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</row>
    <row r="75" spans="1:28" x14ac:dyDescent="0.25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</row>
    <row r="76" spans="1:28" x14ac:dyDescent="0.25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</row>
    <row r="77" spans="1:28" x14ac:dyDescent="0.25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</row>
    <row r="78" spans="1:28" x14ac:dyDescent="0.25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</row>
    <row r="79" spans="1:28" x14ac:dyDescent="0.25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</row>
    <row r="80" spans="1:28" x14ac:dyDescent="0.25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</row>
    <row r="81" spans="1:28" x14ac:dyDescent="0.25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</row>
    <row r="82" spans="1:28" x14ac:dyDescent="0.25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</row>
    <row r="83" spans="1:28" x14ac:dyDescent="0.25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</row>
    <row r="84" spans="1:28" x14ac:dyDescent="0.25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</row>
    <row r="85" spans="1:28" x14ac:dyDescent="0.25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</row>
    <row r="86" spans="1:28" x14ac:dyDescent="0.25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</row>
    <row r="87" spans="1:28" x14ac:dyDescent="0.25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</row>
    <row r="88" spans="1:28" x14ac:dyDescent="0.25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  <c r="AA88" s="66"/>
      <c r="AB88" s="66"/>
    </row>
    <row r="89" spans="1:28" x14ac:dyDescent="0.25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</row>
  </sheetData>
  <sheetProtection algorithmName="SHA-512" hashValue="gu1aX4F5FA5PLIGKhRtAFRFPLRefeZ5mYr0l5lMrAjMe/XZfPnIUEV4W16DS8Ms5OMfhtOk1D2XwZ69KCTzP7w==" saltValue="032VK+6eF/LfUfcyIbFNaA==" spinCount="100000" sheet="1" objects="1" scenarios="1"/>
  <mergeCells count="5">
    <mergeCell ref="H1:Q1"/>
    <mergeCell ref="A13:G13"/>
    <mergeCell ref="A14:Q15"/>
    <mergeCell ref="A1:G1"/>
    <mergeCell ref="B20:C20"/>
  </mergeCells>
  <dataValidations count="3">
    <dataValidation type="list" allowBlank="1" showInputMessage="1" showErrorMessage="1" sqref="C21:F21" xr:uid="{00000000-0002-0000-0300-000000000000}">
      <formula1>$S$20:$S$26</formula1>
    </dataValidation>
    <dataValidation type="decimal" operator="greaterThanOrEqual" allowBlank="1" showInputMessage="1" showErrorMessage="1" errorTitle="Napomena" error="Zakonski minimum je 450 EUR" promptTitle="Napomena" prompt="Zakonski minimum je 450 EUR" sqref="C3:C12" xr:uid="{00000000-0002-0000-0300-000001000000}">
      <formula1>450</formula1>
    </dataValidation>
    <dataValidation operator="greaterThanOrEqual" allowBlank="1" showInputMessage="1" showErrorMessage="1" sqref="D3:F12" xr:uid="{00000000-0002-0000-0300-000002000000}"/>
  </dataValidations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O16"/>
  <sheetViews>
    <sheetView workbookViewId="0">
      <selection sqref="A1:O11"/>
    </sheetView>
  </sheetViews>
  <sheetFormatPr defaultColWidth="8.85546875" defaultRowHeight="15" x14ac:dyDescent="0.25"/>
  <cols>
    <col min="1" max="1" width="4.140625" bestFit="1" customWidth="1"/>
    <col min="2" max="2" width="28.85546875" bestFit="1" customWidth="1"/>
    <col min="3" max="3" width="13.140625" bestFit="1" customWidth="1"/>
    <col min="4" max="4" width="8.42578125" bestFit="1" customWidth="1"/>
    <col min="5" max="5" width="13.140625" bestFit="1" customWidth="1"/>
    <col min="6" max="15" width="15.7109375" customWidth="1"/>
  </cols>
  <sheetData>
    <row r="1" spans="1:15" ht="15" customHeight="1" x14ac:dyDescent="0.25">
      <c r="A1" s="1"/>
      <c r="B1" s="1"/>
      <c r="C1" s="1"/>
      <c r="D1" s="1"/>
      <c r="E1" s="1"/>
      <c r="F1" s="136" t="s">
        <v>23</v>
      </c>
      <c r="G1" s="137"/>
      <c r="H1" s="137"/>
      <c r="I1" s="137"/>
      <c r="J1" s="137"/>
      <c r="K1" s="137"/>
      <c r="L1" s="137"/>
      <c r="M1" s="137"/>
      <c r="N1" s="137"/>
      <c r="O1" s="138"/>
    </row>
    <row r="2" spans="1:15" ht="47.25" customHeight="1" x14ac:dyDescent="0.25">
      <c r="A2" s="1" t="s">
        <v>0</v>
      </c>
      <c r="B2" s="1" t="s">
        <v>10</v>
      </c>
      <c r="C2" s="2" t="s">
        <v>26</v>
      </c>
      <c r="D2" s="2" t="s">
        <v>25</v>
      </c>
      <c r="E2" s="2" t="s">
        <v>61</v>
      </c>
      <c r="F2" s="3">
        <v>1</v>
      </c>
      <c r="G2" s="4">
        <v>2</v>
      </c>
      <c r="H2" s="4">
        <v>3</v>
      </c>
      <c r="I2" s="4">
        <v>4</v>
      </c>
      <c r="J2" s="4">
        <v>5</v>
      </c>
      <c r="K2" s="4">
        <v>6</v>
      </c>
      <c r="L2" s="4">
        <v>7</v>
      </c>
      <c r="M2" s="4">
        <v>8</v>
      </c>
      <c r="N2" s="4">
        <v>9</v>
      </c>
      <c r="O2" s="4">
        <v>10</v>
      </c>
    </row>
    <row r="3" spans="1:15" x14ac:dyDescent="0.25">
      <c r="A3" s="1">
        <v>1</v>
      </c>
      <c r="B3" s="46" t="s">
        <v>62</v>
      </c>
      <c r="C3" s="53">
        <v>380000</v>
      </c>
      <c r="D3" s="55">
        <v>50</v>
      </c>
      <c r="E3" s="56">
        <v>76000</v>
      </c>
      <c r="F3" s="43">
        <f>IF($D$3&gt;=F2,IFERROR(($C$3-$E$3)/$D$3,0),0)</f>
        <v>6080</v>
      </c>
      <c r="G3" s="43">
        <f t="shared" ref="G3:O3" si="0">IF($D$3&gt;=G2,IFERROR(($C$3-$E$3)/$D$3,0),0)</f>
        <v>6080</v>
      </c>
      <c r="H3" s="43">
        <f t="shared" si="0"/>
        <v>6080</v>
      </c>
      <c r="I3" s="43">
        <f t="shared" si="0"/>
        <v>6080</v>
      </c>
      <c r="J3" s="43">
        <f t="shared" si="0"/>
        <v>6080</v>
      </c>
      <c r="K3" s="43">
        <f t="shared" si="0"/>
        <v>6080</v>
      </c>
      <c r="L3" s="43">
        <f t="shared" si="0"/>
        <v>6080</v>
      </c>
      <c r="M3" s="43">
        <f t="shared" si="0"/>
        <v>6080</v>
      </c>
      <c r="N3" s="43">
        <f t="shared" si="0"/>
        <v>6080</v>
      </c>
      <c r="O3" s="43">
        <f t="shared" si="0"/>
        <v>6080</v>
      </c>
    </row>
    <row r="4" spans="1:15" x14ac:dyDescent="0.25">
      <c r="A4" s="1">
        <v>2</v>
      </c>
      <c r="B4" s="46" t="s">
        <v>103</v>
      </c>
      <c r="C4" s="53">
        <v>70000</v>
      </c>
      <c r="D4" s="55">
        <v>50</v>
      </c>
      <c r="E4" s="56">
        <v>14000</v>
      </c>
      <c r="F4" s="43">
        <f>IF($D$4&gt;=F2,IFERROR(($C$4-$E$4)/$D$4,0),0)</f>
        <v>1120</v>
      </c>
      <c r="G4" s="43">
        <f t="shared" ref="G4:O4" si="1">IF($D$4&gt;=G2,IFERROR(($C$4-$E$4)/$D$4,0),0)</f>
        <v>1120</v>
      </c>
      <c r="H4" s="43">
        <f t="shared" si="1"/>
        <v>1120</v>
      </c>
      <c r="I4" s="43">
        <f t="shared" si="1"/>
        <v>1120</v>
      </c>
      <c r="J4" s="43">
        <f t="shared" si="1"/>
        <v>1120</v>
      </c>
      <c r="K4" s="43">
        <f t="shared" si="1"/>
        <v>1120</v>
      </c>
      <c r="L4" s="43">
        <f t="shared" si="1"/>
        <v>1120</v>
      </c>
      <c r="M4" s="43">
        <f t="shared" si="1"/>
        <v>1120</v>
      </c>
      <c r="N4" s="43">
        <f t="shared" si="1"/>
        <v>1120</v>
      </c>
      <c r="O4" s="43">
        <f t="shared" si="1"/>
        <v>1120</v>
      </c>
    </row>
    <row r="5" spans="1:15" x14ac:dyDescent="0.25">
      <c r="A5" s="1">
        <v>3</v>
      </c>
      <c r="B5" s="1" t="s">
        <v>18</v>
      </c>
      <c r="C5" s="140"/>
      <c r="D5" s="141"/>
      <c r="E5" s="142"/>
      <c r="F5" s="143"/>
      <c r="G5" s="144"/>
      <c r="H5" s="144"/>
      <c r="I5" s="144"/>
      <c r="J5" s="144"/>
      <c r="K5" s="144"/>
      <c r="L5" s="144"/>
      <c r="M5" s="144"/>
      <c r="N5" s="144"/>
      <c r="O5" s="145"/>
    </row>
    <row r="6" spans="1:15" x14ac:dyDescent="0.25">
      <c r="A6" s="1" t="s">
        <v>19</v>
      </c>
      <c r="B6" s="46" t="s">
        <v>119</v>
      </c>
      <c r="C6" s="53">
        <v>40000</v>
      </c>
      <c r="D6" s="55">
        <v>20</v>
      </c>
      <c r="E6" s="56">
        <v>4000</v>
      </c>
      <c r="F6" s="43">
        <f>IF($D$6&gt;=F2,IFERROR(($C$6-$E$6)/$D$6,0),0)</f>
        <v>1800</v>
      </c>
      <c r="G6" s="43">
        <f t="shared" ref="G6:O6" si="2">IF($D$6&gt;=G2,IFERROR(($C$6-$E$6)/$D$6,0),0)</f>
        <v>1800</v>
      </c>
      <c r="H6" s="43">
        <f t="shared" si="2"/>
        <v>1800</v>
      </c>
      <c r="I6" s="43">
        <f t="shared" si="2"/>
        <v>1800</v>
      </c>
      <c r="J6" s="43">
        <f t="shared" si="2"/>
        <v>1800</v>
      </c>
      <c r="K6" s="43">
        <f t="shared" si="2"/>
        <v>1800</v>
      </c>
      <c r="L6" s="43">
        <f t="shared" si="2"/>
        <v>1800</v>
      </c>
      <c r="M6" s="43">
        <f t="shared" si="2"/>
        <v>1800</v>
      </c>
      <c r="N6" s="43">
        <f t="shared" si="2"/>
        <v>1800</v>
      </c>
      <c r="O6" s="43">
        <f t="shared" si="2"/>
        <v>1800</v>
      </c>
    </row>
    <row r="7" spans="1:15" x14ac:dyDescent="0.25">
      <c r="A7" s="1" t="s">
        <v>20</v>
      </c>
      <c r="B7" s="46" t="s">
        <v>120</v>
      </c>
      <c r="C7" s="53">
        <v>10000</v>
      </c>
      <c r="D7" s="55">
        <v>20</v>
      </c>
      <c r="E7" s="56">
        <v>1000</v>
      </c>
      <c r="F7" s="43">
        <f>IF($D$7&gt;=F2,IFERROR(($C$7-$E$7)/$D$7,0),0)</f>
        <v>450</v>
      </c>
      <c r="G7" s="43">
        <f t="shared" ref="G7:O7" si="3">IF($D$7&gt;=G2,IFERROR(($C$7-$E$7)/$D$7,0),0)</f>
        <v>450</v>
      </c>
      <c r="H7" s="43">
        <f t="shared" si="3"/>
        <v>450</v>
      </c>
      <c r="I7" s="43">
        <f t="shared" si="3"/>
        <v>450</v>
      </c>
      <c r="J7" s="43">
        <f t="shared" si="3"/>
        <v>450</v>
      </c>
      <c r="K7" s="43">
        <f t="shared" si="3"/>
        <v>450</v>
      </c>
      <c r="L7" s="43">
        <f t="shared" si="3"/>
        <v>450</v>
      </c>
      <c r="M7" s="43">
        <f t="shared" si="3"/>
        <v>450</v>
      </c>
      <c r="N7" s="43">
        <f t="shared" si="3"/>
        <v>450</v>
      </c>
      <c r="O7" s="43">
        <f t="shared" si="3"/>
        <v>450</v>
      </c>
    </row>
    <row r="8" spans="1:15" x14ac:dyDescent="0.25">
      <c r="A8" s="1" t="s">
        <v>21</v>
      </c>
      <c r="B8" s="46"/>
      <c r="C8" s="53"/>
      <c r="D8" s="55"/>
      <c r="E8" s="56"/>
      <c r="F8" s="43">
        <f>IF($D$8&gt;=F2,IFERROR(($C$8-$E$8)/$D$8,0),0)</f>
        <v>0</v>
      </c>
      <c r="G8" s="43">
        <f t="shared" ref="G8:O8" si="4">IF($D$8&gt;=G2,IFERROR(($C$8-$E$8)/$D$8,0),0)</f>
        <v>0</v>
      </c>
      <c r="H8" s="43">
        <f t="shared" si="4"/>
        <v>0</v>
      </c>
      <c r="I8" s="43">
        <f t="shared" si="4"/>
        <v>0</v>
      </c>
      <c r="J8" s="43">
        <f t="shared" si="4"/>
        <v>0</v>
      </c>
      <c r="K8" s="43">
        <f t="shared" si="4"/>
        <v>0</v>
      </c>
      <c r="L8" s="43">
        <f t="shared" si="4"/>
        <v>0</v>
      </c>
      <c r="M8" s="43">
        <f t="shared" si="4"/>
        <v>0</v>
      </c>
      <c r="N8" s="43">
        <f t="shared" si="4"/>
        <v>0</v>
      </c>
      <c r="O8" s="43">
        <f t="shared" si="4"/>
        <v>0</v>
      </c>
    </row>
    <row r="9" spans="1:15" x14ac:dyDescent="0.25">
      <c r="A9" s="1" t="s">
        <v>22</v>
      </c>
      <c r="B9" s="46"/>
      <c r="C9" s="53"/>
      <c r="D9" s="55"/>
      <c r="E9" s="56"/>
      <c r="F9" s="43">
        <f>IF($D$9&gt;=F2,IFERROR(($C$9-$E$9)/$D$9,0),0)</f>
        <v>0</v>
      </c>
      <c r="G9" s="43">
        <f t="shared" ref="G9:O9" si="5">IF($D$9&gt;=G2,IFERROR(($C$9-$E$9)/$D$9,0),0)</f>
        <v>0</v>
      </c>
      <c r="H9" s="43">
        <f t="shared" si="5"/>
        <v>0</v>
      </c>
      <c r="I9" s="43">
        <f t="shared" si="5"/>
        <v>0</v>
      </c>
      <c r="J9" s="43">
        <f t="shared" si="5"/>
        <v>0</v>
      </c>
      <c r="K9" s="43">
        <f t="shared" si="5"/>
        <v>0</v>
      </c>
      <c r="L9" s="43">
        <f t="shared" si="5"/>
        <v>0</v>
      </c>
      <c r="M9" s="43">
        <f t="shared" si="5"/>
        <v>0</v>
      </c>
      <c r="N9" s="43">
        <f t="shared" si="5"/>
        <v>0</v>
      </c>
      <c r="O9" s="43">
        <f t="shared" si="5"/>
        <v>0</v>
      </c>
    </row>
    <row r="10" spans="1:15" x14ac:dyDescent="0.25">
      <c r="A10" s="1" t="s">
        <v>92</v>
      </c>
      <c r="B10" s="46"/>
      <c r="C10" s="53"/>
      <c r="D10" s="55"/>
      <c r="E10" s="56"/>
      <c r="F10" s="43">
        <f>IF($D$10&gt;=F2,IFERROR(($C$10-$E$10)/$D$10,0),0)</f>
        <v>0</v>
      </c>
      <c r="G10" s="43">
        <f t="shared" ref="G10:O10" si="6">IF($D$10&gt;=G2,IFERROR(($C$10-$E$10)/$D$10,0),0)</f>
        <v>0</v>
      </c>
      <c r="H10" s="43">
        <f t="shared" si="6"/>
        <v>0</v>
      </c>
      <c r="I10" s="43">
        <f t="shared" si="6"/>
        <v>0</v>
      </c>
      <c r="J10" s="43">
        <f t="shared" si="6"/>
        <v>0</v>
      </c>
      <c r="K10" s="43">
        <f t="shared" si="6"/>
        <v>0</v>
      </c>
      <c r="L10" s="43">
        <f t="shared" si="6"/>
        <v>0</v>
      </c>
      <c r="M10" s="43">
        <f t="shared" si="6"/>
        <v>0</v>
      </c>
      <c r="N10" s="43">
        <f t="shared" si="6"/>
        <v>0</v>
      </c>
      <c r="O10" s="43">
        <f t="shared" si="6"/>
        <v>0</v>
      </c>
    </row>
    <row r="11" spans="1:15" x14ac:dyDescent="0.25">
      <c r="A11" s="139" t="s">
        <v>24</v>
      </c>
      <c r="B11" s="139"/>
      <c r="C11" s="139"/>
      <c r="D11" s="139"/>
      <c r="E11" s="139"/>
      <c r="F11" s="5">
        <f>SUM(F3:F10)</f>
        <v>9450</v>
      </c>
      <c r="G11" s="5">
        <f t="shared" ref="G11:O11" si="7">SUM(G3:G10)</f>
        <v>9450</v>
      </c>
      <c r="H11" s="5">
        <f t="shared" si="7"/>
        <v>9450</v>
      </c>
      <c r="I11" s="5">
        <f t="shared" si="7"/>
        <v>9450</v>
      </c>
      <c r="J11" s="5">
        <f t="shared" si="7"/>
        <v>9450</v>
      </c>
      <c r="K11" s="5">
        <f t="shared" si="7"/>
        <v>9450</v>
      </c>
      <c r="L11" s="5">
        <f t="shared" si="7"/>
        <v>9450</v>
      </c>
      <c r="M11" s="5">
        <f t="shared" si="7"/>
        <v>9450</v>
      </c>
      <c r="N11" s="5">
        <f t="shared" si="7"/>
        <v>9450</v>
      </c>
      <c r="O11" s="5">
        <f t="shared" si="7"/>
        <v>9450</v>
      </c>
    </row>
    <row r="12" spans="1:15" ht="15" customHeight="1" x14ac:dyDescent="0.25">
      <c r="A12" s="146" t="s">
        <v>95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</row>
    <row r="13" spans="1:15" x14ac:dyDescent="0.25">
      <c r="A13" s="147"/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</row>
    <row r="14" spans="1:15" x14ac:dyDescent="0.25">
      <c r="A14" s="147"/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</row>
    <row r="15" spans="1:15" x14ac:dyDescent="0.25">
      <c r="A15" s="147"/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</row>
    <row r="16" spans="1:15" x14ac:dyDescent="0.25">
      <c r="A16" s="147"/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</row>
  </sheetData>
  <sheetProtection algorithmName="SHA-512" hashValue="VrTJAprSJHAapIkNmI3KKsPhMRlSYuEiJ/BrXghS7KBVr/jrkq7RbZTYLnjWp9nvKKkeQVWk5HL/AJ6C6h75vw==" saltValue="yeb5/mesyzw/1gPKqew1xw==" spinCount="100000" sheet="1" objects="1" scenarios="1"/>
  <mergeCells count="5">
    <mergeCell ref="F1:O1"/>
    <mergeCell ref="A11:E11"/>
    <mergeCell ref="C5:E5"/>
    <mergeCell ref="F5:O5"/>
    <mergeCell ref="A12:O16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T130"/>
  <sheetViews>
    <sheetView workbookViewId="0">
      <selection activeCell="I1" sqref="I1:S5"/>
    </sheetView>
  </sheetViews>
  <sheetFormatPr defaultColWidth="8.85546875" defaultRowHeight="15" x14ac:dyDescent="0.25"/>
  <cols>
    <col min="1" max="1" width="28.42578125" style="47" customWidth="1"/>
    <col min="2" max="2" width="12" style="47" bestFit="1" customWidth="1"/>
    <col min="3" max="3" width="0" style="47" hidden="1" customWidth="1"/>
    <col min="4" max="4" width="12" style="47" bestFit="1" customWidth="1"/>
    <col min="5" max="6" width="9.140625" style="66" customWidth="1"/>
    <col min="7" max="7" width="8.85546875" style="66"/>
    <col min="8" max="8" width="11.42578125" style="66" customWidth="1"/>
    <col min="9" max="9" width="9.140625" style="66" customWidth="1"/>
    <col min="10" max="19" width="15.7109375" style="66" customWidth="1"/>
    <col min="20" max="16384" width="8.85546875" style="66"/>
  </cols>
  <sheetData>
    <row r="1" spans="1:20" x14ac:dyDescent="0.25">
      <c r="A1" s="46" t="s">
        <v>93</v>
      </c>
      <c r="B1" s="82">
        <f>'Tabela 1 Struktura ulaganja'!C5</f>
        <v>40000</v>
      </c>
      <c r="F1" s="95">
        <f>PMT(B2/12,B3,-B1)</f>
        <v>487.57101209227483</v>
      </c>
      <c r="G1" s="96"/>
      <c r="I1" s="149" t="s">
        <v>63</v>
      </c>
      <c r="J1" s="149"/>
      <c r="K1" s="149"/>
      <c r="L1" s="149"/>
      <c r="M1" s="149"/>
      <c r="N1" s="149"/>
      <c r="O1" s="149"/>
      <c r="P1" s="149"/>
      <c r="Q1" s="149"/>
      <c r="R1" s="149"/>
      <c r="S1" s="149"/>
    </row>
    <row r="2" spans="1:20" x14ac:dyDescent="0.25">
      <c r="A2" s="46" t="s">
        <v>54</v>
      </c>
      <c r="B2" s="92">
        <v>0.04</v>
      </c>
      <c r="F2" s="97">
        <f>IPMT(B2/12,A9,B3,-B1)</f>
        <v>133.33333333333334</v>
      </c>
      <c r="G2" s="96"/>
      <c r="I2" s="98"/>
      <c r="J2" s="148" t="s">
        <v>60</v>
      </c>
      <c r="K2" s="148"/>
      <c r="L2" s="148"/>
      <c r="M2" s="148"/>
      <c r="N2" s="148"/>
      <c r="O2" s="148"/>
      <c r="P2" s="148"/>
      <c r="Q2" s="148"/>
      <c r="R2" s="148"/>
      <c r="S2" s="148"/>
    </row>
    <row r="3" spans="1:20" x14ac:dyDescent="0.25">
      <c r="A3" s="46" t="s">
        <v>58</v>
      </c>
      <c r="B3" s="64">
        <v>96</v>
      </c>
      <c r="I3" s="98"/>
      <c r="J3" s="98">
        <v>1</v>
      </c>
      <c r="K3" s="98">
        <v>2</v>
      </c>
      <c r="L3" s="98">
        <v>3</v>
      </c>
      <c r="M3" s="98">
        <v>4</v>
      </c>
      <c r="N3" s="98">
        <v>5</v>
      </c>
      <c r="O3" s="98">
        <v>6</v>
      </c>
      <c r="P3" s="98">
        <v>7</v>
      </c>
      <c r="Q3" s="98">
        <v>8</v>
      </c>
      <c r="R3" s="98">
        <v>9</v>
      </c>
      <c r="S3" s="98">
        <v>10</v>
      </c>
      <c r="T3" s="66" t="s">
        <v>4</v>
      </c>
    </row>
    <row r="4" spans="1:20" x14ac:dyDescent="0.25">
      <c r="A4" s="46" t="s">
        <v>59</v>
      </c>
      <c r="B4" s="64">
        <v>24</v>
      </c>
      <c r="I4" s="98" t="s">
        <v>32</v>
      </c>
      <c r="J4" s="99">
        <f>SUM(D11:D22)</f>
        <v>1599.9599999999998</v>
      </c>
      <c r="K4" s="99">
        <f>SUM(D23:D34)</f>
        <v>1599.9599999999998</v>
      </c>
      <c r="L4" s="99">
        <f>SUM(D35:D46)</f>
        <v>1521.1952672180776</v>
      </c>
      <c r="M4" s="99">
        <f>SUM(D47:D58)</f>
        <v>1344.7983656995921</v>
      </c>
      <c r="N4" s="99">
        <f>SUM(D59:D70)</f>
        <v>1161.2147822469728</v>
      </c>
      <c r="O4" s="99">
        <f>SUM(D71:D82)</f>
        <v>970.15172034975012</v>
      </c>
      <c r="P4" s="99">
        <f>SUM(D83:D94)</f>
        <v>771.30445451585501</v>
      </c>
      <c r="Q4" s="99">
        <f>SUM(D95:D106)</f>
        <v>564.35584426650496</v>
      </c>
      <c r="R4" s="99">
        <f>SUM(D107:D118)</f>
        <v>348.97582833049034</v>
      </c>
      <c r="S4" s="99">
        <f>SUM(D119:D130)</f>
        <v>124.82089823115302</v>
      </c>
      <c r="T4" s="100"/>
    </row>
    <row r="5" spans="1:20" x14ac:dyDescent="0.25">
      <c r="I5" s="98" t="s">
        <v>56</v>
      </c>
      <c r="J5" s="99">
        <f>SUM(B11:B22)</f>
        <v>1599.9599999999998</v>
      </c>
      <c r="K5" s="99">
        <f>SUM(B23:B34)</f>
        <v>1599.9599999999998</v>
      </c>
      <c r="L5" s="99">
        <f>SUM(B35:B46)</f>
        <v>5850.8521451072984</v>
      </c>
      <c r="M5" s="99">
        <f>SUM(B47:B58)</f>
        <v>5850.8521451072984</v>
      </c>
      <c r="N5" s="99">
        <f>SUM(B59:B70)</f>
        <v>5850.8521451072984</v>
      </c>
      <c r="O5" s="99">
        <f>SUM(B71:B82)</f>
        <v>5850.8521451072984</v>
      </c>
      <c r="P5" s="99">
        <f>SUM(B83:B94)</f>
        <v>5850.8521451072984</v>
      </c>
      <c r="Q5" s="99">
        <f>SUM(B95:B106)</f>
        <v>5850.8521451072984</v>
      </c>
      <c r="R5" s="99">
        <f>SUM(B107:B118)</f>
        <v>5850.8521451072984</v>
      </c>
      <c r="S5" s="99">
        <f>SUM(B119:B130)</f>
        <v>5850.8521451072984</v>
      </c>
    </row>
    <row r="6" spans="1:20" x14ac:dyDescent="0.25">
      <c r="A6" s="151" t="s">
        <v>69</v>
      </c>
      <c r="B6" s="151"/>
      <c r="C6" s="151"/>
      <c r="D6" s="151"/>
      <c r="J6" s="101"/>
      <c r="K6" s="101"/>
      <c r="L6" s="101"/>
      <c r="M6" s="101"/>
      <c r="N6" s="101"/>
      <c r="O6" s="101"/>
      <c r="P6" s="101"/>
      <c r="Q6" s="101"/>
      <c r="R6" s="101"/>
      <c r="S6" s="101"/>
    </row>
    <row r="7" spans="1:20" x14ac:dyDescent="0.25">
      <c r="A7" s="151"/>
      <c r="B7" s="151"/>
      <c r="C7" s="151"/>
      <c r="D7" s="151"/>
      <c r="J7" s="150"/>
      <c r="K7" s="150"/>
      <c r="L7" s="150"/>
      <c r="M7" s="150"/>
      <c r="N7" s="150"/>
      <c r="O7" s="150"/>
      <c r="P7" s="150"/>
      <c r="Q7" s="150"/>
      <c r="R7" s="150"/>
    </row>
    <row r="8" spans="1:20" x14ac:dyDescent="0.25">
      <c r="A8" s="151"/>
      <c r="B8" s="151"/>
      <c r="C8" s="151"/>
      <c r="D8" s="151"/>
    </row>
    <row r="9" spans="1:20" x14ac:dyDescent="0.25">
      <c r="A9" s="94">
        <v>1</v>
      </c>
    </row>
    <row r="10" spans="1:20" x14ac:dyDescent="0.25">
      <c r="A10" s="47" t="s">
        <v>55</v>
      </c>
      <c r="B10" s="47" t="s">
        <v>56</v>
      </c>
      <c r="C10" s="47" t="s">
        <v>57</v>
      </c>
      <c r="D10" s="47" t="s">
        <v>32</v>
      </c>
    </row>
    <row r="11" spans="1:20" x14ac:dyDescent="0.25">
      <c r="A11" s="47">
        <v>1</v>
      </c>
      <c r="B11" s="93">
        <v>133.33000000000001</v>
      </c>
      <c r="C11" s="93"/>
      <c r="D11" s="93">
        <v>133.33000000000001</v>
      </c>
    </row>
    <row r="12" spans="1:20" x14ac:dyDescent="0.25">
      <c r="A12" s="47">
        <v>2</v>
      </c>
      <c r="B12" s="93">
        <v>133.33000000000001</v>
      </c>
      <c r="C12" s="93"/>
      <c r="D12" s="93">
        <v>133.33000000000001</v>
      </c>
    </row>
    <row r="13" spans="1:20" x14ac:dyDescent="0.25">
      <c r="A13" s="47">
        <v>3</v>
      </c>
      <c r="B13" s="93">
        <v>133.33000000000001</v>
      </c>
      <c r="C13" s="93"/>
      <c r="D13" s="93">
        <v>133.33000000000001</v>
      </c>
    </row>
    <row r="14" spans="1:20" x14ac:dyDescent="0.25">
      <c r="A14" s="47">
        <v>4</v>
      </c>
      <c r="B14" s="93">
        <v>133.33000000000001</v>
      </c>
      <c r="C14" s="93"/>
      <c r="D14" s="93">
        <v>133.33000000000001</v>
      </c>
    </row>
    <row r="15" spans="1:20" x14ac:dyDescent="0.25">
      <c r="A15" s="47">
        <v>5</v>
      </c>
      <c r="B15" s="93">
        <v>133.33000000000001</v>
      </c>
      <c r="C15" s="93"/>
      <c r="D15" s="93">
        <v>133.33000000000001</v>
      </c>
    </row>
    <row r="16" spans="1:20" x14ac:dyDescent="0.25">
      <c r="A16" s="47">
        <v>6</v>
      </c>
      <c r="B16" s="93">
        <v>133.33000000000001</v>
      </c>
      <c r="C16" s="93"/>
      <c r="D16" s="93">
        <v>133.33000000000001</v>
      </c>
    </row>
    <row r="17" spans="1:4" x14ac:dyDescent="0.25">
      <c r="A17" s="47">
        <v>7</v>
      </c>
      <c r="B17" s="93">
        <v>133.33000000000001</v>
      </c>
      <c r="C17" s="93"/>
      <c r="D17" s="93">
        <v>133.33000000000001</v>
      </c>
    </row>
    <row r="18" spans="1:4" x14ac:dyDescent="0.25">
      <c r="A18" s="47">
        <v>8</v>
      </c>
      <c r="B18" s="93">
        <v>133.33000000000001</v>
      </c>
      <c r="C18" s="93"/>
      <c r="D18" s="93">
        <v>133.33000000000001</v>
      </c>
    </row>
    <row r="19" spans="1:4" x14ac:dyDescent="0.25">
      <c r="A19" s="47">
        <v>9</v>
      </c>
      <c r="B19" s="93">
        <v>133.33000000000001</v>
      </c>
      <c r="C19" s="93"/>
      <c r="D19" s="93">
        <v>133.33000000000001</v>
      </c>
    </row>
    <row r="20" spans="1:4" x14ac:dyDescent="0.25">
      <c r="A20" s="47">
        <v>10</v>
      </c>
      <c r="B20" s="93">
        <v>133.33000000000001</v>
      </c>
      <c r="C20" s="93"/>
      <c r="D20" s="93">
        <v>133.33000000000001</v>
      </c>
    </row>
    <row r="21" spans="1:4" x14ac:dyDescent="0.25">
      <c r="A21" s="47">
        <v>11</v>
      </c>
      <c r="B21" s="93">
        <v>133.33000000000001</v>
      </c>
      <c r="C21" s="93"/>
      <c r="D21" s="93">
        <v>133.33000000000001</v>
      </c>
    </row>
    <row r="22" spans="1:4" x14ac:dyDescent="0.25">
      <c r="A22" s="47">
        <v>12</v>
      </c>
      <c r="B22" s="93">
        <v>133.33000000000001</v>
      </c>
      <c r="C22" s="93"/>
      <c r="D22" s="93">
        <v>133.33000000000001</v>
      </c>
    </row>
    <row r="23" spans="1:4" x14ac:dyDescent="0.25">
      <c r="A23" s="47">
        <v>13</v>
      </c>
      <c r="B23" s="93">
        <v>133.33000000000001</v>
      </c>
      <c r="C23" s="93"/>
      <c r="D23" s="93">
        <v>133.33000000000001</v>
      </c>
    </row>
    <row r="24" spans="1:4" x14ac:dyDescent="0.25">
      <c r="A24" s="47">
        <v>14</v>
      </c>
      <c r="B24" s="93">
        <v>133.33000000000001</v>
      </c>
      <c r="C24" s="93"/>
      <c r="D24" s="93">
        <v>133.33000000000001</v>
      </c>
    </row>
    <row r="25" spans="1:4" x14ac:dyDescent="0.25">
      <c r="A25" s="47">
        <v>15</v>
      </c>
      <c r="B25" s="93">
        <v>133.33000000000001</v>
      </c>
      <c r="C25" s="93"/>
      <c r="D25" s="93">
        <v>133.33000000000001</v>
      </c>
    </row>
    <row r="26" spans="1:4" x14ac:dyDescent="0.25">
      <c r="A26" s="47">
        <v>16</v>
      </c>
      <c r="B26" s="93">
        <v>133.33000000000001</v>
      </c>
      <c r="C26" s="93"/>
      <c r="D26" s="93">
        <v>133.33000000000001</v>
      </c>
    </row>
    <row r="27" spans="1:4" x14ac:dyDescent="0.25">
      <c r="A27" s="47">
        <v>17</v>
      </c>
      <c r="B27" s="93">
        <v>133.33000000000001</v>
      </c>
      <c r="C27" s="93"/>
      <c r="D27" s="93">
        <v>133.33000000000001</v>
      </c>
    </row>
    <row r="28" spans="1:4" x14ac:dyDescent="0.25">
      <c r="A28" s="47">
        <v>18</v>
      </c>
      <c r="B28" s="93">
        <v>133.33000000000001</v>
      </c>
      <c r="C28" s="93"/>
      <c r="D28" s="93">
        <v>133.33000000000001</v>
      </c>
    </row>
    <row r="29" spans="1:4" x14ac:dyDescent="0.25">
      <c r="A29" s="47">
        <v>19</v>
      </c>
      <c r="B29" s="93">
        <v>133.33000000000001</v>
      </c>
      <c r="C29" s="93"/>
      <c r="D29" s="93">
        <v>133.33000000000001</v>
      </c>
    </row>
    <row r="30" spans="1:4" x14ac:dyDescent="0.25">
      <c r="A30" s="47">
        <v>20</v>
      </c>
      <c r="B30" s="93">
        <v>133.33000000000001</v>
      </c>
      <c r="C30" s="93"/>
      <c r="D30" s="93">
        <v>133.33000000000001</v>
      </c>
    </row>
    <row r="31" spans="1:4" x14ac:dyDescent="0.25">
      <c r="A31" s="47">
        <v>21</v>
      </c>
      <c r="B31" s="93">
        <v>133.33000000000001</v>
      </c>
      <c r="C31" s="93"/>
      <c r="D31" s="93">
        <v>133.33000000000001</v>
      </c>
    </row>
    <row r="32" spans="1:4" x14ac:dyDescent="0.25">
      <c r="A32" s="47">
        <v>22</v>
      </c>
      <c r="B32" s="93">
        <v>133.33000000000001</v>
      </c>
      <c r="C32" s="93"/>
      <c r="D32" s="93">
        <v>133.33000000000001</v>
      </c>
    </row>
    <row r="33" spans="1:4" x14ac:dyDescent="0.25">
      <c r="A33" s="47">
        <v>23</v>
      </c>
      <c r="B33" s="93">
        <v>133.33000000000001</v>
      </c>
      <c r="C33" s="93"/>
      <c r="D33" s="93">
        <v>133.33000000000001</v>
      </c>
    </row>
    <row r="34" spans="1:4" x14ac:dyDescent="0.25">
      <c r="A34" s="47">
        <v>24</v>
      </c>
      <c r="B34" s="93">
        <v>133.33000000000001</v>
      </c>
      <c r="C34" s="93"/>
      <c r="D34" s="93">
        <v>133.33000000000001</v>
      </c>
    </row>
    <row r="35" spans="1:4" x14ac:dyDescent="0.25">
      <c r="A35" s="47">
        <v>25</v>
      </c>
      <c r="B35" s="93">
        <v>487.57101209227483</v>
      </c>
      <c r="C35" s="93"/>
      <c r="D35" s="93">
        <v>133.33333333333334</v>
      </c>
    </row>
    <row r="36" spans="1:4" x14ac:dyDescent="0.25">
      <c r="A36" s="47">
        <v>26</v>
      </c>
      <c r="B36" s="93">
        <v>487.57101209227483</v>
      </c>
      <c r="C36" s="93"/>
      <c r="D36" s="93">
        <v>132.15254107080355</v>
      </c>
    </row>
    <row r="37" spans="1:4" x14ac:dyDescent="0.25">
      <c r="A37" s="47">
        <v>27</v>
      </c>
      <c r="B37" s="93">
        <v>487.57101209227483</v>
      </c>
      <c r="C37" s="93"/>
      <c r="D37" s="93">
        <v>130.96781283406526</v>
      </c>
    </row>
    <row r="38" spans="1:4" x14ac:dyDescent="0.25">
      <c r="A38" s="47">
        <v>28</v>
      </c>
      <c r="B38" s="93">
        <v>487.57101209227483</v>
      </c>
      <c r="C38" s="93"/>
      <c r="D38" s="93">
        <v>129.77913550320463</v>
      </c>
    </row>
    <row r="39" spans="1:4" x14ac:dyDescent="0.25">
      <c r="A39" s="47">
        <v>29</v>
      </c>
      <c r="B39" s="93">
        <v>487.57101209227483</v>
      </c>
      <c r="C39" s="93"/>
      <c r="D39" s="93">
        <v>128.58649591457436</v>
      </c>
    </row>
    <row r="40" spans="1:4" x14ac:dyDescent="0.25">
      <c r="A40" s="47">
        <v>30</v>
      </c>
      <c r="B40" s="93">
        <v>487.57101209227483</v>
      </c>
      <c r="C40" s="93"/>
      <c r="D40" s="93">
        <v>127.3898808606487</v>
      </c>
    </row>
    <row r="41" spans="1:4" x14ac:dyDescent="0.25">
      <c r="A41" s="47">
        <v>31</v>
      </c>
      <c r="B41" s="93">
        <v>487.57101209227483</v>
      </c>
      <c r="C41" s="93"/>
      <c r="D41" s="93">
        <v>126.1892770898766</v>
      </c>
    </row>
    <row r="42" spans="1:4" x14ac:dyDescent="0.25">
      <c r="A42" s="47">
        <v>32</v>
      </c>
      <c r="B42" s="93">
        <v>487.57101209227483</v>
      </c>
      <c r="C42" s="93"/>
      <c r="D42" s="93">
        <v>124.98467130653529</v>
      </c>
    </row>
    <row r="43" spans="1:4" x14ac:dyDescent="0.25">
      <c r="A43" s="47">
        <v>33</v>
      </c>
      <c r="B43" s="93">
        <v>487.57101209227483</v>
      </c>
      <c r="C43" s="93"/>
      <c r="D43" s="93">
        <v>123.77605017058283</v>
      </c>
    </row>
    <row r="44" spans="1:4" x14ac:dyDescent="0.25">
      <c r="A44" s="47">
        <v>34</v>
      </c>
      <c r="B44" s="93">
        <v>487.57101209227483</v>
      </c>
      <c r="C44" s="93"/>
      <c r="D44" s="93">
        <v>122.56340029751053</v>
      </c>
    </row>
    <row r="45" spans="1:4" x14ac:dyDescent="0.25">
      <c r="A45" s="47">
        <v>35</v>
      </c>
      <c r="B45" s="93">
        <v>487.57101209227483</v>
      </c>
      <c r="C45" s="93"/>
      <c r="D45" s="93">
        <v>121.34670825819468</v>
      </c>
    </row>
    <row r="46" spans="1:4" x14ac:dyDescent="0.25">
      <c r="A46" s="47">
        <v>36</v>
      </c>
      <c r="B46" s="93">
        <v>487.57101209227483</v>
      </c>
      <c r="C46" s="93"/>
      <c r="D46" s="93">
        <v>120.12596057874769</v>
      </c>
    </row>
    <row r="47" spans="1:4" x14ac:dyDescent="0.25">
      <c r="A47" s="47">
        <v>37</v>
      </c>
      <c r="B47" s="93">
        <v>487.57101209227483</v>
      </c>
      <c r="C47" s="93"/>
      <c r="D47" s="93">
        <v>118.90114374036933</v>
      </c>
    </row>
    <row r="48" spans="1:4" x14ac:dyDescent="0.25">
      <c r="A48" s="47">
        <v>38</v>
      </c>
      <c r="B48" s="93">
        <v>487.57101209227483</v>
      </c>
      <c r="C48" s="93"/>
      <c r="D48" s="93">
        <v>117.67224417919628</v>
      </c>
    </row>
    <row r="49" spans="1:4" x14ac:dyDescent="0.25">
      <c r="A49" s="47">
        <v>39</v>
      </c>
      <c r="B49" s="93">
        <v>487.57101209227483</v>
      </c>
      <c r="C49" s="93"/>
      <c r="D49" s="93">
        <v>116.43924828615269</v>
      </c>
    </row>
    <row r="50" spans="1:4" x14ac:dyDescent="0.25">
      <c r="A50" s="47">
        <v>40</v>
      </c>
      <c r="B50" s="93">
        <v>487.57101209227483</v>
      </c>
      <c r="C50" s="93"/>
      <c r="D50" s="93">
        <v>115.20214240679897</v>
      </c>
    </row>
    <row r="51" spans="1:4" x14ac:dyDescent="0.25">
      <c r="A51" s="47">
        <v>41</v>
      </c>
      <c r="B51" s="93">
        <v>487.57101209227483</v>
      </c>
      <c r="C51" s="93"/>
      <c r="D51" s="93">
        <v>113.96091284118071</v>
      </c>
    </row>
    <row r="52" spans="1:4" x14ac:dyDescent="0.25">
      <c r="A52" s="47">
        <v>42</v>
      </c>
      <c r="B52" s="93">
        <v>487.57101209227483</v>
      </c>
      <c r="C52" s="93"/>
      <c r="D52" s="93">
        <v>112.71554584367703</v>
      </c>
    </row>
    <row r="53" spans="1:4" x14ac:dyDescent="0.25">
      <c r="A53" s="47">
        <v>43</v>
      </c>
      <c r="B53" s="93">
        <v>487.57101209227483</v>
      </c>
      <c r="C53" s="93"/>
      <c r="D53" s="93">
        <v>111.46602762284842</v>
      </c>
    </row>
    <row r="54" spans="1:4" x14ac:dyDescent="0.25">
      <c r="A54" s="47">
        <v>44</v>
      </c>
      <c r="B54" s="93">
        <v>487.57101209227483</v>
      </c>
      <c r="C54" s="93"/>
      <c r="D54" s="93">
        <v>110.21234434128368</v>
      </c>
    </row>
    <row r="55" spans="1:4" x14ac:dyDescent="0.25">
      <c r="A55" s="47">
        <v>45</v>
      </c>
      <c r="B55" s="93">
        <v>487.57101209227483</v>
      </c>
      <c r="C55" s="93"/>
      <c r="D55" s="93">
        <v>108.95448211544706</v>
      </c>
    </row>
    <row r="56" spans="1:4" x14ac:dyDescent="0.25">
      <c r="A56" s="47">
        <v>46</v>
      </c>
      <c r="B56" s="93">
        <v>487.57101209227483</v>
      </c>
      <c r="C56" s="93"/>
      <c r="D56" s="93">
        <v>107.69242701552429</v>
      </c>
    </row>
    <row r="57" spans="1:4" x14ac:dyDescent="0.25">
      <c r="A57" s="47">
        <v>47</v>
      </c>
      <c r="B57" s="93">
        <v>487.57101209227483</v>
      </c>
      <c r="C57" s="93"/>
      <c r="D57" s="93">
        <v>106.42616506526845</v>
      </c>
    </row>
    <row r="58" spans="1:4" x14ac:dyDescent="0.25">
      <c r="A58" s="47">
        <v>48</v>
      </c>
      <c r="B58" s="93">
        <v>487.57101209227483</v>
      </c>
      <c r="C58" s="93"/>
      <c r="D58" s="93">
        <v>105.1556822418451</v>
      </c>
    </row>
    <row r="59" spans="1:4" x14ac:dyDescent="0.25">
      <c r="A59" s="47">
        <v>49</v>
      </c>
      <c r="B59" s="93">
        <v>487.57101209227483</v>
      </c>
      <c r="C59" s="93"/>
      <c r="D59" s="93">
        <v>103.88096447567703</v>
      </c>
    </row>
    <row r="60" spans="1:4" x14ac:dyDescent="0.25">
      <c r="A60" s="47">
        <v>50</v>
      </c>
      <c r="B60" s="93">
        <v>487.57101209227483</v>
      </c>
      <c r="C60" s="93"/>
      <c r="D60" s="93">
        <v>102.60199765028831</v>
      </c>
    </row>
    <row r="61" spans="1:4" x14ac:dyDescent="0.25">
      <c r="A61" s="47">
        <v>51</v>
      </c>
      <c r="B61" s="93">
        <v>487.57101209227483</v>
      </c>
      <c r="C61" s="93"/>
      <c r="D61" s="93">
        <v>101.31876760214836</v>
      </c>
    </row>
    <row r="62" spans="1:4" x14ac:dyDescent="0.25">
      <c r="A62" s="47">
        <v>52</v>
      </c>
      <c r="B62" s="93">
        <v>487.57101209227483</v>
      </c>
      <c r="C62" s="93"/>
      <c r="D62" s="93">
        <v>100.03126012051463</v>
      </c>
    </row>
    <row r="63" spans="1:4" x14ac:dyDescent="0.25">
      <c r="A63" s="47">
        <v>53</v>
      </c>
      <c r="B63" s="93">
        <v>487.57101209227483</v>
      </c>
      <c r="C63" s="93"/>
      <c r="D63" s="93">
        <v>98.739460947275418</v>
      </c>
    </row>
    <row r="64" spans="1:4" x14ac:dyDescent="0.25">
      <c r="A64" s="47">
        <v>54</v>
      </c>
      <c r="B64" s="93">
        <v>487.57101209227483</v>
      </c>
      <c r="C64" s="93"/>
      <c r="D64" s="93">
        <v>97.443355776792103</v>
      </c>
    </row>
    <row r="65" spans="1:4" x14ac:dyDescent="0.25">
      <c r="A65" s="47">
        <v>55</v>
      </c>
      <c r="B65" s="93">
        <v>487.57101209227483</v>
      </c>
      <c r="C65" s="93"/>
      <c r="D65" s="93">
        <v>96.142930255740467</v>
      </c>
    </row>
    <row r="66" spans="1:4" x14ac:dyDescent="0.25">
      <c r="A66" s="47">
        <v>56</v>
      </c>
      <c r="B66" s="93">
        <v>487.57101209227483</v>
      </c>
      <c r="C66" s="93"/>
      <c r="D66" s="93">
        <v>94.838169982952067</v>
      </c>
    </row>
    <row r="67" spans="1:4" x14ac:dyDescent="0.25">
      <c r="A67" s="47">
        <v>57</v>
      </c>
      <c r="B67" s="93">
        <v>487.57101209227483</v>
      </c>
      <c r="C67" s="93"/>
      <c r="D67" s="93">
        <v>93.529060509254293</v>
      </c>
    </row>
    <row r="68" spans="1:4" x14ac:dyDescent="0.25">
      <c r="A68" s="47">
        <v>58</v>
      </c>
      <c r="B68" s="93">
        <v>487.57101209227483</v>
      </c>
      <c r="C68" s="93"/>
      <c r="D68" s="93">
        <v>92.215587337310936</v>
      </c>
    </row>
    <row r="69" spans="1:4" x14ac:dyDescent="0.25">
      <c r="A69" s="47">
        <v>59</v>
      </c>
      <c r="B69" s="93">
        <v>487.57101209227483</v>
      </c>
      <c r="C69" s="93"/>
      <c r="D69" s="93">
        <v>90.897735921460992</v>
      </c>
    </row>
    <row r="70" spans="1:4" x14ac:dyDescent="0.25">
      <c r="A70" s="47">
        <v>60</v>
      </c>
      <c r="B70" s="93">
        <v>487.57101209227483</v>
      </c>
      <c r="C70" s="93"/>
      <c r="D70" s="93">
        <v>89.575491667558353</v>
      </c>
    </row>
    <row r="71" spans="1:4" x14ac:dyDescent="0.25">
      <c r="A71" s="47">
        <v>61</v>
      </c>
      <c r="B71" s="93">
        <v>487.57101209227483</v>
      </c>
      <c r="C71" s="93"/>
      <c r="D71" s="93">
        <v>88.248839932809261</v>
      </c>
    </row>
    <row r="72" spans="1:4" x14ac:dyDescent="0.25">
      <c r="A72" s="47">
        <v>62</v>
      </c>
      <c r="B72" s="93">
        <v>487.57101209227483</v>
      </c>
      <c r="C72" s="93"/>
      <c r="D72" s="93">
        <v>86.91776602561103</v>
      </c>
    </row>
    <row r="73" spans="1:4" x14ac:dyDescent="0.25">
      <c r="A73" s="47">
        <v>63</v>
      </c>
      <c r="B73" s="93">
        <v>487.57101209227483</v>
      </c>
      <c r="C73" s="93"/>
      <c r="D73" s="93">
        <v>85.582255205388847</v>
      </c>
    </row>
    <row r="74" spans="1:4" x14ac:dyDescent="0.25">
      <c r="A74" s="47">
        <v>64</v>
      </c>
      <c r="B74" s="93">
        <v>487.57101209227483</v>
      </c>
      <c r="C74" s="93"/>
      <c r="D74" s="93">
        <v>84.242292682432563</v>
      </c>
    </row>
    <row r="75" spans="1:4" x14ac:dyDescent="0.25">
      <c r="A75" s="47">
        <v>65</v>
      </c>
      <c r="B75" s="93">
        <v>487.57101209227483</v>
      </c>
      <c r="C75" s="93"/>
      <c r="D75" s="93">
        <v>82.897863617733094</v>
      </c>
    </row>
    <row r="76" spans="1:4" x14ac:dyDescent="0.25">
      <c r="A76" s="47">
        <v>66</v>
      </c>
      <c r="B76" s="93">
        <v>487.57101209227483</v>
      </c>
      <c r="C76" s="93"/>
      <c r="D76" s="93">
        <v>81.54895312281792</v>
      </c>
    </row>
    <row r="77" spans="1:4" x14ac:dyDescent="0.25">
      <c r="A77" s="47">
        <v>67</v>
      </c>
      <c r="B77" s="93">
        <v>487.57101209227483</v>
      </c>
      <c r="C77" s="93"/>
      <c r="D77" s="93">
        <v>80.195546259586408</v>
      </c>
    </row>
    <row r="78" spans="1:4" x14ac:dyDescent="0.25">
      <c r="A78" s="47">
        <v>68</v>
      </c>
      <c r="B78" s="93">
        <v>487.57101209227483</v>
      </c>
      <c r="C78" s="93"/>
      <c r="D78" s="93">
        <v>78.837628040144125</v>
      </c>
    </row>
    <row r="79" spans="1:4" x14ac:dyDescent="0.25">
      <c r="A79" s="47">
        <v>69</v>
      </c>
      <c r="B79" s="93">
        <v>487.57101209227483</v>
      </c>
      <c r="C79" s="93"/>
      <c r="D79" s="93">
        <v>77.475183426637017</v>
      </c>
    </row>
    <row r="80" spans="1:4" x14ac:dyDescent="0.25">
      <c r="A80" s="47">
        <v>70</v>
      </c>
      <c r="B80" s="93">
        <v>487.57101209227483</v>
      </c>
      <c r="C80" s="93"/>
      <c r="D80" s="93">
        <v>76.108197331084924</v>
      </c>
    </row>
    <row r="81" spans="1:4" x14ac:dyDescent="0.25">
      <c r="A81" s="47">
        <v>71</v>
      </c>
      <c r="B81" s="93">
        <v>487.57101209227483</v>
      </c>
      <c r="C81" s="93"/>
      <c r="D81" s="93">
        <v>74.736654615214235</v>
      </c>
    </row>
    <row r="82" spans="1:4" x14ac:dyDescent="0.25">
      <c r="A82" s="47">
        <v>72</v>
      </c>
      <c r="B82" s="93">
        <v>487.57101209227483</v>
      </c>
      <c r="C82" s="93"/>
      <c r="D82" s="93">
        <v>73.360540090290726</v>
      </c>
    </row>
    <row r="83" spans="1:4" x14ac:dyDescent="0.25">
      <c r="A83" s="47">
        <v>73</v>
      </c>
      <c r="B83" s="93">
        <v>487.57101209227483</v>
      </c>
      <c r="C83" s="93"/>
      <c r="D83" s="93">
        <v>71.979838516950792</v>
      </c>
    </row>
    <row r="84" spans="1:4" x14ac:dyDescent="0.25">
      <c r="A84" s="47">
        <v>74</v>
      </c>
      <c r="B84" s="93">
        <v>487.57101209227483</v>
      </c>
      <c r="C84" s="93"/>
      <c r="D84" s="93">
        <v>70.594534605033047</v>
      </c>
    </row>
    <row r="85" spans="1:4" x14ac:dyDescent="0.25">
      <c r="A85" s="47">
        <v>75</v>
      </c>
      <c r="B85" s="93">
        <v>487.57101209227483</v>
      </c>
      <c r="C85" s="93"/>
      <c r="D85" s="93">
        <v>69.204613013408903</v>
      </c>
    </row>
    <row r="86" spans="1:4" x14ac:dyDescent="0.25">
      <c r="A86" s="47">
        <v>76</v>
      </c>
      <c r="B86" s="93">
        <v>487.57101209227483</v>
      </c>
      <c r="C86" s="93"/>
      <c r="D86" s="93">
        <v>67.810058349812692</v>
      </c>
    </row>
    <row r="87" spans="1:4" x14ac:dyDescent="0.25">
      <c r="A87" s="47">
        <v>77</v>
      </c>
      <c r="B87" s="93">
        <v>487.57101209227483</v>
      </c>
      <c r="C87" s="93"/>
      <c r="D87" s="93">
        <v>66.410855170671141</v>
      </c>
    </row>
    <row r="88" spans="1:4" x14ac:dyDescent="0.25">
      <c r="A88" s="47">
        <v>78</v>
      </c>
      <c r="B88" s="93">
        <v>487.57101209227483</v>
      </c>
      <c r="C88" s="93"/>
      <c r="D88" s="93">
        <v>65.006987980932465</v>
      </c>
    </row>
    <row r="89" spans="1:4" x14ac:dyDescent="0.25">
      <c r="A89" s="47">
        <v>79</v>
      </c>
      <c r="B89" s="93">
        <v>487.57101209227483</v>
      </c>
      <c r="C89" s="93"/>
      <c r="D89" s="93">
        <v>63.598441233894604</v>
      </c>
    </row>
    <row r="90" spans="1:4" x14ac:dyDescent="0.25">
      <c r="A90" s="47">
        <v>80</v>
      </c>
      <c r="B90" s="93">
        <v>487.57101209227483</v>
      </c>
      <c r="C90" s="93"/>
      <c r="D90" s="93">
        <v>62.185199331033402</v>
      </c>
    </row>
    <row r="91" spans="1:4" x14ac:dyDescent="0.25">
      <c r="A91" s="47">
        <v>81</v>
      </c>
      <c r="B91" s="93">
        <v>487.57101209227483</v>
      </c>
      <c r="C91" s="93"/>
      <c r="D91" s="93">
        <v>60.767246621829209</v>
      </c>
    </row>
    <row r="92" spans="1:4" x14ac:dyDescent="0.25">
      <c r="A92" s="47">
        <v>82</v>
      </c>
      <c r="B92" s="93">
        <v>487.57101209227483</v>
      </c>
      <c r="C92" s="93"/>
      <c r="D92" s="93">
        <v>59.344567403594411</v>
      </c>
    </row>
    <row r="93" spans="1:4" x14ac:dyDescent="0.25">
      <c r="A93" s="47">
        <v>83</v>
      </c>
      <c r="B93" s="93">
        <v>487.57101209227483</v>
      </c>
      <c r="C93" s="93"/>
      <c r="D93" s="93">
        <v>57.91714592129879</v>
      </c>
    </row>
    <row r="94" spans="1:4" x14ac:dyDescent="0.25">
      <c r="A94" s="47">
        <v>84</v>
      </c>
      <c r="B94" s="93">
        <v>487.57101209227483</v>
      </c>
      <c r="C94" s="93"/>
      <c r="D94" s="93">
        <v>56.484966367395529</v>
      </c>
    </row>
    <row r="95" spans="1:4" x14ac:dyDescent="0.25">
      <c r="A95" s="47">
        <v>85</v>
      </c>
      <c r="B95" s="93">
        <v>487.57101209227483</v>
      </c>
      <c r="C95" s="93"/>
      <c r="D95" s="93">
        <v>55.048012881645967</v>
      </c>
    </row>
    <row r="96" spans="1:4" x14ac:dyDescent="0.25">
      <c r="A96" s="47">
        <v>86</v>
      </c>
      <c r="B96" s="93">
        <v>487.57101209227483</v>
      </c>
      <c r="C96" s="93"/>
      <c r="D96" s="93">
        <v>53.60626955094385</v>
      </c>
    </row>
    <row r="97" spans="1:4" x14ac:dyDescent="0.25">
      <c r="A97" s="47">
        <v>87</v>
      </c>
      <c r="B97" s="93">
        <v>487.57101209227483</v>
      </c>
      <c r="C97" s="93"/>
      <c r="D97" s="93">
        <v>52.159720409139432</v>
      </c>
    </row>
    <row r="98" spans="1:4" x14ac:dyDescent="0.25">
      <c r="A98" s="47">
        <v>88</v>
      </c>
      <c r="B98" s="93">
        <v>487.57101209227483</v>
      </c>
      <c r="C98" s="93"/>
      <c r="D98" s="93">
        <v>50.708349436862299</v>
      </c>
    </row>
    <row r="99" spans="1:4" x14ac:dyDescent="0.25">
      <c r="A99" s="47">
        <v>89</v>
      </c>
      <c r="B99" s="93">
        <v>487.57101209227483</v>
      </c>
      <c r="C99" s="93"/>
      <c r="D99" s="93">
        <v>49.252140561344284</v>
      </c>
    </row>
    <row r="100" spans="1:4" x14ac:dyDescent="0.25">
      <c r="A100" s="47">
        <v>90</v>
      </c>
      <c r="B100" s="93">
        <v>487.57101209227483</v>
      </c>
      <c r="C100" s="93"/>
      <c r="D100" s="93">
        <v>47.791077656241107</v>
      </c>
    </row>
    <row r="101" spans="1:4" x14ac:dyDescent="0.25">
      <c r="A101" s="47">
        <v>91</v>
      </c>
      <c r="B101" s="93">
        <v>487.57101209227483</v>
      </c>
      <c r="C101" s="93"/>
      <c r="D101" s="93">
        <v>46.32514454145435</v>
      </c>
    </row>
    <row r="102" spans="1:4" x14ac:dyDescent="0.25">
      <c r="A102" s="47">
        <v>92</v>
      </c>
      <c r="B102" s="93">
        <v>487.57101209227483</v>
      </c>
      <c r="C102" s="93"/>
      <c r="D102" s="93">
        <v>44.854324982951624</v>
      </c>
    </row>
    <row r="103" spans="1:4" x14ac:dyDescent="0.25">
      <c r="A103" s="47">
        <v>93</v>
      </c>
      <c r="B103" s="93">
        <v>487.57101209227483</v>
      </c>
      <c r="C103" s="93"/>
      <c r="D103" s="93">
        <v>43.378602692587222</v>
      </c>
    </row>
    <row r="104" spans="1:4" x14ac:dyDescent="0.25">
      <c r="A104" s="47">
        <v>94</v>
      </c>
      <c r="B104" s="93">
        <v>487.57101209227483</v>
      </c>
      <c r="C104" s="93"/>
      <c r="D104" s="93">
        <v>41.89796132792155</v>
      </c>
    </row>
    <row r="105" spans="1:4" x14ac:dyDescent="0.25">
      <c r="A105" s="47">
        <v>95</v>
      </c>
      <c r="B105" s="93">
        <v>487.57101209227483</v>
      </c>
      <c r="C105" s="93"/>
      <c r="D105" s="93">
        <v>40.412384492040374</v>
      </c>
    </row>
    <row r="106" spans="1:4" x14ac:dyDescent="0.25">
      <c r="A106" s="47">
        <v>96</v>
      </c>
      <c r="B106" s="93">
        <v>487.57101209227483</v>
      </c>
      <c r="C106" s="93"/>
      <c r="D106" s="93">
        <v>38.921855733372915</v>
      </c>
    </row>
    <row r="107" spans="1:4" x14ac:dyDescent="0.25">
      <c r="A107" s="47">
        <v>97</v>
      </c>
      <c r="B107" s="93">
        <v>487.57101209227483</v>
      </c>
      <c r="C107" s="93"/>
      <c r="D107" s="93">
        <v>37.426358545509977</v>
      </c>
    </row>
    <row r="108" spans="1:4" x14ac:dyDescent="0.25">
      <c r="A108" s="47">
        <v>98</v>
      </c>
      <c r="B108" s="93">
        <v>487.57101209227483</v>
      </c>
      <c r="C108" s="93"/>
      <c r="D108" s="93">
        <v>35.925876367020756</v>
      </c>
    </row>
    <row r="109" spans="1:4" x14ac:dyDescent="0.25">
      <c r="A109" s="47">
        <v>99</v>
      </c>
      <c r="B109" s="93">
        <v>487.57101209227483</v>
      </c>
      <c r="C109" s="93"/>
      <c r="D109" s="93">
        <v>34.420392581269894</v>
      </c>
    </row>
    <row r="110" spans="1:4" x14ac:dyDescent="0.25">
      <c r="A110" s="47">
        <v>100</v>
      </c>
      <c r="B110" s="93">
        <v>487.57101209227483</v>
      </c>
      <c r="C110" s="93"/>
      <c r="D110" s="93">
        <v>32.909890516233176</v>
      </c>
    </row>
    <row r="111" spans="1:4" x14ac:dyDescent="0.25">
      <c r="A111" s="47">
        <v>101</v>
      </c>
      <c r="B111" s="93">
        <v>487.57101209227483</v>
      </c>
      <c r="C111" s="93"/>
      <c r="D111" s="93">
        <v>31.394353444313076</v>
      </c>
    </row>
    <row r="112" spans="1:4" x14ac:dyDescent="0.25">
      <c r="A112" s="47">
        <v>102</v>
      </c>
      <c r="B112" s="93">
        <v>487.57101209227483</v>
      </c>
      <c r="C112" s="93"/>
      <c r="D112" s="93">
        <v>29.873764582153164</v>
      </c>
    </row>
    <row r="113" spans="1:4" x14ac:dyDescent="0.25">
      <c r="A113" s="47">
        <v>103</v>
      </c>
      <c r="B113" s="93">
        <v>487.57101209227483</v>
      </c>
      <c r="C113" s="93"/>
      <c r="D113" s="93">
        <v>28.348107090452736</v>
      </c>
    </row>
    <row r="114" spans="1:4" x14ac:dyDescent="0.25">
      <c r="A114" s="47">
        <v>104</v>
      </c>
      <c r="B114" s="93">
        <v>487.57101209227483</v>
      </c>
      <c r="C114" s="93"/>
      <c r="D114" s="93">
        <v>26.817364073780041</v>
      </c>
    </row>
    <row r="115" spans="1:4" x14ac:dyDescent="0.25">
      <c r="A115" s="47">
        <v>105</v>
      </c>
      <c r="B115" s="93">
        <v>487.57101209227483</v>
      </c>
      <c r="C115" s="93"/>
      <c r="D115" s="93">
        <v>25.281518580385001</v>
      </c>
    </row>
    <row r="116" spans="1:4" x14ac:dyDescent="0.25">
      <c r="A116" s="47">
        <v>106</v>
      </c>
      <c r="B116" s="93">
        <v>487.57101209227483</v>
      </c>
      <c r="C116" s="93"/>
      <c r="D116" s="93">
        <v>23.740553602012067</v>
      </c>
    </row>
    <row r="117" spans="1:4" x14ac:dyDescent="0.25">
      <c r="A117" s="47">
        <v>107</v>
      </c>
      <c r="B117" s="93">
        <v>487.57101209227483</v>
      </c>
      <c r="C117" s="93"/>
      <c r="D117" s="93">
        <v>22.194452073711144</v>
      </c>
    </row>
    <row r="118" spans="1:4" x14ac:dyDescent="0.25">
      <c r="A118" s="47">
        <v>108</v>
      </c>
      <c r="B118" s="93">
        <v>487.57101209227483</v>
      </c>
      <c r="C118" s="93"/>
      <c r="D118" s="93">
        <v>20.64319687364927</v>
      </c>
    </row>
    <row r="119" spans="1:4" x14ac:dyDescent="0.25">
      <c r="A119" s="47">
        <v>109</v>
      </c>
      <c r="B119" s="93">
        <v>487.57101209227483</v>
      </c>
      <c r="C119" s="93"/>
      <c r="D119" s="93">
        <v>19.086770822920538</v>
      </c>
    </row>
    <row r="120" spans="1:4" x14ac:dyDescent="0.25">
      <c r="A120" s="47">
        <v>110</v>
      </c>
      <c r="B120" s="93">
        <v>487.57101209227483</v>
      </c>
      <c r="C120" s="93"/>
      <c r="D120" s="93">
        <v>17.525156685356016</v>
      </c>
    </row>
    <row r="121" spans="1:4" x14ac:dyDescent="0.25">
      <c r="A121" s="47">
        <v>111</v>
      </c>
      <c r="B121" s="93">
        <v>487.57101209227483</v>
      </c>
      <c r="C121" s="93"/>
      <c r="D121" s="93">
        <v>15.95833716733296</v>
      </c>
    </row>
    <row r="122" spans="1:4" x14ac:dyDescent="0.25">
      <c r="A122" s="47">
        <v>112</v>
      </c>
      <c r="B122" s="93">
        <v>487.57101209227483</v>
      </c>
      <c r="C122" s="93"/>
      <c r="D122" s="93">
        <v>14.386294917583118</v>
      </c>
    </row>
    <row r="123" spans="1:4" x14ac:dyDescent="0.25">
      <c r="A123" s="47">
        <v>113</v>
      </c>
      <c r="B123" s="93">
        <v>487.57101209227483</v>
      </c>
      <c r="C123" s="93"/>
      <c r="D123" s="93">
        <v>12.809012527000803</v>
      </c>
    </row>
    <row r="124" spans="1:4" x14ac:dyDescent="0.25">
      <c r="A124" s="47">
        <v>114</v>
      </c>
      <c r="B124" s="93">
        <v>487.57101209227483</v>
      </c>
      <c r="C124" s="93"/>
      <c r="D124" s="93">
        <v>11.226472528449872</v>
      </c>
    </row>
    <row r="125" spans="1:4" x14ac:dyDescent="0.25">
      <c r="A125" s="47">
        <v>115</v>
      </c>
      <c r="B125" s="93">
        <v>487.57101209227483</v>
      </c>
      <c r="C125" s="93"/>
      <c r="D125" s="93">
        <v>9.6386573965704763</v>
      </c>
    </row>
    <row r="126" spans="1:4" x14ac:dyDescent="0.25">
      <c r="A126" s="47">
        <v>116</v>
      </c>
      <c r="B126" s="93">
        <v>487.57101209227483</v>
      </c>
      <c r="C126" s="93"/>
      <c r="D126" s="93">
        <v>8.0455495475847645</v>
      </c>
    </row>
    <row r="127" spans="1:4" x14ac:dyDescent="0.25">
      <c r="A127" s="47">
        <v>117</v>
      </c>
      <c r="B127" s="93">
        <v>487.57101209227483</v>
      </c>
      <c r="C127" s="93"/>
      <c r="D127" s="93">
        <v>6.4471313391025351</v>
      </c>
    </row>
    <row r="128" spans="1:4" x14ac:dyDescent="0.25">
      <c r="A128" s="47">
        <v>118</v>
      </c>
      <c r="B128" s="93">
        <v>487.57101209227483</v>
      </c>
      <c r="C128" s="93"/>
      <c r="D128" s="93">
        <v>4.8433850699252137</v>
      </c>
    </row>
    <row r="129" spans="1:4" x14ac:dyDescent="0.25">
      <c r="A129" s="47">
        <v>119</v>
      </c>
      <c r="B129" s="93">
        <v>487.57101209227483</v>
      </c>
      <c r="C129" s="93"/>
      <c r="D129" s="93">
        <v>3.2342929798507138</v>
      </c>
    </row>
    <row r="130" spans="1:4" x14ac:dyDescent="0.25">
      <c r="A130" s="47">
        <v>120</v>
      </c>
      <c r="B130" s="93">
        <v>487.57101209227483</v>
      </c>
      <c r="C130" s="93"/>
      <c r="D130" s="93">
        <v>1.6198372494760078</v>
      </c>
    </row>
  </sheetData>
  <sheetProtection algorithmName="SHA-512" hashValue="mtqI81A683stRPJ7JmUI3YQNhR95DTVKVmZd0EnE1iaAd1yl6YaKrG1YxU30xH1bAKXnyxxD9HpSvGN5EeCD7g==" saltValue="RpuHs+DGDlfEKw1WBOhBxQ==" spinCount="100000" sheet="1" objects="1" scenarios="1"/>
  <mergeCells count="4">
    <mergeCell ref="J2:S2"/>
    <mergeCell ref="I1:S1"/>
    <mergeCell ref="J7:R7"/>
    <mergeCell ref="A6:D8"/>
  </mergeCells>
  <dataValidations xWindow="257" yWindow="278" count="2">
    <dataValidation type="custom" allowBlank="1" showInputMessage="1" showErrorMessage="1" errorTitle="Greska" error="Maksimalan broj godina je 8" promptTitle="Maksimalan broj mjeseci" prompt="Maksimalan broj mjeseci za otplatu kredita je 96" sqref="B3" xr:uid="{00000000-0002-0000-0500-000000000000}">
      <formula1>B3&lt;=96</formula1>
    </dataValidation>
    <dataValidation type="custom" allowBlank="1" showInputMessage="1" showErrorMessage="1" errorTitle="Greska" error="Unesite broj manji ili jednak od 24" promptTitle="Maksimalan period za grace " prompt="Maksimalan grace period je 24 mjeseca" sqref="B4" xr:uid="{00000000-0002-0000-0500-000001000000}">
      <formula1>B4&lt;=24</formula1>
    </dataValidation>
  </dataValidation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  <headerFooter>
    <oddHeader>&amp;L&amp;A&amp;RPOTPIS APLIKANTA
__________________________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Button2_Click">
                <anchor moveWithCells="1" sizeWithCells="1">
                  <from>
                    <xdr:col>6</xdr:col>
                    <xdr:colOff>257175</xdr:colOff>
                    <xdr:row>1</xdr:row>
                    <xdr:rowOff>28575</xdr:rowOff>
                  </from>
                  <to>
                    <xdr:col>7</xdr:col>
                    <xdr:colOff>371475</xdr:colOff>
                    <xdr:row>2</xdr:row>
                    <xdr:rowOff>123825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L13"/>
  <sheetViews>
    <sheetView workbookViewId="0">
      <selection sqref="A1:L13"/>
    </sheetView>
  </sheetViews>
  <sheetFormatPr defaultColWidth="8.85546875" defaultRowHeight="15" x14ac:dyDescent="0.25"/>
  <cols>
    <col min="1" max="1" width="4.140625" style="47" bestFit="1" customWidth="1"/>
    <col min="2" max="2" width="19.140625" style="47" bestFit="1" customWidth="1"/>
    <col min="3" max="12" width="15.7109375" style="47" customWidth="1"/>
    <col min="13" max="16384" width="8.85546875" style="47"/>
  </cols>
  <sheetData>
    <row r="1" spans="1:12" x14ac:dyDescent="0.25">
      <c r="A1" s="46"/>
      <c r="B1" s="46"/>
      <c r="C1" s="152" t="s">
        <v>73</v>
      </c>
      <c r="D1" s="152"/>
      <c r="E1" s="152"/>
      <c r="F1" s="152"/>
      <c r="G1" s="152"/>
      <c r="H1" s="152"/>
      <c r="I1" s="152"/>
      <c r="J1" s="152"/>
      <c r="K1" s="152"/>
      <c r="L1" s="152"/>
    </row>
    <row r="2" spans="1:12" ht="47.25" customHeight="1" x14ac:dyDescent="0.25">
      <c r="A2" s="46" t="s">
        <v>0</v>
      </c>
      <c r="B2" s="46" t="s">
        <v>10</v>
      </c>
      <c r="C2" s="48">
        <v>1</v>
      </c>
      <c r="D2" s="49">
        <v>2</v>
      </c>
      <c r="E2" s="49">
        <v>3</v>
      </c>
      <c r="F2" s="49">
        <v>4</v>
      </c>
      <c r="G2" s="49">
        <v>5</v>
      </c>
      <c r="H2" s="49">
        <v>6</v>
      </c>
      <c r="I2" s="49">
        <v>7</v>
      </c>
      <c r="J2" s="49">
        <v>8</v>
      </c>
      <c r="K2" s="49">
        <v>9</v>
      </c>
      <c r="L2" s="49">
        <v>10</v>
      </c>
    </row>
    <row r="3" spans="1:12" x14ac:dyDescent="0.25">
      <c r="A3" s="46">
        <v>1</v>
      </c>
      <c r="B3" s="46" t="s">
        <v>12</v>
      </c>
      <c r="C3" s="57">
        <v>780</v>
      </c>
      <c r="D3" s="57">
        <v>860</v>
      </c>
      <c r="E3" s="57">
        <v>860</v>
      </c>
      <c r="F3" s="57">
        <v>930</v>
      </c>
      <c r="G3" s="57">
        <v>930</v>
      </c>
      <c r="H3" s="57">
        <v>930</v>
      </c>
      <c r="I3" s="57">
        <v>930</v>
      </c>
      <c r="J3" s="57">
        <v>930</v>
      </c>
      <c r="K3" s="57">
        <v>930</v>
      </c>
      <c r="L3" s="57">
        <v>930</v>
      </c>
    </row>
    <row r="4" spans="1:12" x14ac:dyDescent="0.25">
      <c r="A4" s="46">
        <v>2</v>
      </c>
      <c r="B4" s="46" t="s">
        <v>13</v>
      </c>
      <c r="C4" s="57">
        <v>320</v>
      </c>
      <c r="D4" s="57">
        <v>370</v>
      </c>
      <c r="E4" s="57">
        <v>370</v>
      </c>
      <c r="F4" s="57">
        <v>410</v>
      </c>
      <c r="G4" s="57">
        <v>410</v>
      </c>
      <c r="H4" s="57">
        <v>410</v>
      </c>
      <c r="I4" s="57">
        <v>410</v>
      </c>
      <c r="J4" s="57">
        <v>410</v>
      </c>
      <c r="K4" s="57">
        <v>410</v>
      </c>
      <c r="L4" s="57">
        <v>410</v>
      </c>
    </row>
    <row r="5" spans="1:12" x14ac:dyDescent="0.25">
      <c r="A5" s="46">
        <v>3</v>
      </c>
      <c r="B5" s="46" t="s">
        <v>14</v>
      </c>
      <c r="C5" s="57">
        <v>120</v>
      </c>
      <c r="D5" s="57">
        <v>140</v>
      </c>
      <c r="E5" s="57">
        <v>140</v>
      </c>
      <c r="F5" s="57">
        <v>160</v>
      </c>
      <c r="G5" s="57">
        <v>160</v>
      </c>
      <c r="H5" s="57">
        <v>160</v>
      </c>
      <c r="I5" s="57">
        <v>160</v>
      </c>
      <c r="J5" s="57">
        <v>160</v>
      </c>
      <c r="K5" s="57">
        <v>160</v>
      </c>
      <c r="L5" s="57">
        <v>160</v>
      </c>
    </row>
    <row r="6" spans="1:12" x14ac:dyDescent="0.25">
      <c r="A6" s="46">
        <v>4</v>
      </c>
      <c r="B6" s="46" t="s">
        <v>15</v>
      </c>
      <c r="C6" s="57">
        <v>600</v>
      </c>
      <c r="D6" s="57">
        <v>650</v>
      </c>
      <c r="E6" s="57">
        <v>650</v>
      </c>
      <c r="F6" s="57">
        <v>700</v>
      </c>
      <c r="G6" s="57">
        <v>700</v>
      </c>
      <c r="H6" s="57">
        <v>700</v>
      </c>
      <c r="I6" s="57">
        <v>700</v>
      </c>
      <c r="J6" s="57">
        <v>700</v>
      </c>
      <c r="K6" s="57">
        <v>700</v>
      </c>
      <c r="L6" s="57">
        <v>700</v>
      </c>
    </row>
    <row r="7" spans="1:12" x14ac:dyDescent="0.25">
      <c r="A7" s="46">
        <v>5</v>
      </c>
      <c r="B7" s="46" t="s">
        <v>16</v>
      </c>
      <c r="C7" s="57">
        <v>360</v>
      </c>
      <c r="D7" s="57">
        <v>360</v>
      </c>
      <c r="E7" s="57">
        <v>360</v>
      </c>
      <c r="F7" s="57">
        <v>360</v>
      </c>
      <c r="G7" s="57">
        <v>360</v>
      </c>
      <c r="H7" s="57">
        <v>360</v>
      </c>
      <c r="I7" s="57">
        <v>360</v>
      </c>
      <c r="J7" s="57">
        <v>360</v>
      </c>
      <c r="K7" s="57">
        <v>360</v>
      </c>
      <c r="L7" s="57">
        <v>360</v>
      </c>
    </row>
    <row r="8" spans="1:12" x14ac:dyDescent="0.25">
      <c r="A8" s="46">
        <v>6</v>
      </c>
      <c r="B8" s="46" t="s">
        <v>31</v>
      </c>
      <c r="C8" s="57">
        <v>240</v>
      </c>
      <c r="D8" s="57">
        <v>240</v>
      </c>
      <c r="E8" s="57">
        <v>240</v>
      </c>
      <c r="F8" s="57">
        <v>240</v>
      </c>
      <c r="G8" s="57">
        <v>240</v>
      </c>
      <c r="H8" s="57">
        <v>240</v>
      </c>
      <c r="I8" s="57">
        <v>240</v>
      </c>
      <c r="J8" s="57">
        <v>240</v>
      </c>
      <c r="K8" s="57">
        <v>240</v>
      </c>
      <c r="L8" s="57">
        <v>240</v>
      </c>
    </row>
    <row r="9" spans="1:12" x14ac:dyDescent="0.25">
      <c r="A9" s="46">
        <v>7</v>
      </c>
      <c r="B9" s="46" t="s">
        <v>17</v>
      </c>
      <c r="C9" s="154"/>
      <c r="D9" s="155"/>
      <c r="E9" s="155"/>
      <c r="F9" s="155"/>
      <c r="G9" s="155"/>
      <c r="H9" s="155"/>
      <c r="I9" s="155"/>
      <c r="J9" s="155"/>
      <c r="K9" s="155"/>
      <c r="L9" s="156"/>
    </row>
    <row r="10" spans="1:12" x14ac:dyDescent="0.25">
      <c r="A10" s="46">
        <v>7.1</v>
      </c>
      <c r="B10" s="46" t="s">
        <v>121</v>
      </c>
      <c r="C10" s="57">
        <v>250</v>
      </c>
      <c r="D10" s="57">
        <v>250</v>
      </c>
      <c r="E10" s="57">
        <v>250</v>
      </c>
      <c r="F10" s="57">
        <v>250</v>
      </c>
      <c r="G10" s="57">
        <v>250</v>
      </c>
      <c r="H10" s="57">
        <v>250</v>
      </c>
      <c r="I10" s="57">
        <v>250</v>
      </c>
      <c r="J10" s="57">
        <v>250</v>
      </c>
      <c r="K10" s="57">
        <v>250</v>
      </c>
      <c r="L10" s="57">
        <v>250</v>
      </c>
    </row>
    <row r="11" spans="1:12" x14ac:dyDescent="0.25">
      <c r="A11" s="46">
        <v>7.2</v>
      </c>
      <c r="B11" s="46"/>
      <c r="C11" s="57"/>
      <c r="D11" s="57"/>
      <c r="E11" s="57"/>
      <c r="F11" s="57"/>
      <c r="G11" s="57"/>
      <c r="H11" s="57"/>
      <c r="I11" s="57"/>
      <c r="J11" s="57"/>
      <c r="K11" s="57"/>
      <c r="L11" s="57"/>
    </row>
    <row r="12" spans="1:12" x14ac:dyDescent="0.25">
      <c r="A12" s="46">
        <v>7.3</v>
      </c>
      <c r="B12" s="46"/>
      <c r="C12" s="57"/>
      <c r="D12" s="57"/>
      <c r="E12" s="57"/>
      <c r="F12" s="57"/>
      <c r="G12" s="57"/>
      <c r="H12" s="57"/>
      <c r="I12" s="57"/>
      <c r="J12" s="57"/>
      <c r="K12" s="57"/>
      <c r="L12" s="57"/>
    </row>
    <row r="13" spans="1:12" x14ac:dyDescent="0.25">
      <c r="A13" s="153" t="s">
        <v>53</v>
      </c>
      <c r="B13" s="153"/>
      <c r="C13" s="52">
        <f>SUM(C3:C12)</f>
        <v>2670</v>
      </c>
      <c r="D13" s="52">
        <f t="shared" ref="D13:L13" si="0">SUM(D3:D12)</f>
        <v>2870</v>
      </c>
      <c r="E13" s="52">
        <f t="shared" si="0"/>
        <v>2870</v>
      </c>
      <c r="F13" s="52">
        <f t="shared" si="0"/>
        <v>3050</v>
      </c>
      <c r="G13" s="52">
        <f t="shared" si="0"/>
        <v>3050</v>
      </c>
      <c r="H13" s="52">
        <f t="shared" si="0"/>
        <v>3050</v>
      </c>
      <c r="I13" s="52">
        <f t="shared" si="0"/>
        <v>3050</v>
      </c>
      <c r="J13" s="52">
        <f t="shared" si="0"/>
        <v>3050</v>
      </c>
      <c r="K13" s="52">
        <f t="shared" si="0"/>
        <v>3050</v>
      </c>
      <c r="L13" s="52">
        <f t="shared" si="0"/>
        <v>3050</v>
      </c>
    </row>
  </sheetData>
  <sheetProtection algorithmName="SHA-512" hashValue="aoS/J/NfbZ7MKkXrZODvrzMd5wkQwrUzB5N7qR6BOpM65zeL9UoN+irGNQye5SKGS4ASrcNWEu1pnrC6uA0InQ==" saltValue="C0AxG+dPhQbtRXDVV3ihkg==" spinCount="100000" sheet="1" objects="1" scenarios="1"/>
  <mergeCells count="3">
    <mergeCell ref="C1:L1"/>
    <mergeCell ref="A13:B13"/>
    <mergeCell ref="C9:L9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0">
    <pageSetUpPr fitToPage="1"/>
  </sheetPr>
  <dimension ref="A1:K15"/>
  <sheetViews>
    <sheetView workbookViewId="0">
      <selection sqref="A1:K13"/>
    </sheetView>
  </sheetViews>
  <sheetFormatPr defaultColWidth="8.85546875" defaultRowHeight="15" x14ac:dyDescent="0.25"/>
  <cols>
    <col min="1" max="1" width="34.42578125" style="6" customWidth="1"/>
    <col min="2" max="11" width="15.7109375" style="6" customWidth="1"/>
    <col min="12" max="16384" width="8.85546875" style="6"/>
  </cols>
  <sheetData>
    <row r="1" spans="1:11" x14ac:dyDescent="0.25">
      <c r="A1" s="20"/>
      <c r="B1" s="157" t="s">
        <v>23</v>
      </c>
      <c r="C1" s="157"/>
      <c r="D1" s="157"/>
      <c r="E1" s="157"/>
      <c r="F1" s="157"/>
      <c r="G1" s="157"/>
      <c r="H1" s="157"/>
      <c r="I1" s="157"/>
      <c r="J1" s="157"/>
      <c r="K1" s="157"/>
    </row>
    <row r="2" spans="1:11" x14ac:dyDescent="0.25">
      <c r="A2" s="10" t="s">
        <v>34</v>
      </c>
      <c r="B2" s="3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</row>
    <row r="3" spans="1:11" x14ac:dyDescent="0.25">
      <c r="A3" s="11" t="s">
        <v>37</v>
      </c>
      <c r="B3" s="12">
        <f>'Tabela 2 Prihodi'!D18</f>
        <v>166107</v>
      </c>
      <c r="C3" s="12">
        <f>'Tabela 2 Prihodi'!E18</f>
        <v>99820</v>
      </c>
      <c r="D3" s="12">
        <f>'Tabela 2 Prihodi'!F18</f>
        <v>99820</v>
      </c>
      <c r="E3" s="12">
        <f>'Tabela 2 Prihodi'!G18</f>
        <v>108500</v>
      </c>
      <c r="F3" s="12">
        <f>'Tabela 2 Prihodi'!H18</f>
        <v>108500</v>
      </c>
      <c r="G3" s="12">
        <f>'Tabela 2 Prihodi'!I18</f>
        <v>108500</v>
      </c>
      <c r="H3" s="12">
        <f>'Tabela 2 Prihodi'!J18</f>
        <v>108500</v>
      </c>
      <c r="I3" s="12">
        <f>'Tabela 2 Prihodi'!K18</f>
        <v>108500</v>
      </c>
      <c r="J3" s="12">
        <f>'Tabela 2 Prihodi'!L18</f>
        <v>108500</v>
      </c>
      <c r="K3" s="12">
        <f>'Tabela 2 Prihodi'!M18</f>
        <v>108500</v>
      </c>
    </row>
    <row r="4" spans="1:11" x14ac:dyDescent="0.25">
      <c r="A4" s="11" t="s">
        <v>96</v>
      </c>
      <c r="B4" s="12">
        <f>SUM(B5:B9)</f>
        <v>78292.160000000018</v>
      </c>
      <c r="C4" s="12">
        <f t="shared" ref="C4:K4" si="0">SUM(C5:C9)</f>
        <v>79652.160000000018</v>
      </c>
      <c r="D4" s="12">
        <f t="shared" si="0"/>
        <v>79573.395267218089</v>
      </c>
      <c r="E4" s="12">
        <f t="shared" si="0"/>
        <v>81896.998365699605</v>
      </c>
      <c r="F4" s="12">
        <f t="shared" si="0"/>
        <v>81713.414782246982</v>
      </c>
      <c r="G4" s="12">
        <f t="shared" si="0"/>
        <v>81522.351720349761</v>
      </c>
      <c r="H4" s="12">
        <f t="shared" si="0"/>
        <v>81323.50445451586</v>
      </c>
      <c r="I4" s="12">
        <f t="shared" si="0"/>
        <v>81116.555844266521</v>
      </c>
      <c r="J4" s="12">
        <f t="shared" si="0"/>
        <v>80901.175828330495</v>
      </c>
      <c r="K4" s="12">
        <f t="shared" si="0"/>
        <v>80677.02089823116</v>
      </c>
    </row>
    <row r="5" spans="1:11" x14ac:dyDescent="0.25">
      <c r="A5" s="10" t="s">
        <v>30</v>
      </c>
      <c r="B5" s="13">
        <f>'Tabela  3 - Mat. troškovi'!D14</f>
        <v>25520</v>
      </c>
      <c r="C5" s="13">
        <f>'Tabela  3 - Mat. troškovi'!E14</f>
        <v>26680</v>
      </c>
      <c r="D5" s="13">
        <f>'Tabela  3 - Mat. troškovi'!F14</f>
        <v>26680</v>
      </c>
      <c r="E5" s="13">
        <f>'Tabela  3 - Mat. troškovi'!G14</f>
        <v>29000</v>
      </c>
      <c r="F5" s="13">
        <f>'Tabela  3 - Mat. troškovi'!H14</f>
        <v>29000</v>
      </c>
      <c r="G5" s="13">
        <f>'Tabela  3 - Mat. troškovi'!I14</f>
        <v>29000</v>
      </c>
      <c r="H5" s="13">
        <f>'Tabela  3 - Mat. troškovi'!J14</f>
        <v>29000</v>
      </c>
      <c r="I5" s="13">
        <f>'Tabela  3 - Mat. troškovi'!K14</f>
        <v>29000</v>
      </c>
      <c r="J5" s="13">
        <f>'Tabela  3 - Mat. troškovi'!L14</f>
        <v>29000</v>
      </c>
      <c r="K5" s="13">
        <f>'Tabela  3 - Mat. troškovi'!M14</f>
        <v>29000</v>
      </c>
    </row>
    <row r="6" spans="1:11" x14ac:dyDescent="0.25">
      <c r="A6" s="10" t="s">
        <v>42</v>
      </c>
      <c r="B6" s="13">
        <f>'Tabela 4 - Bruto zarade'!H13</f>
        <v>39052.200000000004</v>
      </c>
      <c r="C6" s="13">
        <f>'Tabela 4 - Bruto zarade'!I13</f>
        <v>39052.200000000004</v>
      </c>
      <c r="D6" s="13">
        <f>'Tabela 4 - Bruto zarade'!J13</f>
        <v>39052.200000000004</v>
      </c>
      <c r="E6" s="13">
        <f>'Tabela 4 - Bruto zarade'!K13</f>
        <v>39052.200000000004</v>
      </c>
      <c r="F6" s="13">
        <f>'Tabela 4 - Bruto zarade'!L13</f>
        <v>39052.200000000004</v>
      </c>
      <c r="G6" s="13">
        <f>'Tabela 4 - Bruto zarade'!M13</f>
        <v>39052.200000000004</v>
      </c>
      <c r="H6" s="13">
        <f>'Tabela 4 - Bruto zarade'!N13</f>
        <v>39052.200000000004</v>
      </c>
      <c r="I6" s="13">
        <f>'Tabela 4 - Bruto zarade'!O13</f>
        <v>39052.200000000004</v>
      </c>
      <c r="J6" s="13">
        <f>'Tabela 4 - Bruto zarade'!P13</f>
        <v>39052.200000000004</v>
      </c>
      <c r="K6" s="13">
        <f>'Tabela 4 - Bruto zarade'!Q13</f>
        <v>39052.200000000004</v>
      </c>
    </row>
    <row r="7" spans="1:11" x14ac:dyDescent="0.25">
      <c r="A7" s="10" t="s">
        <v>27</v>
      </c>
      <c r="B7" s="13">
        <f>'Tabela 5 - Amortizacija'!F11</f>
        <v>9450</v>
      </c>
      <c r="C7" s="13">
        <f>'Tabela 5 - Amortizacija'!G11</f>
        <v>9450</v>
      </c>
      <c r="D7" s="13">
        <f>'Tabela 5 - Amortizacija'!H11</f>
        <v>9450</v>
      </c>
      <c r="E7" s="13">
        <f>'Tabela 5 - Amortizacija'!I11</f>
        <v>9450</v>
      </c>
      <c r="F7" s="13">
        <f>'Tabela 5 - Amortizacija'!J11</f>
        <v>9450</v>
      </c>
      <c r="G7" s="13">
        <f>'Tabela 5 - Amortizacija'!K11</f>
        <v>9450</v>
      </c>
      <c r="H7" s="13">
        <f>'Tabela 5 - Amortizacija'!L11</f>
        <v>9450</v>
      </c>
      <c r="I7" s="13">
        <f>'Tabela 5 - Amortizacija'!M11</f>
        <v>9450</v>
      </c>
      <c r="J7" s="13">
        <f>'Tabela 5 - Amortizacija'!N11</f>
        <v>9450</v>
      </c>
      <c r="K7" s="13">
        <f>'Tabela 5 - Amortizacija'!O11</f>
        <v>9450</v>
      </c>
    </row>
    <row r="8" spans="1:11" x14ac:dyDescent="0.25">
      <c r="A8" s="10" t="s">
        <v>32</v>
      </c>
      <c r="B8" s="13">
        <f>'Tabela 6 - Plan otplate kredita'!J4</f>
        <v>1599.9599999999998</v>
      </c>
      <c r="C8" s="13">
        <f>'Tabela 6 - Plan otplate kredita'!K4</f>
        <v>1599.9599999999998</v>
      </c>
      <c r="D8" s="13">
        <f>'Tabela 6 - Plan otplate kredita'!L4</f>
        <v>1521.1952672180776</v>
      </c>
      <c r="E8" s="13">
        <f>'Tabela 6 - Plan otplate kredita'!M4</f>
        <v>1344.7983656995921</v>
      </c>
      <c r="F8" s="13">
        <f>'Tabela 6 - Plan otplate kredita'!N4</f>
        <v>1161.2147822469728</v>
      </c>
      <c r="G8" s="13">
        <f>'Tabela 6 - Plan otplate kredita'!O4</f>
        <v>970.15172034975012</v>
      </c>
      <c r="H8" s="13">
        <f>'Tabela 6 - Plan otplate kredita'!P4</f>
        <v>771.30445451585501</v>
      </c>
      <c r="I8" s="13">
        <f>'Tabela 6 - Plan otplate kredita'!Q4</f>
        <v>564.35584426650496</v>
      </c>
      <c r="J8" s="13">
        <f>'Tabela 6 - Plan otplate kredita'!R4</f>
        <v>348.97582833049034</v>
      </c>
      <c r="K8" s="13">
        <f>'Tabela 6 - Plan otplate kredita'!S4</f>
        <v>124.82089823115302</v>
      </c>
    </row>
    <row r="9" spans="1:11" x14ac:dyDescent="0.25">
      <c r="A9" s="10" t="s">
        <v>33</v>
      </c>
      <c r="B9" s="13">
        <f>'Tabela 7 - Ostali troškovi'!C13</f>
        <v>2670</v>
      </c>
      <c r="C9" s="13">
        <f>'Tabela 7 - Ostali troškovi'!D13</f>
        <v>2870</v>
      </c>
      <c r="D9" s="13">
        <f>'Tabela 7 - Ostali troškovi'!E13</f>
        <v>2870</v>
      </c>
      <c r="E9" s="13">
        <f>'Tabela 7 - Ostali troškovi'!F13</f>
        <v>3050</v>
      </c>
      <c r="F9" s="13">
        <f>'Tabela 7 - Ostali troškovi'!G13</f>
        <v>3050</v>
      </c>
      <c r="G9" s="13">
        <f>'Tabela 7 - Ostali troškovi'!H13</f>
        <v>3050</v>
      </c>
      <c r="H9" s="13">
        <f>'Tabela 7 - Ostali troškovi'!I13</f>
        <v>3050</v>
      </c>
      <c r="I9" s="13">
        <f>'Tabela 7 - Ostali troškovi'!J13</f>
        <v>3050</v>
      </c>
      <c r="J9" s="13">
        <f>'Tabela 7 - Ostali troškovi'!K13</f>
        <v>3050</v>
      </c>
      <c r="K9" s="13">
        <f>'Tabela 7 - Ostali troškovi'!L13</f>
        <v>3050</v>
      </c>
    </row>
    <row r="10" spans="1:11" x14ac:dyDescent="0.25">
      <c r="A10" s="15" t="s">
        <v>97</v>
      </c>
      <c r="B10" s="12">
        <f>B3-B4</f>
        <v>87814.839999999982</v>
      </c>
      <c r="C10" s="12">
        <f t="shared" ref="C10:K10" si="1">C3-C4</f>
        <v>20167.839999999982</v>
      </c>
      <c r="D10" s="12">
        <f t="shared" si="1"/>
        <v>20246.604732781911</v>
      </c>
      <c r="E10" s="12">
        <f t="shared" si="1"/>
        <v>26603.001634300395</v>
      </c>
      <c r="F10" s="12">
        <f t="shared" si="1"/>
        <v>26786.585217753018</v>
      </c>
      <c r="G10" s="12">
        <f t="shared" si="1"/>
        <v>26977.648279650239</v>
      </c>
      <c r="H10" s="12">
        <f t="shared" si="1"/>
        <v>27176.49554548414</v>
      </c>
      <c r="I10" s="12">
        <f t="shared" si="1"/>
        <v>27383.444155733479</v>
      </c>
      <c r="J10" s="12">
        <f t="shared" si="1"/>
        <v>27598.824171669505</v>
      </c>
      <c r="K10" s="12">
        <f t="shared" si="1"/>
        <v>27822.97910176884</v>
      </c>
    </row>
    <row r="11" spans="1:11" x14ac:dyDescent="0.25">
      <c r="A11" s="10" t="s">
        <v>28</v>
      </c>
      <c r="B11" s="16">
        <f>IF(B10&gt;0,9*B10/100,0)</f>
        <v>7903.3355999999985</v>
      </c>
      <c r="C11" s="16">
        <f t="shared" ref="C11:K11" si="2">IF(C10&gt;0,9*C10/100,0)</f>
        <v>1815.1055999999983</v>
      </c>
      <c r="D11" s="16">
        <f t="shared" si="2"/>
        <v>1822.1944259503719</v>
      </c>
      <c r="E11" s="16">
        <f t="shared" si="2"/>
        <v>2394.2701470870356</v>
      </c>
      <c r="F11" s="16">
        <f t="shared" si="2"/>
        <v>2410.7926695977717</v>
      </c>
      <c r="G11" s="16">
        <f t="shared" si="2"/>
        <v>2427.9883451685218</v>
      </c>
      <c r="H11" s="16">
        <f t="shared" si="2"/>
        <v>2445.8845990935724</v>
      </c>
      <c r="I11" s="16">
        <f t="shared" si="2"/>
        <v>2464.5099740160131</v>
      </c>
      <c r="J11" s="16">
        <f t="shared" si="2"/>
        <v>2483.8941754502553</v>
      </c>
      <c r="K11" s="16">
        <f t="shared" si="2"/>
        <v>2504.0681191591957</v>
      </c>
    </row>
    <row r="12" spans="1:11" x14ac:dyDescent="0.25">
      <c r="A12" s="11" t="s">
        <v>29</v>
      </c>
      <c r="B12" s="17">
        <f t="shared" ref="B12:K12" si="3">B10-B11</f>
        <v>79911.504399999976</v>
      </c>
      <c r="C12" s="17">
        <f t="shared" si="3"/>
        <v>18352.734399999983</v>
      </c>
      <c r="D12" s="17">
        <f t="shared" si="3"/>
        <v>18424.410306831538</v>
      </c>
      <c r="E12" s="17">
        <f t="shared" si="3"/>
        <v>24208.731487213361</v>
      </c>
      <c r="F12" s="17">
        <f t="shared" si="3"/>
        <v>24375.792548155245</v>
      </c>
      <c r="G12" s="17">
        <f t="shared" si="3"/>
        <v>24549.659934481715</v>
      </c>
      <c r="H12" s="17">
        <f t="shared" si="3"/>
        <v>24730.610946390567</v>
      </c>
      <c r="I12" s="17">
        <f t="shared" si="3"/>
        <v>24918.934181717465</v>
      </c>
      <c r="J12" s="17">
        <f t="shared" si="3"/>
        <v>25114.929996219249</v>
      </c>
      <c r="K12" s="17">
        <f t="shared" si="3"/>
        <v>25318.910982609646</v>
      </c>
    </row>
    <row r="13" spans="1:11" x14ac:dyDescent="0.25">
      <c r="A13" s="10" t="s">
        <v>98</v>
      </c>
      <c r="B13" s="22">
        <f>IFERROR((B12/B3),0)</f>
        <v>0.48108450817846315</v>
      </c>
      <c r="C13" s="22">
        <f t="shared" ref="C13:K13" si="4">IFERROR((C12/C3),0)</f>
        <v>0.18385828892005593</v>
      </c>
      <c r="D13" s="22">
        <f t="shared" si="4"/>
        <v>0.18457634048118152</v>
      </c>
      <c r="E13" s="22">
        <f t="shared" si="4"/>
        <v>0.22312194919090655</v>
      </c>
      <c r="F13" s="22">
        <f t="shared" si="4"/>
        <v>0.22466168247147691</v>
      </c>
      <c r="G13" s="22">
        <f t="shared" si="4"/>
        <v>0.22626414686158264</v>
      </c>
      <c r="H13" s="22">
        <f t="shared" si="4"/>
        <v>0.22793189812341536</v>
      </c>
      <c r="I13" s="22">
        <f t="shared" si="4"/>
        <v>0.22966759614486143</v>
      </c>
      <c r="J13" s="22">
        <f t="shared" si="4"/>
        <v>0.23147400918174424</v>
      </c>
      <c r="K13" s="22">
        <f t="shared" si="4"/>
        <v>0.23335401827289998</v>
      </c>
    </row>
    <row r="15" spans="1:11" x14ac:dyDescent="0.25">
      <c r="A15" s="18"/>
      <c r="B15" s="19"/>
      <c r="C15" s="19"/>
      <c r="D15" s="19"/>
      <c r="E15" s="19"/>
      <c r="F15" s="19"/>
    </row>
  </sheetData>
  <sheetProtection algorithmName="SHA-512" hashValue="fG0Z9pgk5vHBzfoRkGzN+GhQMNu0+H6rs4Qy8ivChi+tNjpJaKD7xhp5G1rvhTkxPOBg4R74zi2fZozjqLBl+A==" saltValue="Swx6SMypQMh6JRbclQOhvA==" spinCount="100000" sheet="1" objects="1" scenarios="1"/>
  <mergeCells count="1">
    <mergeCell ref="B1:K1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>
    <pageSetUpPr fitToPage="1"/>
  </sheetPr>
  <dimension ref="A1:L9"/>
  <sheetViews>
    <sheetView workbookViewId="0">
      <selection sqref="A1:L9"/>
    </sheetView>
  </sheetViews>
  <sheetFormatPr defaultColWidth="8.85546875" defaultRowHeight="15" x14ac:dyDescent="0.25"/>
  <cols>
    <col min="1" max="1" width="3.42578125" style="6" bestFit="1" customWidth="1"/>
    <col min="2" max="2" width="29.7109375" style="6" customWidth="1"/>
    <col min="3" max="12" width="15.7109375" style="6" customWidth="1"/>
    <col min="13" max="16384" width="8.85546875" style="6"/>
  </cols>
  <sheetData>
    <row r="1" spans="1:12" x14ac:dyDescent="0.25">
      <c r="A1" s="33"/>
      <c r="B1" s="33"/>
      <c r="C1" s="157" t="s">
        <v>23</v>
      </c>
      <c r="D1" s="157"/>
      <c r="E1" s="157"/>
      <c r="F1" s="157"/>
      <c r="G1" s="157"/>
      <c r="H1" s="157"/>
      <c r="I1" s="157"/>
      <c r="J1" s="157"/>
      <c r="K1" s="157"/>
      <c r="L1" s="157"/>
    </row>
    <row r="2" spans="1:12" x14ac:dyDescent="0.25">
      <c r="A2" s="10"/>
      <c r="B2" s="10" t="s">
        <v>34</v>
      </c>
      <c r="C2" s="3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</row>
    <row r="3" spans="1:12" x14ac:dyDescent="0.25">
      <c r="A3" s="24" t="s">
        <v>35</v>
      </c>
      <c r="B3" s="25" t="s">
        <v>36</v>
      </c>
      <c r="C3" s="26">
        <f>C4</f>
        <v>166107</v>
      </c>
      <c r="D3" s="26">
        <f t="shared" ref="D3:L3" si="0">D4</f>
        <v>99820</v>
      </c>
      <c r="E3" s="26">
        <f t="shared" si="0"/>
        <v>99820</v>
      </c>
      <c r="F3" s="26">
        <f t="shared" si="0"/>
        <v>108500</v>
      </c>
      <c r="G3" s="26">
        <f t="shared" si="0"/>
        <v>108500</v>
      </c>
      <c r="H3" s="26">
        <f t="shared" si="0"/>
        <v>108500</v>
      </c>
      <c r="I3" s="26">
        <f t="shared" si="0"/>
        <v>108500</v>
      </c>
      <c r="J3" s="26">
        <f t="shared" si="0"/>
        <v>108500</v>
      </c>
      <c r="K3" s="26">
        <f t="shared" si="0"/>
        <v>108500</v>
      </c>
      <c r="L3" s="26">
        <f t="shared" si="0"/>
        <v>108500</v>
      </c>
    </row>
    <row r="4" spans="1:12" x14ac:dyDescent="0.25">
      <c r="A4" s="25">
        <v>1</v>
      </c>
      <c r="B4" s="27" t="s">
        <v>37</v>
      </c>
      <c r="C4" s="14">
        <f>'Tabela 8 -Projekcija bilansa '!B3</f>
        <v>166107</v>
      </c>
      <c r="D4" s="14">
        <f>'Tabela 8 -Projekcija bilansa '!C3</f>
        <v>99820</v>
      </c>
      <c r="E4" s="14">
        <f>'Tabela 8 -Projekcija bilansa '!D3</f>
        <v>99820</v>
      </c>
      <c r="F4" s="14">
        <f>'Tabela 8 -Projekcija bilansa '!E3</f>
        <v>108500</v>
      </c>
      <c r="G4" s="14">
        <f>'Tabela 8 -Projekcija bilansa '!F3</f>
        <v>108500</v>
      </c>
      <c r="H4" s="14">
        <f>'Tabela 8 -Projekcija bilansa '!G3</f>
        <v>108500</v>
      </c>
      <c r="I4" s="14">
        <f>'Tabela 8 -Projekcija bilansa '!H3</f>
        <v>108500</v>
      </c>
      <c r="J4" s="14">
        <f>'Tabela 8 -Projekcija bilansa '!I3</f>
        <v>108500</v>
      </c>
      <c r="K4" s="14">
        <f>'Tabela 8 -Projekcija bilansa '!J3</f>
        <v>108500</v>
      </c>
      <c r="L4" s="14">
        <f>'Tabela 8 -Projekcija bilansa '!K3</f>
        <v>108500</v>
      </c>
    </row>
    <row r="5" spans="1:12" x14ac:dyDescent="0.25">
      <c r="A5" s="24" t="s">
        <v>38</v>
      </c>
      <c r="B5" s="25" t="s">
        <v>39</v>
      </c>
      <c r="C5" s="28">
        <f>SUM(C6:C8)</f>
        <v>173749.16</v>
      </c>
      <c r="D5" s="28">
        <f>SUM(D6:D8)</f>
        <v>70202.16</v>
      </c>
      <c r="E5" s="28">
        <f>SUM(E6:E8)</f>
        <v>70123.395267218089</v>
      </c>
      <c r="F5" s="28">
        <f>SUM(F6:F8)</f>
        <v>72446.998365699605</v>
      </c>
      <c r="G5" s="28">
        <f>SUM(G6:G8)</f>
        <v>72263.414782246982</v>
      </c>
      <c r="H5" s="28">
        <f t="shared" ref="H5:L5" si="1">SUM(H6:H8)</f>
        <v>72072.351720349747</v>
      </c>
      <c r="I5" s="28">
        <f t="shared" si="1"/>
        <v>71873.50445451586</v>
      </c>
      <c r="J5" s="28">
        <f t="shared" si="1"/>
        <v>71666.555844266506</v>
      </c>
      <c r="K5" s="28">
        <f t="shared" si="1"/>
        <v>71451.175828330495</v>
      </c>
      <c r="L5" s="28">
        <f t="shared" si="1"/>
        <v>71227.02089823116</v>
      </c>
    </row>
    <row r="6" spans="1:12" x14ac:dyDescent="0.25">
      <c r="A6" s="25">
        <v>3</v>
      </c>
      <c r="B6" s="27" t="s">
        <v>40</v>
      </c>
      <c r="C6" s="29">
        <f>'Tabela 1 Struktura ulaganja'!E5</f>
        <v>104907</v>
      </c>
      <c r="D6" s="29"/>
      <c r="E6" s="29"/>
      <c r="F6" s="29"/>
      <c r="G6" s="29"/>
      <c r="H6" s="21"/>
      <c r="I6" s="21"/>
      <c r="J6" s="21"/>
      <c r="K6" s="21"/>
      <c r="L6" s="21"/>
    </row>
    <row r="7" spans="1:12" ht="30" x14ac:dyDescent="0.25">
      <c r="A7" s="25">
        <v>4</v>
      </c>
      <c r="B7" s="27" t="s">
        <v>41</v>
      </c>
      <c r="C7" s="30">
        <f>'Tabela 8 -Projekcija bilansa '!B5+'Tabela 8 -Projekcija bilansa '!B8+'Tabela 8 -Projekcija bilansa '!B9</f>
        <v>29789.96</v>
      </c>
      <c r="D7" s="30">
        <f>'Tabela 8 -Projekcija bilansa '!C5+'Tabela 8 -Projekcija bilansa '!C8+'Tabela 8 -Projekcija bilansa '!C9</f>
        <v>31149.96</v>
      </c>
      <c r="E7" s="30">
        <f>'Tabela 8 -Projekcija bilansa '!D5+'Tabela 8 -Projekcija bilansa '!D8+'Tabela 8 -Projekcija bilansa '!D9</f>
        <v>31071.195267218078</v>
      </c>
      <c r="F7" s="30">
        <f>'Tabela 8 -Projekcija bilansa '!E5+'Tabela 8 -Projekcija bilansa '!E8+'Tabela 8 -Projekcija bilansa '!E9</f>
        <v>33394.798365699593</v>
      </c>
      <c r="G7" s="30">
        <f>'Tabela 8 -Projekcija bilansa '!F5+'Tabela 8 -Projekcija bilansa '!F8+'Tabela 8 -Projekcija bilansa '!F9</f>
        <v>33211.214782246971</v>
      </c>
      <c r="H7" s="30">
        <f>'Tabela 8 -Projekcija bilansa '!G5+'Tabela 8 -Projekcija bilansa '!G8+'Tabela 8 -Projekcija bilansa '!G9</f>
        <v>33020.15172034975</v>
      </c>
      <c r="I7" s="30">
        <f>'Tabela 8 -Projekcija bilansa '!H5+'Tabela 8 -Projekcija bilansa '!H8+'Tabela 8 -Projekcija bilansa '!H9</f>
        <v>32821.304454515855</v>
      </c>
      <c r="J7" s="30">
        <f>'Tabela 8 -Projekcija bilansa '!I5+'Tabela 8 -Projekcija bilansa '!I8+'Tabela 8 -Projekcija bilansa '!I9</f>
        <v>32614.355844266505</v>
      </c>
      <c r="K7" s="30">
        <f>'Tabela 8 -Projekcija bilansa '!J5+'Tabela 8 -Projekcija bilansa '!J8+'Tabela 8 -Projekcija bilansa '!J9</f>
        <v>32398.975828330491</v>
      </c>
      <c r="L7" s="30">
        <f>'Tabela 8 -Projekcija bilansa '!K5+'Tabela 8 -Projekcija bilansa '!K8+'Tabela 8 -Projekcija bilansa '!K9</f>
        <v>32174.820898231152</v>
      </c>
    </row>
    <row r="8" spans="1:12" x14ac:dyDescent="0.25">
      <c r="A8" s="25">
        <v>5</v>
      </c>
      <c r="B8" s="27" t="s">
        <v>42</v>
      </c>
      <c r="C8" s="31">
        <f>'Tabela 8 -Projekcija bilansa '!B6</f>
        <v>39052.200000000004</v>
      </c>
      <c r="D8" s="31">
        <f>'Tabela 8 -Projekcija bilansa '!C6</f>
        <v>39052.200000000004</v>
      </c>
      <c r="E8" s="31">
        <f>'Tabela 8 -Projekcija bilansa '!D6</f>
        <v>39052.200000000004</v>
      </c>
      <c r="F8" s="31">
        <f>'Tabela 8 -Projekcija bilansa '!E6</f>
        <v>39052.200000000004</v>
      </c>
      <c r="G8" s="31">
        <f>'Tabela 8 -Projekcija bilansa '!F6</f>
        <v>39052.200000000004</v>
      </c>
      <c r="H8" s="31">
        <f>'Tabela 8 -Projekcija bilansa '!G6</f>
        <v>39052.200000000004</v>
      </c>
      <c r="I8" s="31">
        <f>'Tabela 8 -Projekcija bilansa '!H6</f>
        <v>39052.200000000004</v>
      </c>
      <c r="J8" s="31">
        <f>'Tabela 8 -Projekcija bilansa '!I6</f>
        <v>39052.200000000004</v>
      </c>
      <c r="K8" s="31">
        <f>'Tabela 8 -Projekcija bilansa '!J6</f>
        <v>39052.200000000004</v>
      </c>
      <c r="L8" s="31">
        <f>'Tabela 8 -Projekcija bilansa '!K6</f>
        <v>39052.200000000004</v>
      </c>
    </row>
    <row r="9" spans="1:12" x14ac:dyDescent="0.25">
      <c r="A9" s="24" t="s">
        <v>43</v>
      </c>
      <c r="B9" s="25" t="s">
        <v>44</v>
      </c>
      <c r="C9" s="32">
        <f>C3-C5</f>
        <v>-7642.1600000000035</v>
      </c>
      <c r="D9" s="32">
        <f>D3-D5</f>
        <v>29617.839999999997</v>
      </c>
      <c r="E9" s="32">
        <f>E3-E5</f>
        <v>29696.604732781911</v>
      </c>
      <c r="F9" s="32">
        <f>F3-F5</f>
        <v>36053.001634300395</v>
      </c>
      <c r="G9" s="32">
        <f>G3-G5</f>
        <v>36236.585217753018</v>
      </c>
      <c r="H9" s="32">
        <f t="shared" ref="H9:L9" si="2">H3-H5</f>
        <v>36427.648279650253</v>
      </c>
      <c r="I9" s="32">
        <f t="shared" si="2"/>
        <v>36626.49554548414</v>
      </c>
      <c r="J9" s="32">
        <f t="shared" si="2"/>
        <v>36833.444155733494</v>
      </c>
      <c r="K9" s="32">
        <f t="shared" si="2"/>
        <v>37048.824171669505</v>
      </c>
      <c r="L9" s="32">
        <f t="shared" si="2"/>
        <v>37272.97910176884</v>
      </c>
    </row>
  </sheetData>
  <sheetProtection algorithmName="SHA-512" hashValue="0gMHFlmVV5G7XVjskuKd8vZQQVhPC4PNm7Av68OHPNj/4mztfunIXx4mEbbPsIg/m/mghgeGwN13s+oGqIsDlA==" saltValue="CtnWepvToNi6BN9faox9JQ==" spinCount="100000" sheet="1" objects="1" scenarios="1"/>
  <mergeCells count="1">
    <mergeCell ref="C1:L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Tabela 1 Struktura ulaganja</vt:lpstr>
      <vt:lpstr>Tabela 2 Prihodi</vt:lpstr>
      <vt:lpstr>Tabela  3 - Mat. troškovi</vt:lpstr>
      <vt:lpstr>Tabela 4 - Bruto zarade</vt:lpstr>
      <vt:lpstr>Tabela 5 - Amortizacija</vt:lpstr>
      <vt:lpstr>Tabela 6 - Plan otplate kredita</vt:lpstr>
      <vt:lpstr>Tabela 7 - Ostali troškovi</vt:lpstr>
      <vt:lpstr>Tabela 8 -Projekcija bilansa </vt:lpstr>
      <vt:lpstr>Tabela 9 Ekonomski tok</vt:lpstr>
      <vt:lpstr>Tabela 10 - NSV</vt:lpstr>
      <vt:lpstr>Tabela 11 IRR</vt:lpstr>
      <vt:lpstr>Tabela 11 - Period povrata</vt:lpstr>
      <vt:lpstr>Tabela 12 - Finansijski tok</vt:lpstr>
      <vt:lpstr>'Tabela  3 - Mat. troškovi'!Print_Area</vt:lpstr>
      <vt:lpstr>'Tabela 10 - NSV'!Print_Area</vt:lpstr>
      <vt:lpstr>'Tabela 11 - Period povrata'!Print_Area</vt:lpstr>
      <vt:lpstr>'Tabela 12 - Finansijski tok'!Print_Area</vt:lpstr>
      <vt:lpstr>'Tabela 2 Prihodi'!Print_Area</vt:lpstr>
      <vt:lpstr>'Tabela 4 - Bruto zarade'!Print_Area</vt:lpstr>
      <vt:lpstr>'Tabela 5 - Amortizacija'!Print_Area</vt:lpstr>
      <vt:lpstr>'Tabela 6 - Plan otplate kredita'!Print_Area</vt:lpstr>
      <vt:lpstr>'Tabela 7 - Ostali troškovi'!Print_Area</vt:lpstr>
      <vt:lpstr>'Tabela 8 -Projekcija bilansa '!Print_Area</vt:lpstr>
      <vt:lpstr>'Tabela 9 Ekonomski tok'!Print_Area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</dc:creator>
  <cp:lastModifiedBy>Nina Jakic</cp:lastModifiedBy>
  <cp:lastPrinted>2015-07-23T20:11:47Z</cp:lastPrinted>
  <dcterms:created xsi:type="dcterms:W3CDTF">2015-06-09T17:31:16Z</dcterms:created>
  <dcterms:modified xsi:type="dcterms:W3CDTF">2024-03-22T12:59:54Z</dcterms:modified>
</cp:coreProperties>
</file>