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Desktop\"/>
    </mc:Choice>
  </mc:AlternateContent>
  <bookViews>
    <workbookView xWindow="0" yWindow="0" windowWidth="28800" windowHeight="12000" tabRatio="817"/>
  </bookViews>
  <sheets>
    <sheet name="Cental Budget" sheetId="10" r:id="rId1"/>
    <sheet name="Local Government" sheetId="32" r:id="rId2"/>
    <sheet name="Public Expenditure" sheetId="33" r:id="rId3"/>
    <sheet name="PRIMICI" sheetId="29" state="hidden" r:id="rId4"/>
    <sheet name="DEFICIT Tabela" sheetId="30" state="hidden" r:id="rId5"/>
    <sheet name="MasterSheet" sheetId="13" state="hidden" r:id="rId6"/>
    <sheet name="Sheet1" sheetId="31" state="hidden" r:id="rId7"/>
    <sheet name="Sheet2" sheetId="36" state="hidden" r:id="rId8"/>
    <sheet name="Sheet3" sheetId="37" state="hidden" r:id="rId9"/>
  </sheets>
  <externalReferences>
    <externalReference r:id="rId10"/>
  </externalReferences>
  <definedNames>
    <definedName name="_Order1" hidden="1">0</definedName>
    <definedName name="_Order2" hidden="1">0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a" hidden="1">#REF!</definedName>
    <definedName name="Z_05AB59A7_9F04_4F70_A17E_8EF60EF35C7C_.wvu.PrintArea" localSheetId="0" hidden="1">'Cental Budget'!$B$13:$C$75</definedName>
    <definedName name="Z_05AB59A7_9F04_4F70_A17E_8EF60EF35C7C_.wvu.PrintArea" localSheetId="1" hidden="1">'Local Government'!$B$13:$M$59</definedName>
    <definedName name="Z_05AB59A7_9F04_4F70_A17E_8EF60EF35C7C_.wvu.PrintArea" localSheetId="2" hidden="1">'Public Expenditure'!$B$12:$M$74</definedName>
    <definedName name="Z_636A372C_EE02_4B23_8381_E3299ADF8816_.wvu.Cols" localSheetId="0" hidden="1">'Cental Budget'!#REF!</definedName>
    <definedName name="Z_636A372C_EE02_4B23_8381_E3299ADF8816_.wvu.Cols" localSheetId="1" hidden="1">'Local Government'!#REF!</definedName>
    <definedName name="Z_636A372C_EE02_4B23_8381_E3299ADF8816_.wvu.Cols" localSheetId="2" hidden="1">'Public Expenditure'!#REF!</definedName>
    <definedName name="Z_7AC1CC92_093E_4DA9_98F8_470D5521A68C_.wvu.Rows" localSheetId="0" hidden="1">'Cental Budget'!#REF!,'Cental Budget'!#REF!,'Cental Budget'!#REF!,'Cental Budget'!#REF!</definedName>
    <definedName name="Z_7AC1CC92_093E_4DA9_98F8_470D5521A68C_.wvu.Rows" localSheetId="1" hidden="1">'Local Government'!#REF!,'Local Government'!#REF!,'Local Government'!#REF!,'Local Government'!#REF!</definedName>
    <definedName name="Z_7AC1CC92_093E_4DA9_98F8_470D5521A68C_.wvu.Rows" localSheetId="2" hidden="1">'Public Expenditure'!#REF!,'Public Expenditure'!#REF!,'Public Expenditure'!#REF!,'Public Expenditure'!#REF!</definedName>
    <definedName name="Z_A32CDCC2_9D7B_41FA_91EC_562A88521235_.wvu.Cols" localSheetId="0" hidden="1">'Cental Budget'!#REF!,'Cental Budget'!#REF!</definedName>
    <definedName name="Z_A32CDCC2_9D7B_41FA_91EC_562A88521235_.wvu.Cols" localSheetId="1" hidden="1">'Local Government'!#REF!,'Local Government'!#REF!</definedName>
    <definedName name="Z_A32CDCC2_9D7B_41FA_91EC_562A88521235_.wvu.Cols" localSheetId="2" hidden="1">'Public Expenditure'!#REF!,'Public Expenditure'!#REF!</definedName>
    <definedName name="Z_F37FAB72_D883_4CEB_A5EC_0FA851AD2DC3_.wvu.Cols" localSheetId="0" hidden="1">'Cental Budget'!#REF!</definedName>
    <definedName name="Z_F37FAB72_D883_4CEB_A5EC_0FA851AD2DC3_.wvu.Cols" localSheetId="1" hidden="1">'Local Government'!#REF!</definedName>
    <definedName name="Z_F37FAB72_D883_4CEB_A5EC_0FA851AD2DC3_.wvu.Cols" localSheetId="2" hidden="1">'Public Expenditure'!#REF!</definedName>
  </definedNames>
  <calcPr calcId="162913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J71" i="10" l="1"/>
  <c r="J75" i="10"/>
  <c r="D47" i="10" l="1"/>
  <c r="L18" i="32" l="1"/>
  <c r="L19" i="32"/>
  <c r="L20" i="32"/>
  <c r="L21" i="32"/>
  <c r="L22" i="32"/>
  <c r="L23" i="32"/>
  <c r="L24" i="32"/>
  <c r="L25" i="32"/>
  <c r="D25" i="10" l="1"/>
  <c r="D49" i="32" l="1"/>
  <c r="J37" i="32" l="1"/>
  <c r="E68" i="10" l="1"/>
  <c r="G68" i="10"/>
  <c r="H68" i="10"/>
  <c r="I68" i="10"/>
  <c r="K68" i="10"/>
  <c r="L68" i="10"/>
  <c r="M68" i="10"/>
  <c r="C22" i="32" l="1"/>
  <c r="J49" i="32" l="1"/>
  <c r="D28" i="32" l="1"/>
  <c r="D40" i="33" l="1"/>
  <c r="F37" i="32"/>
  <c r="F28" i="32"/>
  <c r="F26" i="32" l="1"/>
  <c r="F27" i="32" s="1"/>
  <c r="D37" i="10" l="1"/>
  <c r="D17" i="33" l="1"/>
  <c r="F34" i="33" l="1"/>
  <c r="F38" i="33"/>
  <c r="J52" i="33" l="1"/>
  <c r="J51" i="33"/>
  <c r="J50" i="33"/>
  <c r="J49" i="33"/>
  <c r="J48" i="33"/>
  <c r="J34" i="33"/>
  <c r="J47" i="33" l="1"/>
  <c r="H22" i="10"/>
  <c r="H38" i="10"/>
  <c r="H60" i="32"/>
  <c r="D37" i="32" l="1"/>
  <c r="D26" i="32" s="1"/>
  <c r="D27" i="32" l="1"/>
  <c r="F58" i="33"/>
  <c r="F66" i="33"/>
  <c r="J66" i="33"/>
  <c r="D66" i="33"/>
  <c r="I66" i="33" l="1"/>
  <c r="L66" i="33"/>
  <c r="M66" i="33"/>
  <c r="H66" i="33"/>
  <c r="F40" i="33" l="1"/>
  <c r="F49" i="32"/>
  <c r="H49" i="32" s="1"/>
  <c r="M52" i="32"/>
  <c r="L52" i="32"/>
  <c r="I52" i="32"/>
  <c r="H52" i="32"/>
  <c r="F17" i="32"/>
  <c r="F16" i="32" s="1"/>
  <c r="F46" i="32" s="1"/>
  <c r="J17" i="33"/>
  <c r="J18" i="33"/>
  <c r="J19" i="33"/>
  <c r="J20" i="33"/>
  <c r="J21" i="33"/>
  <c r="J22" i="33"/>
  <c r="J23" i="33"/>
  <c r="J24" i="33"/>
  <c r="J26" i="33"/>
  <c r="J27" i="33"/>
  <c r="J28" i="33"/>
  <c r="J29" i="33"/>
  <c r="J30" i="33"/>
  <c r="J31" i="33"/>
  <c r="J32" i="33"/>
  <c r="J33" i="33"/>
  <c r="J38" i="33"/>
  <c r="J39" i="33"/>
  <c r="J40" i="33"/>
  <c r="J41" i="33"/>
  <c r="J42" i="33"/>
  <c r="J43" i="33"/>
  <c r="J44" i="33"/>
  <c r="J45" i="33"/>
  <c r="J46" i="33"/>
  <c r="J54" i="33"/>
  <c r="J55" i="33"/>
  <c r="J56" i="33"/>
  <c r="J57" i="33"/>
  <c r="J59" i="33"/>
  <c r="J58" i="33"/>
  <c r="J64" i="33"/>
  <c r="J65" i="33"/>
  <c r="J67" i="33"/>
  <c r="F17" i="33"/>
  <c r="F18" i="33"/>
  <c r="F19" i="33"/>
  <c r="F20" i="33"/>
  <c r="F21" i="33"/>
  <c r="F22" i="33"/>
  <c r="F23" i="33"/>
  <c r="F24" i="33"/>
  <c r="F26" i="33"/>
  <c r="F27" i="33"/>
  <c r="F28" i="33"/>
  <c r="F29" i="33"/>
  <c r="F30" i="33"/>
  <c r="F31" i="33"/>
  <c r="F32" i="33"/>
  <c r="F33" i="33"/>
  <c r="F39" i="33"/>
  <c r="F41" i="33"/>
  <c r="F42" i="33"/>
  <c r="F43" i="33"/>
  <c r="F44" i="33"/>
  <c r="F45" i="33"/>
  <c r="F46" i="33"/>
  <c r="F54" i="33"/>
  <c r="F55" i="33"/>
  <c r="F56" i="33"/>
  <c r="F57" i="33"/>
  <c r="F59" i="33"/>
  <c r="F64" i="33"/>
  <c r="F65" i="33"/>
  <c r="F67" i="33"/>
  <c r="D32" i="33"/>
  <c r="D30" i="33"/>
  <c r="D31" i="33"/>
  <c r="D18" i="33"/>
  <c r="D19" i="33"/>
  <c r="D20" i="33"/>
  <c r="D21" i="33"/>
  <c r="D22" i="33"/>
  <c r="D23" i="33"/>
  <c r="D24" i="33"/>
  <c r="D33" i="33"/>
  <c r="D34" i="33"/>
  <c r="D38" i="33"/>
  <c r="D39" i="33"/>
  <c r="D41" i="33"/>
  <c r="D42" i="33"/>
  <c r="D43" i="33"/>
  <c r="D44" i="33"/>
  <c r="D45" i="33"/>
  <c r="D46" i="33"/>
  <c r="D54" i="33"/>
  <c r="D55" i="33"/>
  <c r="D56" i="33"/>
  <c r="D57" i="33"/>
  <c r="D58" i="33"/>
  <c r="D59" i="33"/>
  <c r="D64" i="33"/>
  <c r="D65" i="33"/>
  <c r="D67" i="33"/>
  <c r="I45" i="32"/>
  <c r="M45" i="32"/>
  <c r="M44" i="32"/>
  <c r="L44" i="32"/>
  <c r="J11" i="32"/>
  <c r="K44" i="32" s="1"/>
  <c r="D11" i="32"/>
  <c r="G52" i="32" s="1"/>
  <c r="I44" i="32"/>
  <c r="H44" i="32"/>
  <c r="J17" i="32"/>
  <c r="J16" i="32" s="1"/>
  <c r="K16" i="32" s="1"/>
  <c r="J28" i="32"/>
  <c r="D17" i="32"/>
  <c r="D16" i="32" s="1"/>
  <c r="D46" i="32" s="1"/>
  <c r="M74" i="10"/>
  <c r="M73" i="10"/>
  <c r="M72" i="10"/>
  <c r="M69" i="10"/>
  <c r="M67" i="10"/>
  <c r="M66" i="10"/>
  <c r="H69" i="10"/>
  <c r="L69" i="10"/>
  <c r="K69" i="10"/>
  <c r="I69" i="10"/>
  <c r="G69" i="10"/>
  <c r="E69" i="10"/>
  <c r="D17" i="10"/>
  <c r="D25" i="33"/>
  <c r="E37" i="10"/>
  <c r="D65" i="10"/>
  <c r="E65" i="10" s="1"/>
  <c r="F17" i="10"/>
  <c r="F25" i="10"/>
  <c r="G25" i="10" s="1"/>
  <c r="F37" i="10"/>
  <c r="G37" i="10" s="1"/>
  <c r="F47" i="10"/>
  <c r="G47" i="10" s="1"/>
  <c r="F53" i="33"/>
  <c r="F65" i="10"/>
  <c r="G65" i="10" s="1"/>
  <c r="J17" i="10"/>
  <c r="K17" i="10" s="1"/>
  <c r="J25" i="10"/>
  <c r="K25" i="10" s="1"/>
  <c r="J37" i="10"/>
  <c r="J47" i="10"/>
  <c r="K47" i="10" s="1"/>
  <c r="J53" i="33"/>
  <c r="M61" i="10"/>
  <c r="M60" i="10"/>
  <c r="E18" i="10"/>
  <c r="E19" i="10"/>
  <c r="E20" i="10"/>
  <c r="E21" i="10"/>
  <c r="E22" i="10"/>
  <c r="E23" i="10"/>
  <c r="E24" i="10"/>
  <c r="F73" i="33"/>
  <c r="D73" i="33"/>
  <c r="J73" i="33"/>
  <c r="M54" i="10"/>
  <c r="M55" i="10"/>
  <c r="L54" i="10"/>
  <c r="L55" i="10"/>
  <c r="I54" i="10"/>
  <c r="I55" i="10"/>
  <c r="H54" i="10"/>
  <c r="H55" i="10"/>
  <c r="G55" i="10"/>
  <c r="G54" i="10"/>
  <c r="K55" i="10"/>
  <c r="K54" i="10"/>
  <c r="D52" i="33"/>
  <c r="D51" i="33"/>
  <c r="D50" i="33"/>
  <c r="D49" i="33"/>
  <c r="D48" i="33"/>
  <c r="C33" i="10"/>
  <c r="I24" i="32"/>
  <c r="H14" i="32"/>
  <c r="L14" i="32" s="1"/>
  <c r="D15" i="32"/>
  <c r="E15" i="32"/>
  <c r="F15" i="32"/>
  <c r="G15" i="32"/>
  <c r="H15" i="32"/>
  <c r="J15" i="32"/>
  <c r="K15" i="32"/>
  <c r="L15" i="32"/>
  <c r="C16" i="32"/>
  <c r="C17" i="32"/>
  <c r="C18" i="32"/>
  <c r="H18" i="32"/>
  <c r="I18" i="32"/>
  <c r="M18" i="32"/>
  <c r="C19" i="32"/>
  <c r="H19" i="32"/>
  <c r="I19" i="32"/>
  <c r="M19" i="32"/>
  <c r="H20" i="32"/>
  <c r="I20" i="32"/>
  <c r="M20" i="32"/>
  <c r="C21" i="32"/>
  <c r="C23" i="32"/>
  <c r="C24" i="32"/>
  <c r="H24" i="32"/>
  <c r="M24" i="32"/>
  <c r="H25" i="32"/>
  <c r="I25" i="32"/>
  <c r="M25" i="32"/>
  <c r="C26" i="32"/>
  <c r="C27" i="32"/>
  <c r="C28" i="32"/>
  <c r="C29" i="32"/>
  <c r="H29" i="32"/>
  <c r="I29" i="32"/>
  <c r="L29" i="32"/>
  <c r="M29" i="32"/>
  <c r="C30" i="32"/>
  <c r="H30" i="32"/>
  <c r="I30" i="32"/>
  <c r="L30" i="32"/>
  <c r="M30" i="32"/>
  <c r="C31" i="32"/>
  <c r="H31" i="32"/>
  <c r="I31" i="32"/>
  <c r="L31" i="32"/>
  <c r="M31" i="32"/>
  <c r="C32" i="32"/>
  <c r="H32" i="32"/>
  <c r="I32" i="32"/>
  <c r="L32" i="32"/>
  <c r="M32" i="32"/>
  <c r="C33" i="32"/>
  <c r="H33" i="32"/>
  <c r="I33" i="32"/>
  <c r="L33" i="32"/>
  <c r="M33" i="32"/>
  <c r="C34" i="32"/>
  <c r="H34" i="32"/>
  <c r="I34" i="32"/>
  <c r="L34" i="32"/>
  <c r="M34" i="32"/>
  <c r="C35" i="32"/>
  <c r="H35" i="32"/>
  <c r="I35" i="32"/>
  <c r="L35" i="32"/>
  <c r="M35" i="32"/>
  <c r="C36" i="32"/>
  <c r="H36" i="32"/>
  <c r="I36" i="32"/>
  <c r="L36" i="32"/>
  <c r="M36" i="32"/>
  <c r="C37" i="32"/>
  <c r="H38" i="32"/>
  <c r="I38" i="32"/>
  <c r="L38" i="32"/>
  <c r="M38" i="32"/>
  <c r="C39" i="32"/>
  <c r="C40" i="32"/>
  <c r="H40" i="32"/>
  <c r="I40" i="32"/>
  <c r="L40" i="32"/>
  <c r="M40" i="32"/>
  <c r="C41" i="32"/>
  <c r="H41" i="32"/>
  <c r="I41" i="32"/>
  <c r="L41" i="32"/>
  <c r="M41" i="32"/>
  <c r="C42" i="32"/>
  <c r="H42" i="32"/>
  <c r="I42" i="32"/>
  <c r="L42" i="32"/>
  <c r="M42" i="32"/>
  <c r="H43" i="32"/>
  <c r="I43" i="32"/>
  <c r="L43" i="32"/>
  <c r="M43" i="32"/>
  <c r="H45" i="32"/>
  <c r="L45" i="32"/>
  <c r="C46" i="32"/>
  <c r="C48" i="32"/>
  <c r="C49" i="32"/>
  <c r="C50" i="32"/>
  <c r="H50" i="32"/>
  <c r="I50" i="32"/>
  <c r="L50" i="32"/>
  <c r="M50" i="32"/>
  <c r="C51" i="32"/>
  <c r="H51" i="32"/>
  <c r="I51" i="32"/>
  <c r="L51" i="32"/>
  <c r="M51" i="32"/>
  <c r="H53" i="32"/>
  <c r="I53" i="32"/>
  <c r="L53" i="32"/>
  <c r="M53" i="32"/>
  <c r="C54" i="32"/>
  <c r="C55" i="32"/>
  <c r="C56" i="32"/>
  <c r="H56" i="32"/>
  <c r="I56" i="32"/>
  <c r="L56" i="32"/>
  <c r="M56" i="32"/>
  <c r="C57" i="32"/>
  <c r="H57" i="32"/>
  <c r="I57" i="32"/>
  <c r="L57" i="32"/>
  <c r="M57" i="32"/>
  <c r="C58" i="32"/>
  <c r="H58" i="32"/>
  <c r="I58" i="32"/>
  <c r="L58" i="32"/>
  <c r="M58" i="32"/>
  <c r="C59" i="32"/>
  <c r="I60" i="32"/>
  <c r="L60" i="32"/>
  <c r="M60" i="32"/>
  <c r="H39" i="32"/>
  <c r="I23" i="32"/>
  <c r="M23" i="32"/>
  <c r="L39" i="32"/>
  <c r="H23" i="32"/>
  <c r="M22" i="32"/>
  <c r="I22" i="32"/>
  <c r="M21" i="32"/>
  <c r="I21" i="32"/>
  <c r="M39" i="32"/>
  <c r="I39" i="32"/>
  <c r="H22" i="32"/>
  <c r="H21" i="32"/>
  <c r="E55" i="10"/>
  <c r="E54" i="10"/>
  <c r="D72" i="33"/>
  <c r="D71" i="33"/>
  <c r="D70" i="33"/>
  <c r="L74" i="10"/>
  <c r="J65" i="10"/>
  <c r="M65" i="10" s="1"/>
  <c r="H74" i="10"/>
  <c r="H73" i="10"/>
  <c r="H72" i="10"/>
  <c r="M58" i="10"/>
  <c r="M57" i="10"/>
  <c r="M56" i="10"/>
  <c r="M53" i="10"/>
  <c r="M52" i="10"/>
  <c r="M51" i="10"/>
  <c r="M50" i="10"/>
  <c r="M49" i="10"/>
  <c r="M48" i="10"/>
  <c r="M46" i="10"/>
  <c r="M45" i="10"/>
  <c r="M44" i="10"/>
  <c r="M43" i="10"/>
  <c r="M42" i="10"/>
  <c r="M41" i="10"/>
  <c r="M40" i="10"/>
  <c r="M39" i="10"/>
  <c r="M38" i="10"/>
  <c r="M34" i="10"/>
  <c r="M33" i="10"/>
  <c r="M32" i="10"/>
  <c r="M31" i="10"/>
  <c r="M30" i="10"/>
  <c r="M29" i="10"/>
  <c r="M28" i="10"/>
  <c r="M27" i="10"/>
  <c r="M26" i="10"/>
  <c r="M24" i="10"/>
  <c r="M23" i="10"/>
  <c r="M22" i="10"/>
  <c r="M21" i="10"/>
  <c r="M20" i="10"/>
  <c r="M19" i="10"/>
  <c r="M18" i="10"/>
  <c r="L56" i="10"/>
  <c r="M59" i="10"/>
  <c r="G79" i="36"/>
  <c r="J78" i="36"/>
  <c r="I78" i="36"/>
  <c r="H78" i="36"/>
  <c r="F78" i="36"/>
  <c r="D78" i="36"/>
  <c r="J77" i="36"/>
  <c r="I77" i="36"/>
  <c r="H77" i="36"/>
  <c r="F77" i="36"/>
  <c r="D77" i="36"/>
  <c r="J76" i="36"/>
  <c r="I76" i="36"/>
  <c r="H76" i="36"/>
  <c r="F76" i="36"/>
  <c r="D76" i="36"/>
  <c r="H74" i="36"/>
  <c r="J73" i="36"/>
  <c r="I73" i="36"/>
  <c r="H73" i="36"/>
  <c r="F73" i="36"/>
  <c r="D73" i="36"/>
  <c r="J72" i="36"/>
  <c r="I72" i="36"/>
  <c r="H72" i="36"/>
  <c r="F72" i="36"/>
  <c r="D72" i="36"/>
  <c r="J71" i="36"/>
  <c r="I71" i="36"/>
  <c r="H71" i="36"/>
  <c r="F71" i="36"/>
  <c r="D71" i="36"/>
  <c r="H70" i="36"/>
  <c r="G70" i="36"/>
  <c r="E70" i="36"/>
  <c r="J70" i="36"/>
  <c r="D70" i="36"/>
  <c r="C70" i="36"/>
  <c r="J67" i="36"/>
  <c r="I67" i="36"/>
  <c r="H67" i="36"/>
  <c r="F67" i="36"/>
  <c r="D67" i="36"/>
  <c r="J66" i="36"/>
  <c r="I66" i="36"/>
  <c r="H66" i="36"/>
  <c r="F66" i="36"/>
  <c r="D66" i="36"/>
  <c r="J65" i="36"/>
  <c r="I65" i="36"/>
  <c r="H65" i="36"/>
  <c r="F65" i="36"/>
  <c r="D65" i="36"/>
  <c r="J64" i="36"/>
  <c r="I64" i="36"/>
  <c r="H64" i="36"/>
  <c r="F64" i="36"/>
  <c r="D64" i="36"/>
  <c r="J63" i="36"/>
  <c r="I63" i="36"/>
  <c r="H63" i="36"/>
  <c r="F63" i="36"/>
  <c r="D63" i="36"/>
  <c r="J62" i="36"/>
  <c r="I62" i="36"/>
  <c r="H62" i="36"/>
  <c r="F62" i="36"/>
  <c r="D62" i="36"/>
  <c r="J61" i="36"/>
  <c r="I61" i="36"/>
  <c r="H61" i="36"/>
  <c r="F61" i="36"/>
  <c r="D61" i="36"/>
  <c r="G60" i="36"/>
  <c r="E60" i="36"/>
  <c r="C60" i="36"/>
  <c r="D60" i="36"/>
  <c r="J59" i="36"/>
  <c r="I59" i="36"/>
  <c r="H59" i="36"/>
  <c r="F59" i="36"/>
  <c r="D59" i="36"/>
  <c r="J58" i="36"/>
  <c r="I58" i="36"/>
  <c r="H58" i="36"/>
  <c r="F58" i="36"/>
  <c r="D58" i="36"/>
  <c r="J57" i="36"/>
  <c r="I57" i="36"/>
  <c r="H57" i="36"/>
  <c r="F57" i="36"/>
  <c r="D57" i="36"/>
  <c r="J56" i="36"/>
  <c r="I56" i="36"/>
  <c r="H56" i="36"/>
  <c r="F56" i="36"/>
  <c r="D56" i="36"/>
  <c r="J55" i="36"/>
  <c r="I55" i="36"/>
  <c r="H55" i="36"/>
  <c r="F55" i="36"/>
  <c r="D55" i="36"/>
  <c r="G54" i="36"/>
  <c r="H54" i="36"/>
  <c r="E54" i="36"/>
  <c r="F54" i="36"/>
  <c r="C54" i="36"/>
  <c r="D54" i="36"/>
  <c r="J53" i="36"/>
  <c r="I53" i="36"/>
  <c r="H53" i="36"/>
  <c r="F53" i="36"/>
  <c r="D53" i="36"/>
  <c r="J52" i="36"/>
  <c r="I52" i="36"/>
  <c r="H52" i="36"/>
  <c r="F52" i="36"/>
  <c r="D52" i="36"/>
  <c r="J51" i="36"/>
  <c r="I51" i="36"/>
  <c r="H51" i="36"/>
  <c r="F51" i="36"/>
  <c r="D51" i="36"/>
  <c r="J50" i="36"/>
  <c r="I50" i="36"/>
  <c r="H50" i="36"/>
  <c r="F50" i="36"/>
  <c r="D50" i="36"/>
  <c r="J49" i="36"/>
  <c r="I49" i="36"/>
  <c r="H49" i="36"/>
  <c r="F49" i="36"/>
  <c r="D49" i="36"/>
  <c r="J48" i="36"/>
  <c r="I48" i="36"/>
  <c r="H48" i="36"/>
  <c r="F48" i="36"/>
  <c r="D48" i="36"/>
  <c r="J47" i="36"/>
  <c r="I47" i="36"/>
  <c r="H47" i="36"/>
  <c r="F47" i="36"/>
  <c r="D47" i="36"/>
  <c r="J46" i="36"/>
  <c r="I46" i="36"/>
  <c r="H46" i="36"/>
  <c r="F46" i="36"/>
  <c r="D46" i="36"/>
  <c r="J45" i="36"/>
  <c r="I45" i="36"/>
  <c r="H45" i="36"/>
  <c r="F45" i="36"/>
  <c r="D45" i="36"/>
  <c r="J44" i="36"/>
  <c r="I44" i="36"/>
  <c r="H44" i="36"/>
  <c r="F44" i="36"/>
  <c r="D44" i="36"/>
  <c r="G43" i="36"/>
  <c r="E43" i="36"/>
  <c r="F43" i="36"/>
  <c r="C43" i="36"/>
  <c r="D43" i="36"/>
  <c r="J40" i="36"/>
  <c r="I40" i="36"/>
  <c r="H40" i="36"/>
  <c r="F40" i="36"/>
  <c r="D40" i="36"/>
  <c r="J39" i="36"/>
  <c r="I39" i="36"/>
  <c r="H39" i="36"/>
  <c r="F39" i="36"/>
  <c r="D39" i="36"/>
  <c r="J38" i="36"/>
  <c r="I38" i="36"/>
  <c r="H38" i="36"/>
  <c r="F38" i="36"/>
  <c r="D38" i="36"/>
  <c r="J37" i="36"/>
  <c r="I37" i="36"/>
  <c r="H37" i="36"/>
  <c r="F37" i="36"/>
  <c r="D37" i="36"/>
  <c r="J36" i="36"/>
  <c r="I36" i="36"/>
  <c r="H36" i="36"/>
  <c r="F36" i="36"/>
  <c r="D36" i="36"/>
  <c r="J35" i="36"/>
  <c r="I35" i="36"/>
  <c r="H35" i="36"/>
  <c r="F35" i="36"/>
  <c r="D35" i="36"/>
  <c r="G34" i="36"/>
  <c r="H34" i="36"/>
  <c r="E34" i="36"/>
  <c r="F34" i="36"/>
  <c r="D34" i="36"/>
  <c r="C34" i="36"/>
  <c r="J33" i="36"/>
  <c r="I33" i="36"/>
  <c r="H33" i="36"/>
  <c r="F33" i="36"/>
  <c r="D33" i="36"/>
  <c r="J32" i="36"/>
  <c r="I32" i="36"/>
  <c r="H32" i="36"/>
  <c r="F32" i="36"/>
  <c r="D32" i="36"/>
  <c r="J31" i="36"/>
  <c r="I31" i="36"/>
  <c r="H31" i="36"/>
  <c r="F31" i="36"/>
  <c r="D31" i="36"/>
  <c r="J30" i="36"/>
  <c r="I30" i="36"/>
  <c r="H30" i="36"/>
  <c r="F30" i="36"/>
  <c r="D30" i="36"/>
  <c r="J29" i="36"/>
  <c r="I29" i="36"/>
  <c r="H29" i="36"/>
  <c r="F29" i="36"/>
  <c r="D29" i="36"/>
  <c r="J28" i="36"/>
  <c r="I28" i="36"/>
  <c r="H28" i="36"/>
  <c r="F28" i="36"/>
  <c r="D28" i="36"/>
  <c r="G27" i="36"/>
  <c r="H27" i="36"/>
  <c r="E27" i="36"/>
  <c r="F27" i="36"/>
  <c r="C27" i="36"/>
  <c r="D27" i="36"/>
  <c r="J26" i="36"/>
  <c r="I26" i="36"/>
  <c r="H26" i="36"/>
  <c r="F26" i="36"/>
  <c r="D26" i="36"/>
  <c r="J25" i="36"/>
  <c r="I25" i="36"/>
  <c r="H25" i="36"/>
  <c r="F25" i="36"/>
  <c r="D25" i="36"/>
  <c r="J24" i="36"/>
  <c r="I24" i="36"/>
  <c r="H24" i="36"/>
  <c r="F24" i="36"/>
  <c r="D24" i="36"/>
  <c r="J23" i="36"/>
  <c r="I23" i="36"/>
  <c r="H23" i="36"/>
  <c r="F23" i="36"/>
  <c r="D23" i="36"/>
  <c r="G22" i="36"/>
  <c r="H22" i="36"/>
  <c r="F22" i="36"/>
  <c r="E22" i="36"/>
  <c r="C22" i="36"/>
  <c r="D22" i="36"/>
  <c r="J21" i="36"/>
  <c r="I21" i="36"/>
  <c r="H21" i="36"/>
  <c r="F21" i="36"/>
  <c r="D21" i="36"/>
  <c r="J20" i="36"/>
  <c r="I20" i="36"/>
  <c r="H20" i="36"/>
  <c r="F20" i="36"/>
  <c r="D20" i="36"/>
  <c r="J19" i="36"/>
  <c r="I19" i="36"/>
  <c r="H19" i="36"/>
  <c r="F19" i="36"/>
  <c r="D19" i="36"/>
  <c r="L18" i="36"/>
  <c r="J18" i="36"/>
  <c r="I18" i="36"/>
  <c r="H18" i="36"/>
  <c r="F18" i="36"/>
  <c r="D18" i="36"/>
  <c r="G17" i="36"/>
  <c r="H17" i="36"/>
  <c r="E17" i="36"/>
  <c r="F17" i="36"/>
  <c r="C17" i="36"/>
  <c r="D17" i="36"/>
  <c r="J16" i="36"/>
  <c r="I16" i="36"/>
  <c r="H16" i="36"/>
  <c r="F16" i="36"/>
  <c r="D16" i="36"/>
  <c r="J15" i="36"/>
  <c r="I15" i="36"/>
  <c r="H15" i="36"/>
  <c r="F15" i="36"/>
  <c r="D15" i="36"/>
  <c r="J14" i="36"/>
  <c r="I14" i="36"/>
  <c r="H14" i="36"/>
  <c r="F14" i="36"/>
  <c r="D14" i="36"/>
  <c r="M13" i="36"/>
  <c r="L13" i="36"/>
  <c r="J13" i="36"/>
  <c r="I13" i="36"/>
  <c r="H13" i="36"/>
  <c r="F13" i="36"/>
  <c r="D13" i="36"/>
  <c r="J12" i="36"/>
  <c r="I12" i="36"/>
  <c r="H12" i="36"/>
  <c r="F12" i="36"/>
  <c r="D12" i="36"/>
  <c r="J11" i="36"/>
  <c r="I11" i="36"/>
  <c r="H11" i="36"/>
  <c r="F11" i="36"/>
  <c r="D11" i="36"/>
  <c r="J10" i="36"/>
  <c r="I10" i="36"/>
  <c r="H10" i="36"/>
  <c r="F10" i="36"/>
  <c r="D10" i="36"/>
  <c r="G9" i="36"/>
  <c r="G8" i="36"/>
  <c r="L16" i="36"/>
  <c r="E9" i="36"/>
  <c r="F9" i="36"/>
  <c r="C9" i="36"/>
  <c r="C8" i="36"/>
  <c r="D7" i="36"/>
  <c r="C7" i="36"/>
  <c r="P7" i="31"/>
  <c r="P6" i="31"/>
  <c r="P5" i="31"/>
  <c r="E22" i="30"/>
  <c r="E21" i="30"/>
  <c r="E20" i="30"/>
  <c r="E19" i="30"/>
  <c r="E18" i="30"/>
  <c r="G18" i="30"/>
  <c r="E15" i="30"/>
  <c r="E14" i="30"/>
  <c r="E13" i="30"/>
  <c r="E12" i="30"/>
  <c r="G12" i="30"/>
  <c r="E11" i="30"/>
  <c r="E9" i="30"/>
  <c r="E7" i="30"/>
  <c r="G7" i="30"/>
  <c r="E8" i="30"/>
  <c r="D58" i="29"/>
  <c r="D57" i="29"/>
  <c r="D56" i="29"/>
  <c r="D55" i="29"/>
  <c r="D53" i="29"/>
  <c r="D52" i="29"/>
  <c r="D45" i="29"/>
  <c r="D44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F4" i="29"/>
  <c r="C75" i="33"/>
  <c r="J72" i="33"/>
  <c r="F72" i="33"/>
  <c r="J71" i="33"/>
  <c r="F71" i="33"/>
  <c r="J70" i="33"/>
  <c r="F70" i="33"/>
  <c r="F52" i="33"/>
  <c r="F51" i="33"/>
  <c r="F50" i="33"/>
  <c r="F49" i="33"/>
  <c r="F48" i="33"/>
  <c r="C33" i="33"/>
  <c r="C32" i="33"/>
  <c r="C31" i="33"/>
  <c r="C30" i="33"/>
  <c r="D29" i="33"/>
  <c r="C29" i="33"/>
  <c r="D28" i="33"/>
  <c r="C28" i="33"/>
  <c r="D27" i="33"/>
  <c r="C27" i="33"/>
  <c r="D26" i="33"/>
  <c r="C26" i="33"/>
  <c r="C25" i="33"/>
  <c r="C22" i="33"/>
  <c r="C21" i="33"/>
  <c r="C20" i="33"/>
  <c r="C19" i="33"/>
  <c r="C18" i="33"/>
  <c r="C17" i="33"/>
  <c r="C16" i="33"/>
  <c r="C15" i="33"/>
  <c r="L14" i="33"/>
  <c r="K14" i="33"/>
  <c r="J14" i="33"/>
  <c r="H14" i="33"/>
  <c r="G14" i="33"/>
  <c r="F14" i="33"/>
  <c r="E14" i="33"/>
  <c r="D14" i="33"/>
  <c r="C14" i="33"/>
  <c r="H13" i="33"/>
  <c r="L13" i="33" s="1"/>
  <c r="J11" i="33"/>
  <c r="K66" i="33" s="1"/>
  <c r="D11" i="33"/>
  <c r="C11" i="33"/>
  <c r="C61" i="32"/>
  <c r="K11" i="32"/>
  <c r="C76" i="10"/>
  <c r="K74" i="10"/>
  <c r="I74" i="10"/>
  <c r="G74" i="10"/>
  <c r="E74" i="10"/>
  <c r="L73" i="10"/>
  <c r="K73" i="10"/>
  <c r="I73" i="10"/>
  <c r="G73" i="10"/>
  <c r="E73" i="10"/>
  <c r="L72" i="10"/>
  <c r="K72" i="10"/>
  <c r="I72" i="10"/>
  <c r="G72" i="10"/>
  <c r="E72" i="10"/>
  <c r="L67" i="10"/>
  <c r="K67" i="10"/>
  <c r="I67" i="10"/>
  <c r="H67" i="10"/>
  <c r="G67" i="10"/>
  <c r="E67" i="10"/>
  <c r="L66" i="10"/>
  <c r="K66" i="10"/>
  <c r="I66" i="10"/>
  <c r="H66" i="10"/>
  <c r="G66" i="10"/>
  <c r="E66" i="10"/>
  <c r="L61" i="10"/>
  <c r="K61" i="10"/>
  <c r="I61" i="10"/>
  <c r="H61" i="10"/>
  <c r="G61" i="10"/>
  <c r="E61" i="10"/>
  <c r="L60" i="10"/>
  <c r="K60" i="10"/>
  <c r="I60" i="10"/>
  <c r="H60" i="10"/>
  <c r="G60" i="10"/>
  <c r="E60" i="10"/>
  <c r="L59" i="10"/>
  <c r="K59" i="10"/>
  <c r="I59" i="10"/>
  <c r="H59" i="10"/>
  <c r="G59" i="10"/>
  <c r="E59" i="10"/>
  <c r="L58" i="10"/>
  <c r="K58" i="10"/>
  <c r="I58" i="10"/>
  <c r="H58" i="10"/>
  <c r="G58" i="10"/>
  <c r="E58" i="10"/>
  <c r="L57" i="10"/>
  <c r="K57" i="10"/>
  <c r="I57" i="10"/>
  <c r="H57" i="10"/>
  <c r="G57" i="10"/>
  <c r="E57" i="10"/>
  <c r="K56" i="10"/>
  <c r="I56" i="10"/>
  <c r="H56" i="10"/>
  <c r="G56" i="10"/>
  <c r="E56" i="10"/>
  <c r="L53" i="10"/>
  <c r="K53" i="10"/>
  <c r="I53" i="10"/>
  <c r="E53" i="10"/>
  <c r="L52" i="10"/>
  <c r="K52" i="10"/>
  <c r="I52" i="10"/>
  <c r="H52" i="10"/>
  <c r="G52" i="10"/>
  <c r="E52" i="10"/>
  <c r="L51" i="10"/>
  <c r="K51" i="10"/>
  <c r="I51" i="10"/>
  <c r="H51" i="10"/>
  <c r="G51" i="10"/>
  <c r="E51" i="10"/>
  <c r="L50" i="10"/>
  <c r="K50" i="10"/>
  <c r="I50" i="10"/>
  <c r="H50" i="10"/>
  <c r="G50" i="10"/>
  <c r="E50" i="10"/>
  <c r="L49" i="10"/>
  <c r="K49" i="10"/>
  <c r="I49" i="10"/>
  <c r="H49" i="10"/>
  <c r="G49" i="10"/>
  <c r="E49" i="10"/>
  <c r="L48" i="10"/>
  <c r="K48" i="10"/>
  <c r="I48" i="10"/>
  <c r="H48" i="10"/>
  <c r="G48" i="10"/>
  <c r="E48" i="10"/>
  <c r="L46" i="10"/>
  <c r="K46" i="10"/>
  <c r="I46" i="10"/>
  <c r="H46" i="10"/>
  <c r="G46" i="10"/>
  <c r="E46" i="10"/>
  <c r="L45" i="10"/>
  <c r="K45" i="10"/>
  <c r="I45" i="10"/>
  <c r="H45" i="10"/>
  <c r="G45" i="10"/>
  <c r="E45" i="10"/>
  <c r="L44" i="10"/>
  <c r="K44" i="10"/>
  <c r="I44" i="10"/>
  <c r="H44" i="10"/>
  <c r="G44" i="10"/>
  <c r="E44" i="10"/>
  <c r="L43" i="10"/>
  <c r="K43" i="10"/>
  <c r="I43" i="10"/>
  <c r="H43" i="10"/>
  <c r="G43" i="10"/>
  <c r="E43" i="10"/>
  <c r="L42" i="10"/>
  <c r="K42" i="10"/>
  <c r="I42" i="10"/>
  <c r="H42" i="10"/>
  <c r="G42" i="10"/>
  <c r="E42" i="10"/>
  <c r="L41" i="10"/>
  <c r="K41" i="10"/>
  <c r="I41" i="10"/>
  <c r="H41" i="10"/>
  <c r="G41" i="10"/>
  <c r="E41" i="10"/>
  <c r="L40" i="10"/>
  <c r="K40" i="10"/>
  <c r="I40" i="10"/>
  <c r="H40" i="10"/>
  <c r="G40" i="10"/>
  <c r="E40" i="10"/>
  <c r="L39" i="10"/>
  <c r="K39" i="10"/>
  <c r="I39" i="10"/>
  <c r="H39" i="10"/>
  <c r="G39" i="10"/>
  <c r="E39" i="10"/>
  <c r="L38" i="10"/>
  <c r="K38" i="10"/>
  <c r="I38" i="10"/>
  <c r="G38" i="10"/>
  <c r="E38" i="10"/>
  <c r="L34" i="10"/>
  <c r="K34" i="10"/>
  <c r="I34" i="10"/>
  <c r="H34" i="10"/>
  <c r="G34" i="10"/>
  <c r="E34" i="10"/>
  <c r="L33" i="10"/>
  <c r="K33" i="10"/>
  <c r="I33" i="10"/>
  <c r="H33" i="10"/>
  <c r="G33" i="10"/>
  <c r="E33" i="10"/>
  <c r="L32" i="10"/>
  <c r="K32" i="10"/>
  <c r="I32" i="10"/>
  <c r="H32" i="10"/>
  <c r="G32" i="10"/>
  <c r="E32" i="10"/>
  <c r="C32" i="10"/>
  <c r="L31" i="10"/>
  <c r="K31" i="10"/>
  <c r="I31" i="10"/>
  <c r="H31" i="10"/>
  <c r="G31" i="10"/>
  <c r="E31" i="10"/>
  <c r="C31" i="10"/>
  <c r="L30" i="10"/>
  <c r="K30" i="10"/>
  <c r="I30" i="10"/>
  <c r="H30" i="10"/>
  <c r="G30" i="10"/>
  <c r="E30" i="10"/>
  <c r="C30" i="10"/>
  <c r="L29" i="10"/>
  <c r="K29" i="10"/>
  <c r="I29" i="10"/>
  <c r="H29" i="10"/>
  <c r="G29" i="10"/>
  <c r="E29" i="10"/>
  <c r="C29" i="10"/>
  <c r="L28" i="10"/>
  <c r="K28" i="10"/>
  <c r="I28" i="10"/>
  <c r="H28" i="10"/>
  <c r="G28" i="10"/>
  <c r="E28" i="10"/>
  <c r="C28" i="10"/>
  <c r="L27" i="10"/>
  <c r="K27" i="10"/>
  <c r="I27" i="10"/>
  <c r="H27" i="10"/>
  <c r="G27" i="10"/>
  <c r="E27" i="10"/>
  <c r="C27" i="10"/>
  <c r="L26" i="10"/>
  <c r="K26" i="10"/>
  <c r="I26" i="10"/>
  <c r="H26" i="10"/>
  <c r="G26" i="10"/>
  <c r="E26" i="10"/>
  <c r="C26" i="10"/>
  <c r="C25" i="10"/>
  <c r="L24" i="10"/>
  <c r="K24" i="10"/>
  <c r="I24" i="10"/>
  <c r="H24" i="10"/>
  <c r="G24" i="10"/>
  <c r="L23" i="10"/>
  <c r="K23" i="10"/>
  <c r="I23" i="10"/>
  <c r="H23" i="10"/>
  <c r="G23" i="10"/>
  <c r="C23" i="10"/>
  <c r="L22" i="10"/>
  <c r="K22" i="10"/>
  <c r="I22" i="10"/>
  <c r="G22" i="10"/>
  <c r="C22" i="10"/>
  <c r="L21" i="10"/>
  <c r="K21" i="10"/>
  <c r="I21" i="10"/>
  <c r="H21" i="10"/>
  <c r="G21" i="10"/>
  <c r="C21" i="10"/>
  <c r="L20" i="10"/>
  <c r="K20" i="10"/>
  <c r="I20" i="10"/>
  <c r="H20" i="10"/>
  <c r="G20" i="10"/>
  <c r="C20" i="10"/>
  <c r="L19" i="10"/>
  <c r="K19" i="10"/>
  <c r="I19" i="10"/>
  <c r="H19" i="10"/>
  <c r="G19" i="10"/>
  <c r="C19" i="10"/>
  <c r="L18" i="10"/>
  <c r="K18" i="10"/>
  <c r="I18" i="10"/>
  <c r="H18" i="10"/>
  <c r="G18" i="10"/>
  <c r="C18" i="10"/>
  <c r="C17" i="10"/>
  <c r="C16" i="10"/>
  <c r="E15" i="10"/>
  <c r="D15" i="10"/>
  <c r="C15" i="10"/>
  <c r="L14" i="10"/>
  <c r="C14" i="10"/>
  <c r="C11" i="10"/>
  <c r="C11" i="32" s="1"/>
  <c r="J9" i="10"/>
  <c r="J8" i="10"/>
  <c r="J27" i="36"/>
  <c r="I22" i="36"/>
  <c r="J22" i="36"/>
  <c r="J34" i="36"/>
  <c r="H43" i="36"/>
  <c r="I54" i="36"/>
  <c r="J54" i="36"/>
  <c r="I70" i="36"/>
  <c r="I17" i="36"/>
  <c r="J60" i="36"/>
  <c r="H60" i="36"/>
  <c r="G41" i="36"/>
  <c r="H79" i="36"/>
  <c r="G75" i="36"/>
  <c r="J17" i="36"/>
  <c r="F60" i="36"/>
  <c r="I60" i="36"/>
  <c r="G42" i="36"/>
  <c r="H41" i="36"/>
  <c r="H75" i="36"/>
  <c r="E41" i="36"/>
  <c r="F41" i="36"/>
  <c r="I9" i="36"/>
  <c r="H9" i="36"/>
  <c r="I27" i="36"/>
  <c r="E6" i="30"/>
  <c r="J43" i="36"/>
  <c r="I43" i="36"/>
  <c r="E5" i="30"/>
  <c r="E4" i="30"/>
  <c r="D5" i="29"/>
  <c r="D4" i="29"/>
  <c r="G4" i="29"/>
  <c r="D8" i="36"/>
  <c r="H42" i="36"/>
  <c r="J41" i="36"/>
  <c r="E42" i="36"/>
  <c r="E8" i="36"/>
  <c r="I8" i="36"/>
  <c r="C41" i="36"/>
  <c r="C68" i="36"/>
  <c r="J9" i="36"/>
  <c r="I34" i="36"/>
  <c r="D9" i="36"/>
  <c r="F70" i="36"/>
  <c r="H8" i="36"/>
  <c r="G68" i="36"/>
  <c r="E10" i="30"/>
  <c r="G4" i="30"/>
  <c r="K29" i="32"/>
  <c r="K41" i="32"/>
  <c r="K60" i="32"/>
  <c r="I41" i="36"/>
  <c r="C69" i="36"/>
  <c r="D69" i="36"/>
  <c r="C74" i="36"/>
  <c r="D68" i="36"/>
  <c r="J42" i="36"/>
  <c r="F42" i="36"/>
  <c r="G69" i="36"/>
  <c r="H68" i="36"/>
  <c r="C42" i="36"/>
  <c r="D42" i="36"/>
  <c r="D41" i="36"/>
  <c r="E68" i="36"/>
  <c r="J68" i="36"/>
  <c r="F8" i="36"/>
  <c r="J8" i="36"/>
  <c r="I42" i="36"/>
  <c r="G10" i="30"/>
  <c r="E17" i="30"/>
  <c r="E69" i="36"/>
  <c r="F69" i="36"/>
  <c r="F68" i="36"/>
  <c r="E74" i="36"/>
  <c r="D74" i="36"/>
  <c r="C79" i="36"/>
  <c r="H69" i="36"/>
  <c r="I68" i="36"/>
  <c r="E23" i="30"/>
  <c r="G23" i="30"/>
  <c r="G17" i="30"/>
  <c r="I69" i="36"/>
  <c r="J69" i="36"/>
  <c r="C75" i="36"/>
  <c r="D75" i="36"/>
  <c r="D79" i="36"/>
  <c r="I74" i="36"/>
  <c r="F74" i="36"/>
  <c r="J74" i="36"/>
  <c r="E79" i="36"/>
  <c r="I79" i="36"/>
  <c r="F79" i="36"/>
  <c r="J79" i="36"/>
  <c r="E75" i="36"/>
  <c r="F75" i="36"/>
  <c r="J75" i="36"/>
  <c r="I75" i="36"/>
  <c r="L47" i="10" l="1"/>
  <c r="D63" i="33"/>
  <c r="K49" i="32"/>
  <c r="K34" i="32"/>
  <c r="K36" i="32"/>
  <c r="M17" i="10"/>
  <c r="E25" i="10"/>
  <c r="I25" i="10"/>
  <c r="K23" i="32"/>
  <c r="K58" i="32"/>
  <c r="K21" i="32"/>
  <c r="K45" i="32"/>
  <c r="K57" i="32"/>
  <c r="K30" i="32"/>
  <c r="J26" i="32"/>
  <c r="L26" i="32" s="1"/>
  <c r="K35" i="32"/>
  <c r="K19" i="32"/>
  <c r="K40" i="32"/>
  <c r="J46" i="32"/>
  <c r="G17" i="32"/>
  <c r="J35" i="10"/>
  <c r="K35" i="10" s="1"/>
  <c r="M47" i="10"/>
  <c r="E47" i="10"/>
  <c r="I47" i="10"/>
  <c r="M25" i="10"/>
  <c r="K37" i="32"/>
  <c r="F47" i="33"/>
  <c r="G47" i="33" s="1"/>
  <c r="H67" i="33"/>
  <c r="M17" i="32"/>
  <c r="G53" i="10"/>
  <c r="D16" i="10"/>
  <c r="H47" i="10"/>
  <c r="L25" i="10"/>
  <c r="H53" i="10"/>
  <c r="E24" i="33"/>
  <c r="E58" i="32"/>
  <c r="E29" i="32"/>
  <c r="L65" i="10"/>
  <c r="K65" i="10"/>
  <c r="I37" i="10"/>
  <c r="H37" i="10"/>
  <c r="H65" i="10"/>
  <c r="L39" i="33"/>
  <c r="J16" i="10"/>
  <c r="H25" i="10"/>
  <c r="L71" i="33"/>
  <c r="L37" i="10"/>
  <c r="K37" i="10"/>
  <c r="M37" i="10"/>
  <c r="F35" i="10"/>
  <c r="F36" i="10" s="1"/>
  <c r="G36" i="10" s="1"/>
  <c r="I65" i="10"/>
  <c r="D53" i="33"/>
  <c r="L53" i="33" s="1"/>
  <c r="D35" i="10"/>
  <c r="H72" i="33"/>
  <c r="E59" i="33"/>
  <c r="D47" i="33"/>
  <c r="E47" i="33" s="1"/>
  <c r="F16" i="10"/>
  <c r="G16" i="10" s="1"/>
  <c r="I17" i="10"/>
  <c r="G17" i="10"/>
  <c r="L17" i="10"/>
  <c r="H17" i="10"/>
  <c r="E17" i="10"/>
  <c r="E31" i="33"/>
  <c r="E49" i="33"/>
  <c r="G66" i="33"/>
  <c r="E66" i="33"/>
  <c r="K28" i="32"/>
  <c r="F63" i="33"/>
  <c r="L19" i="33"/>
  <c r="E55" i="33"/>
  <c r="E26" i="33"/>
  <c r="E27" i="33"/>
  <c r="K50" i="33"/>
  <c r="E71" i="33"/>
  <c r="E51" i="33"/>
  <c r="G73" i="33"/>
  <c r="E65" i="33"/>
  <c r="E57" i="33"/>
  <c r="E40" i="33"/>
  <c r="E22" i="33"/>
  <c r="E18" i="33"/>
  <c r="E32" i="33"/>
  <c r="G58" i="33"/>
  <c r="G55" i="33"/>
  <c r="G34" i="33"/>
  <c r="G26" i="33"/>
  <c r="G21" i="33"/>
  <c r="G17" i="33"/>
  <c r="K58" i="33"/>
  <c r="K55" i="33"/>
  <c r="K31" i="33"/>
  <c r="K27" i="33"/>
  <c r="K22" i="33"/>
  <c r="G40" i="33"/>
  <c r="G51" i="33"/>
  <c r="G70" i="33"/>
  <c r="E48" i="33"/>
  <c r="E52" i="33"/>
  <c r="E64" i="33"/>
  <c r="E56" i="33"/>
  <c r="E42" i="33"/>
  <c r="E39" i="33"/>
  <c r="E25" i="33"/>
  <c r="G54" i="33"/>
  <c r="G33" i="33"/>
  <c r="G29" i="33"/>
  <c r="G20" i="33"/>
  <c r="K59" i="33"/>
  <c r="K54" i="33"/>
  <c r="K44" i="33"/>
  <c r="K30" i="33"/>
  <c r="K26" i="33"/>
  <c r="K21" i="33"/>
  <c r="K51" i="33"/>
  <c r="K72" i="33"/>
  <c r="E45" i="33"/>
  <c r="E41" i="33"/>
  <c r="E38" i="33"/>
  <c r="E20" i="33"/>
  <c r="G65" i="33"/>
  <c r="G28" i="33"/>
  <c r="G23" i="33"/>
  <c r="K65" i="33"/>
  <c r="K43" i="33"/>
  <c r="K33" i="33"/>
  <c r="K29" i="33"/>
  <c r="K24" i="33"/>
  <c r="K20" i="33"/>
  <c r="G53" i="33"/>
  <c r="G48" i="33"/>
  <c r="G50" i="33"/>
  <c r="G52" i="33"/>
  <c r="E70" i="33"/>
  <c r="E50" i="33"/>
  <c r="E73" i="33"/>
  <c r="E67" i="33"/>
  <c r="E54" i="33"/>
  <c r="E44" i="33"/>
  <c r="E34" i="33"/>
  <c r="E23" i="33"/>
  <c r="G42" i="33"/>
  <c r="G38" i="33"/>
  <c r="G31" i="33"/>
  <c r="G22" i="33"/>
  <c r="K42" i="33"/>
  <c r="K39" i="33"/>
  <c r="K32" i="33"/>
  <c r="K28" i="33"/>
  <c r="K53" i="33"/>
  <c r="I49" i="32"/>
  <c r="G29" i="32"/>
  <c r="K52" i="32"/>
  <c r="G49" i="32"/>
  <c r="H54" i="33"/>
  <c r="K17" i="32"/>
  <c r="K39" i="32"/>
  <c r="K53" i="32"/>
  <c r="K33" i="32"/>
  <c r="K18" i="32"/>
  <c r="K56" i="32"/>
  <c r="K38" i="32"/>
  <c r="K43" i="32"/>
  <c r="K24" i="32"/>
  <c r="E23" i="32"/>
  <c r="E25" i="32"/>
  <c r="H49" i="33"/>
  <c r="H58" i="33"/>
  <c r="L43" i="33"/>
  <c r="K22" i="32"/>
  <c r="K50" i="32"/>
  <c r="K51" i="32"/>
  <c r="K25" i="32"/>
  <c r="K32" i="32"/>
  <c r="K42" i="32"/>
  <c r="K20" i="32"/>
  <c r="K31" i="32"/>
  <c r="E49" i="32"/>
  <c r="G20" i="32"/>
  <c r="G32" i="32"/>
  <c r="M49" i="33"/>
  <c r="H64" i="33"/>
  <c r="L29" i="33"/>
  <c r="I56" i="33"/>
  <c r="H18" i="33"/>
  <c r="L56" i="33"/>
  <c r="M46" i="33"/>
  <c r="M43" i="33"/>
  <c r="I28" i="33"/>
  <c r="I33" i="33"/>
  <c r="I73" i="33"/>
  <c r="L52" i="33"/>
  <c r="L73" i="33"/>
  <c r="H45" i="33"/>
  <c r="L70" i="33"/>
  <c r="L48" i="33"/>
  <c r="H37" i="32"/>
  <c r="H55" i="33"/>
  <c r="J63" i="33"/>
  <c r="I52" i="33"/>
  <c r="L72" i="33"/>
  <c r="H50" i="33"/>
  <c r="I50" i="33"/>
  <c r="H73" i="33"/>
  <c r="L49" i="33"/>
  <c r="M70" i="33"/>
  <c r="G45" i="33"/>
  <c r="H43" i="33"/>
  <c r="K49" i="33"/>
  <c r="I38" i="33"/>
  <c r="H27" i="33"/>
  <c r="K70" i="33"/>
  <c r="M29" i="33"/>
  <c r="I54" i="33"/>
  <c r="M72" i="33"/>
  <c r="E33" i="33"/>
  <c r="E72" i="33"/>
  <c r="L27" i="33"/>
  <c r="E39" i="32"/>
  <c r="G57" i="32"/>
  <c r="E42" i="32"/>
  <c r="G50" i="32"/>
  <c r="I37" i="32"/>
  <c r="I67" i="33"/>
  <c r="I31" i="33"/>
  <c r="G64" i="33"/>
  <c r="E19" i="33"/>
  <c r="G27" i="32"/>
  <c r="I18" i="33"/>
  <c r="E43" i="33"/>
  <c r="E45" i="32"/>
  <c r="G40" i="32"/>
  <c r="E38" i="32"/>
  <c r="G36" i="32"/>
  <c r="L17" i="32"/>
  <c r="L37" i="32"/>
  <c r="L58" i="33"/>
  <c r="E26" i="32"/>
  <c r="M19" i="33"/>
  <c r="E37" i="32"/>
  <c r="E21" i="32"/>
  <c r="G22" i="32"/>
  <c r="E36" i="32"/>
  <c r="G39" i="32"/>
  <c r="G19" i="32"/>
  <c r="G56" i="32"/>
  <c r="G38" i="32"/>
  <c r="E19" i="32"/>
  <c r="E57" i="32"/>
  <c r="E41" i="32"/>
  <c r="E24" i="32"/>
  <c r="G60" i="32"/>
  <c r="G45" i="32"/>
  <c r="G35" i="32"/>
  <c r="G25" i="32"/>
  <c r="I17" i="32"/>
  <c r="I28" i="32"/>
  <c r="H17" i="32"/>
  <c r="I48" i="33"/>
  <c r="M73" i="33"/>
  <c r="M28" i="32"/>
  <c r="E63" i="33"/>
  <c r="I45" i="33"/>
  <c r="H41" i="33"/>
  <c r="I17" i="33"/>
  <c r="M55" i="33"/>
  <c r="L45" i="33"/>
  <c r="M41" i="33"/>
  <c r="M38" i="33"/>
  <c r="M22" i="33"/>
  <c r="L18" i="33"/>
  <c r="E52" i="32"/>
  <c r="E28" i="32"/>
  <c r="G28" i="32"/>
  <c r="E50" i="32"/>
  <c r="E60" i="32"/>
  <c r="E35" i="32"/>
  <c r="G18" i="32"/>
  <c r="G42" i="32"/>
  <c r="G37" i="32"/>
  <c r="E18" i="32"/>
  <c r="E56" i="32"/>
  <c r="E40" i="32"/>
  <c r="G31" i="32"/>
  <c r="E20" i="32"/>
  <c r="G53" i="32"/>
  <c r="E43" i="32"/>
  <c r="G34" i="32"/>
  <c r="E31" i="32"/>
  <c r="M37" i="32"/>
  <c r="E44" i="32"/>
  <c r="I59" i="33"/>
  <c r="I44" i="33"/>
  <c r="I24" i="33"/>
  <c r="H20" i="33"/>
  <c r="M67" i="33"/>
  <c r="L23" i="33"/>
  <c r="M51" i="33"/>
  <c r="K46" i="33"/>
  <c r="G21" i="32"/>
  <c r="L51" i="33"/>
  <c r="M32" i="33"/>
  <c r="E22" i="32"/>
  <c r="G23" i="32"/>
  <c r="E17" i="32"/>
  <c r="E51" i="32"/>
  <c r="E53" i="32"/>
  <c r="E32" i="32"/>
  <c r="G58" i="32"/>
  <c r="G41" i="32"/>
  <c r="G24" i="32"/>
  <c r="E34" i="32"/>
  <c r="G43" i="32"/>
  <c r="G30" i="32"/>
  <c r="E33" i="32"/>
  <c r="G51" i="32"/>
  <c r="G33" i="32"/>
  <c r="E30" i="32"/>
  <c r="I71" i="33"/>
  <c r="H28" i="32"/>
  <c r="L49" i="32"/>
  <c r="G44" i="32"/>
  <c r="D37" i="33"/>
  <c r="I43" i="33"/>
  <c r="M64" i="33"/>
  <c r="I41" i="33"/>
  <c r="M33" i="33"/>
  <c r="M56" i="33"/>
  <c r="K56" i="33"/>
  <c r="K23" i="33"/>
  <c r="K19" i="33"/>
  <c r="L64" i="33"/>
  <c r="L46" i="33"/>
  <c r="I21" i="33"/>
  <c r="H17" i="33"/>
  <c r="H33" i="33"/>
  <c r="H29" i="33"/>
  <c r="M23" i="33"/>
  <c r="L32" i="33"/>
  <c r="I34" i="33"/>
  <c r="K64" i="33"/>
  <c r="I55" i="33"/>
  <c r="G41" i="33"/>
  <c r="H51" i="33"/>
  <c r="I51" i="33"/>
  <c r="I65" i="33"/>
  <c r="L55" i="33"/>
  <c r="K38" i="33"/>
  <c r="I20" i="33"/>
  <c r="L41" i="33"/>
  <c r="E17" i="33"/>
  <c r="M18" i="33"/>
  <c r="H21" i="33"/>
  <c r="L22" i="33"/>
  <c r="E58" i="33"/>
  <c r="M39" i="33"/>
  <c r="L42" i="33"/>
  <c r="H24" i="33"/>
  <c r="H52" i="33"/>
  <c r="G59" i="33"/>
  <c r="G24" i="33"/>
  <c r="K45" i="33"/>
  <c r="K18" i="33"/>
  <c r="K73" i="33"/>
  <c r="I58" i="33"/>
  <c r="H57" i="33"/>
  <c r="I39" i="33"/>
  <c r="I32" i="33"/>
  <c r="I19" i="33"/>
  <c r="M54" i="33"/>
  <c r="M34" i="33"/>
  <c r="M17" i="33"/>
  <c r="M45" i="33"/>
  <c r="L38" i="33"/>
  <c r="M50" i="33"/>
  <c r="L17" i="33"/>
  <c r="H48" i="33"/>
  <c r="L67" i="33"/>
  <c r="H59" i="33"/>
  <c r="K67" i="33"/>
  <c r="M58" i="33"/>
  <c r="M27" i="33"/>
  <c r="E21" i="33"/>
  <c r="E46" i="33"/>
  <c r="I29" i="33"/>
  <c r="L16" i="32"/>
  <c r="D16" i="33"/>
  <c r="E16" i="33" s="1"/>
  <c r="H56" i="33"/>
  <c r="H46" i="33"/>
  <c r="I42" i="33"/>
  <c r="H38" i="33"/>
  <c r="M65" i="33"/>
  <c r="L57" i="33"/>
  <c r="M40" i="33"/>
  <c r="L24" i="33"/>
  <c r="K41" i="33"/>
  <c r="G67" i="33"/>
  <c r="H71" i="33"/>
  <c r="M42" i="33"/>
  <c r="H42" i="33"/>
  <c r="L28" i="32"/>
  <c r="M49" i="32"/>
  <c r="H34" i="33"/>
  <c r="L50" i="33"/>
  <c r="H26" i="33"/>
  <c r="H65" i="33"/>
  <c r="M16" i="32"/>
  <c r="L30" i="33"/>
  <c r="H31" i="33"/>
  <c r="L59" i="33"/>
  <c r="G16" i="32"/>
  <c r="K48" i="33"/>
  <c r="M26" i="33"/>
  <c r="K17" i="33"/>
  <c r="M31" i="33"/>
  <c r="M71" i="33"/>
  <c r="I49" i="33"/>
  <c r="G57" i="33"/>
  <c r="G43" i="33"/>
  <c r="F25" i="33"/>
  <c r="H25" i="33" s="1"/>
  <c r="F16" i="33"/>
  <c r="M30" i="33"/>
  <c r="I46" i="33"/>
  <c r="L40" i="33"/>
  <c r="E30" i="33"/>
  <c r="I22" i="33"/>
  <c r="I23" i="33"/>
  <c r="L65" i="33"/>
  <c r="I72" i="33"/>
  <c r="L21" i="33"/>
  <c r="M21" i="33"/>
  <c r="L54" i="33"/>
  <c r="K34" i="33"/>
  <c r="I64" i="33"/>
  <c r="H39" i="33"/>
  <c r="H70" i="33"/>
  <c r="G18" i="33"/>
  <c r="G39" i="33"/>
  <c r="G72" i="33"/>
  <c r="E29" i="33"/>
  <c r="G56" i="33"/>
  <c r="K40" i="33"/>
  <c r="K71" i="33"/>
  <c r="I30" i="33"/>
  <c r="J16" i="33"/>
  <c r="M59" i="33"/>
  <c r="I40" i="33"/>
  <c r="I57" i="33"/>
  <c r="G32" i="33"/>
  <c r="G46" i="33"/>
  <c r="M24" i="33"/>
  <c r="M57" i="33"/>
  <c r="L33" i="33"/>
  <c r="H40" i="33"/>
  <c r="L34" i="33"/>
  <c r="H32" i="33"/>
  <c r="H22" i="33"/>
  <c r="H28" i="33"/>
  <c r="F37" i="33"/>
  <c r="G37" i="33" s="1"/>
  <c r="J25" i="33"/>
  <c r="K25" i="33" s="1"/>
  <c r="M48" i="33"/>
  <c r="I26" i="33"/>
  <c r="G19" i="33"/>
  <c r="G30" i="33"/>
  <c r="E28" i="33"/>
  <c r="L31" i="33"/>
  <c r="L26" i="33"/>
  <c r="K52" i="33"/>
  <c r="M52" i="33"/>
  <c r="I27" i="33"/>
  <c r="G27" i="33"/>
  <c r="H30" i="33"/>
  <c r="G44" i="33"/>
  <c r="M44" i="33"/>
  <c r="M28" i="33"/>
  <c r="L44" i="33"/>
  <c r="K47" i="33"/>
  <c r="E16" i="32"/>
  <c r="I16" i="32"/>
  <c r="L20" i="33"/>
  <c r="L28" i="33"/>
  <c r="H44" i="33"/>
  <c r="H16" i="32"/>
  <c r="D47" i="32"/>
  <c r="E47" i="32" s="1"/>
  <c r="J37" i="33"/>
  <c r="J35" i="33" s="1"/>
  <c r="G71" i="33"/>
  <c r="H19" i="33"/>
  <c r="M20" i="33"/>
  <c r="H23" i="33"/>
  <c r="G49" i="33"/>
  <c r="K57" i="33"/>
  <c r="E37" i="33" l="1"/>
  <c r="D35" i="33"/>
  <c r="H47" i="33"/>
  <c r="E16" i="10"/>
  <c r="E35" i="10"/>
  <c r="D36" i="10"/>
  <c r="H36" i="10" s="1"/>
  <c r="M16" i="10"/>
  <c r="H16" i="10"/>
  <c r="D15" i="33"/>
  <c r="E15" i="33" s="1"/>
  <c r="I47" i="33"/>
  <c r="L16" i="10"/>
  <c r="G35" i="10"/>
  <c r="L47" i="33"/>
  <c r="M47" i="33"/>
  <c r="E53" i="33"/>
  <c r="I53" i="33"/>
  <c r="G9" i="10"/>
  <c r="K16" i="10"/>
  <c r="J62" i="10"/>
  <c r="J63" i="10" s="1"/>
  <c r="H53" i="33"/>
  <c r="M53" i="33"/>
  <c r="J36" i="10"/>
  <c r="K36" i="10" s="1"/>
  <c r="I16" i="10"/>
  <c r="F62" i="10"/>
  <c r="G8" i="10"/>
  <c r="I35" i="10"/>
  <c r="I16" i="33"/>
  <c r="D62" i="10"/>
  <c r="M35" i="10"/>
  <c r="L35" i="10"/>
  <c r="H35" i="10"/>
  <c r="M16" i="33"/>
  <c r="L63" i="33"/>
  <c r="M63" i="33"/>
  <c r="K63" i="33"/>
  <c r="I26" i="32"/>
  <c r="G26" i="32"/>
  <c r="H26" i="32"/>
  <c r="H27" i="32"/>
  <c r="G63" i="33"/>
  <c r="H37" i="33"/>
  <c r="G25" i="33"/>
  <c r="E27" i="32"/>
  <c r="M26" i="32"/>
  <c r="I27" i="32"/>
  <c r="K16" i="33"/>
  <c r="J15" i="33"/>
  <c r="L16" i="33"/>
  <c r="M25" i="33"/>
  <c r="F35" i="33"/>
  <c r="I63" i="33"/>
  <c r="J27" i="32"/>
  <c r="K26" i="32"/>
  <c r="I37" i="33"/>
  <c r="L25" i="33"/>
  <c r="G16" i="33"/>
  <c r="H16" i="33"/>
  <c r="F15" i="33"/>
  <c r="G15" i="33" s="1"/>
  <c r="I25" i="33"/>
  <c r="K37" i="33"/>
  <c r="L37" i="33"/>
  <c r="M37" i="33"/>
  <c r="D48" i="32"/>
  <c r="D54" i="32"/>
  <c r="D59" i="32" s="1"/>
  <c r="E46" i="32"/>
  <c r="D63" i="10" l="1"/>
  <c r="E63" i="10" s="1"/>
  <c r="D60" i="33"/>
  <c r="E60" i="33" s="1"/>
  <c r="D36" i="33"/>
  <c r="E36" i="33" s="1"/>
  <c r="I35" i="33"/>
  <c r="E35" i="33"/>
  <c r="M36" i="10"/>
  <c r="F70" i="10"/>
  <c r="F75" i="10" s="1"/>
  <c r="F63" i="10"/>
  <c r="G63" i="10" s="1"/>
  <c r="G46" i="32"/>
  <c r="F47" i="32"/>
  <c r="L15" i="33"/>
  <c r="J60" i="33"/>
  <c r="J61" i="33" s="1"/>
  <c r="J68" i="33" s="1"/>
  <c r="J74" i="33" s="1"/>
  <c r="J69" i="33" s="1"/>
  <c r="K63" i="10"/>
  <c r="J64" i="10"/>
  <c r="K64" i="10" s="1"/>
  <c r="J70" i="10"/>
  <c r="K62" i="10"/>
  <c r="M46" i="32"/>
  <c r="J47" i="32"/>
  <c r="H62" i="10"/>
  <c r="F64" i="10"/>
  <c r="G64" i="10" s="1"/>
  <c r="G62" i="10"/>
  <c r="E62" i="10"/>
  <c r="D70" i="10"/>
  <c r="I62" i="10"/>
  <c r="D64" i="10"/>
  <c r="M62" i="10"/>
  <c r="L62" i="10"/>
  <c r="E36" i="10"/>
  <c r="I36" i="10"/>
  <c r="L36" i="10"/>
  <c r="H46" i="32"/>
  <c r="F54" i="32"/>
  <c r="I54" i="32" s="1"/>
  <c r="F48" i="32"/>
  <c r="G48" i="32" s="1"/>
  <c r="I46" i="32"/>
  <c r="F36" i="33"/>
  <c r="H35" i="33"/>
  <c r="G35" i="33"/>
  <c r="H15" i="33"/>
  <c r="F60" i="33"/>
  <c r="I15" i="33"/>
  <c r="K15" i="33"/>
  <c r="M15" i="33"/>
  <c r="L46" i="32"/>
  <c r="K46" i="32"/>
  <c r="K27" i="32"/>
  <c r="L27" i="32"/>
  <c r="M27" i="32"/>
  <c r="E48" i="32"/>
  <c r="E54" i="32"/>
  <c r="L35" i="33"/>
  <c r="K35" i="33"/>
  <c r="M35" i="33"/>
  <c r="J36" i="33"/>
  <c r="M63" i="10" l="1"/>
  <c r="L63" i="10"/>
  <c r="D61" i="33"/>
  <c r="E61" i="33" s="1"/>
  <c r="D68" i="33"/>
  <c r="D62" i="33"/>
  <c r="E62" i="33" s="1"/>
  <c r="H36" i="33"/>
  <c r="H64" i="10"/>
  <c r="I63" i="10"/>
  <c r="H70" i="10"/>
  <c r="G70" i="10"/>
  <c r="M70" i="10"/>
  <c r="K75" i="10"/>
  <c r="H63" i="10"/>
  <c r="J48" i="32"/>
  <c r="K48" i="32" s="1"/>
  <c r="J54" i="32"/>
  <c r="M54" i="32" s="1"/>
  <c r="M60" i="33"/>
  <c r="I47" i="32"/>
  <c r="H47" i="32"/>
  <c r="G47" i="32"/>
  <c r="K61" i="33"/>
  <c r="J62" i="33"/>
  <c r="K62" i="33" s="1"/>
  <c r="F68" i="33"/>
  <c r="G68" i="33" s="1"/>
  <c r="F61" i="33"/>
  <c r="K70" i="10"/>
  <c r="M47" i="32"/>
  <c r="K47" i="32"/>
  <c r="L47" i="32"/>
  <c r="M64" i="10"/>
  <c r="L70" i="10"/>
  <c r="D75" i="10"/>
  <c r="L75" i="10" s="1"/>
  <c r="I70" i="10"/>
  <c r="E70" i="10"/>
  <c r="L64" i="10"/>
  <c r="E64" i="10"/>
  <c r="I64" i="10"/>
  <c r="F71" i="10"/>
  <c r="G71" i="10" s="1"/>
  <c r="G75" i="10"/>
  <c r="H54" i="32"/>
  <c r="I48" i="32"/>
  <c r="H48" i="32"/>
  <c r="H60" i="33"/>
  <c r="I36" i="33"/>
  <c r="G36" i="33"/>
  <c r="I60" i="33"/>
  <c r="G54" i="32"/>
  <c r="F59" i="32"/>
  <c r="G60" i="33"/>
  <c r="F62" i="33"/>
  <c r="G62" i="33" s="1"/>
  <c r="K36" i="33"/>
  <c r="M36" i="33"/>
  <c r="L36" i="33"/>
  <c r="D55" i="32"/>
  <c r="E59" i="32"/>
  <c r="L60" i="33"/>
  <c r="K60" i="33"/>
  <c r="K71" i="10" l="1"/>
  <c r="L71" i="10"/>
  <c r="E68" i="33"/>
  <c r="L61" i="33"/>
  <c r="D74" i="33"/>
  <c r="M61" i="33"/>
  <c r="K54" i="32"/>
  <c r="L68" i="33"/>
  <c r="M48" i="32"/>
  <c r="L48" i="32"/>
  <c r="E75" i="10"/>
  <c r="J59" i="32"/>
  <c r="L59" i="32" s="1"/>
  <c r="L54" i="32"/>
  <c r="F74" i="33"/>
  <c r="H68" i="33"/>
  <c r="I68" i="33"/>
  <c r="H61" i="33"/>
  <c r="G61" i="33"/>
  <c r="I61" i="33"/>
  <c r="H75" i="10"/>
  <c r="D71" i="10"/>
  <c r="H71" i="10" s="1"/>
  <c r="F55" i="32"/>
  <c r="G55" i="32" s="1"/>
  <c r="G59" i="32"/>
  <c r="I59" i="32"/>
  <c r="H59" i="32"/>
  <c r="H62" i="33"/>
  <c r="E55" i="32"/>
  <c r="K68" i="33"/>
  <c r="L62" i="33"/>
  <c r="M68" i="33"/>
  <c r="E74" i="33" l="1"/>
  <c r="D69" i="33"/>
  <c r="L74" i="33"/>
  <c r="I74" i="33"/>
  <c r="K59" i="32"/>
  <c r="J55" i="32"/>
  <c r="K55" i="32" s="1"/>
  <c r="M59" i="32"/>
  <c r="G74" i="33"/>
  <c r="H74" i="33"/>
  <c r="F69" i="33"/>
  <c r="G69" i="33" s="1"/>
  <c r="E71" i="10"/>
  <c r="M71" i="10"/>
  <c r="I71" i="10"/>
  <c r="H55" i="32"/>
  <c r="I55" i="32"/>
  <c r="K69" i="33"/>
  <c r="K74" i="33"/>
  <c r="E69" i="33"/>
  <c r="L55" i="32" l="1"/>
  <c r="H69" i="33"/>
  <c r="M55" i="32"/>
  <c r="I69" i="33"/>
  <c r="M69" i="33"/>
  <c r="L69" i="33"/>
</calcChain>
</file>

<file path=xl/sharedStrings.xml><?xml version="1.0" encoding="utf-8"?>
<sst xmlns="http://schemas.openxmlformats.org/spreadsheetml/2006/main" count="1250" uniqueCount="472">
  <si>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</si>
  <si>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</si>
  <si>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</si>
  <si>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</si>
  <si>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</si>
  <si>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</si>
  <si>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</si>
  <si>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</si>
  <si>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</si>
  <si>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</si>
  <si>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</si>
  <si>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</si>
  <si>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</si>
  <si>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</si>
  <si>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</si>
  <si>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</si>
  <si>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</si>
  <si>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</si>
  <si>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</si>
  <si>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</si>
  <si>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</si>
  <si>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</si>
  <si>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</si>
  <si>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</si>
  <si>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</si>
  <si>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</si>
  <si>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</si>
  <si>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</si>
  <si>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</si>
  <si>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</si>
  <si>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</si>
  <si>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</si>
  <si>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</si>
  <si>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</si>
  <si>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</si>
  <si>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</si>
  <si>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</si>
  <si>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</si>
  <si>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</si>
  <si>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</si>
  <si>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</si>
  <si>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</si>
  <si>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</si>
  <si>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</si>
  <si>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</si>
  <si>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</si>
  <si>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</si>
  <si>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</si>
  <si>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</si>
  <si>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</si>
  <si>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</si>
  <si>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</si>
  <si>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</si>
  <si>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</si>
  <si>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</si>
  <si>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</si>
  <si>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</si>
  <si>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</si>
  <si>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</si>
  <si>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</si>
  <si>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</si>
  <si>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</si>
  <si>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</si>
  <si>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</si>
  <si>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</si>
  <si>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</si>
  <si>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</si>
  <si>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</si>
  <si>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</si>
  <si>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</si>
  <si>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</si>
  <si>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</si>
  <si>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</si>
  <si>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</si>
  <si>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</si>
  <si>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</si>
  <si>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</si>
  <si>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</si>
  <si>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</si>
  <si>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</si>
  <si>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</si>
  <si>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</si>
  <si>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</si>
  <si>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</si>
  <si>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</si>
  <si>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</si>
  <si>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</si>
  <si>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</si>
  <si>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</si>
  <si>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</si>
  <si>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</si>
  <si>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</si>
  <si>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</si>
  <si>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</si>
  <si>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</si>
  <si>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</si>
  <si>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</si>
  <si>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</si>
  <si>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</si>
  <si>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</si>
  <si>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</si>
  <si>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</si>
  <si>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</si>
  <si>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</si>
  <si>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</si>
  <si>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</si>
  <si>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</si>
  <si>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</si>
  <si>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</si>
  <si>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</si>
  <si>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</si>
  <si>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</si>
  <si>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</si>
  <si>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</si>
  <si>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</si>
  <si>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</si>
  <si>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</si>
  <si>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</si>
  <si>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</si>
  <si>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</si>
  <si>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</si>
  <si>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</si>
  <si>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</si>
  <si>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</si>
  <si>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</si>
  <si>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</si>
  <si>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</si>
  <si>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</si>
  <si>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</si>
  <si>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</si>
  <si>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</si>
  <si>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</si>
  <si>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</si>
  <si>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</si>
  <si>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</si>
  <si>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</si>
  <si>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</si>
  <si>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</si>
  <si>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</si>
  <si>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</si>
  <si>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</si>
  <si>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</si>
  <si>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</si>
  <si>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</si>
  <si>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</si>
  <si>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</si>
  <si>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</si>
  <si>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</si>
  <si>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</si>
  <si>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</si>
  <si>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</si>
  <si>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</si>
  <si>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</si>
  <si>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</si>
  <si>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</si>
  <si>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</si>
  <si>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</si>
  <si>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</si>
  <si>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</si>
  <si>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</si>
  <si>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</si>
  <si>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</si>
  <si>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</si>
  <si>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</si>
  <si>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</si>
  <si>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</si>
  <si>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</si>
  <si>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</si>
  <si>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</si>
  <si>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</si>
  <si>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</si>
  <si>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</si>
  <si>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</si>
  <si>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</si>
  <si>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</si>
  <si>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</si>
  <si>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</si>
  <si>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</si>
  <si>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</si>
  <si>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</si>
  <si>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</si>
  <si>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</si>
  <si>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</si>
  <si>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</si>
  <si>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</si>
  <si>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</si>
  <si>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</si>
  <si>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</si>
  <si>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</si>
  <si>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</si>
  <si>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</si>
  <si>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</si>
  <si>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</si>
  <si>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</si>
  <si>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</si>
  <si>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</si>
  <si>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</si>
  <si>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</si>
  <si>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</si>
  <si>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</si>
  <si>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</si>
  <si>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</si>
  <si>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</si>
  <si>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</si>
  <si>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</si>
  <si>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</si>
  <si>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</si>
  <si>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</si>
  <si>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</si>
  <si>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</si>
  <si>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</si>
  <si>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</si>
  <si>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</si>
  <si>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</si>
  <si>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</si>
  <si>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</si>
  <si>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</si>
  <si>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</si>
  <si>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</si>
  <si>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</si>
  <si>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</si>
  <si>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</si>
  <si>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</si>
  <si>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</si>
  <si>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</si>
  <si>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</si>
  <si>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</si>
  <si>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</si>
  <si>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</si>
  <si>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</si>
  <si>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</si>
  <si>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</si>
  <si>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</si>
  <si>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</si>
  <si>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</si>
  <si>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</si>
  <si>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</si>
  <si>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</si>
  <si>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</si>
  <si>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</si>
  <si>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</si>
  <si>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</si>
  <si>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</si>
  <si>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</si>
  <si>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</si>
  <si>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</si>
  <si>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</si>
  <si>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</si>
  <si>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</si>
  <si>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</si>
  <si>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</si>
  <si>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</si>
  <si>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</si>
  <si>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</si>
  <si>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</si>
  <si>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</si>
  <si>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</si>
  <si>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</si>
  <si>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</si>
  <si>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</si>
  <si>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</si>
  <si>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</si>
  <si>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</si>
  <si>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</si>
  <si>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</si>
  <si>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</si>
  <si>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</si>
  <si>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</si>
  <si>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</si>
  <si>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</si>
  <si>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</si>
  <si>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</si>
  <si>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</si>
  <si>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</si>
  <si>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</si>
  <si>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</si>
  <si>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</si>
  <si>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</si>
  <si>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</si>
  <si>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</si>
  <si>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</si>
  <si>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</si>
  <si>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</si>
  <si>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</si>
  <si>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</si>
  <si>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</si>
  <si>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</si>
  <si>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</si>
  <si>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</si>
  <si>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</si>
  <si>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</si>
  <si>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</si>
  <si>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</si>
  <si>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</si>
  <si>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</si>
  <si>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</si>
  <si>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</si>
  <si>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</si>
  <si>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</si>
  <si>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</si>
  <si>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</si>
  <si>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</si>
  <si>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</si>
  <si>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</si>
  <si>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</si>
  <si>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</si>
  <si>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</si>
  <si>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</si>
  <si>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</si>
  <si>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</si>
  <si>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</si>
  <si>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</si>
  <si>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</si>
  <si>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</si>
  <si>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</si>
  <si>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</si>
  <si>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</si>
  <si>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</si>
  <si>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</si>
  <si>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</si>
  <si>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</si>
  <si>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</si>
  <si>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</si>
  <si>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</si>
  <si>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</si>
  <si>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</si>
  <si>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</si>
  <si>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</si>
  <si>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</si>
  <si>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</si>
  <si>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</si>
  <si>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</si>
  <si>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</si>
  <si>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</si>
  <si>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</si>
  <si>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</si>
  <si>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</si>
  <si>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</si>
  <si>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</si>
  <si>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</si>
  <si>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</si>
  <si>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</si>
  <si>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</si>
  <si>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</si>
  <si>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</si>
  <si>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</si>
  <si>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</si>
  <si>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</si>
  <si>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</si>
  <si>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</si>
  <si>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</si>
  <si>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</si>
  <si>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</si>
  <si>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</si>
  <si>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</si>
  <si>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</si>
  <si>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</si>
  <si>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</si>
  <si>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</si>
  <si>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</si>
  <si>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</si>
  <si>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</si>
  <si>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</si>
  <si>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</si>
  <si>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</si>
  <si>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</si>
  <si>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</si>
  <si>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</si>
  <si>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</si>
  <si>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</si>
  <si>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</si>
  <si>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</si>
  <si>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</si>
  <si>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</si>
  <si>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</si>
  <si>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</si>
  <si>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</si>
  <si>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</si>
  <si>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</si>
  <si>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</si>
  <si>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</si>
  <si>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</si>
  <si>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</si>
  <si>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</si>
  <si>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</si>
  <si>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</si>
  <si>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</si>
  <si>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</si>
  <si>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</si>
  <si>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</si>
  <si>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</si>
  <si>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</si>
  <si>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Plan 2014</t>
  </si>
  <si>
    <t>Ekonomska klasifikacija</t>
  </si>
  <si>
    <t>O   P   I   S</t>
  </si>
  <si>
    <t>Iznos u €</t>
  </si>
  <si>
    <t>Ako je 0 sve je OK!</t>
  </si>
  <si>
    <t>PRIMICI</t>
  </si>
  <si>
    <t>Tekući prihodi</t>
  </si>
  <si>
    <t>Naknada za korišćenje prirodnih dobara</t>
  </si>
  <si>
    <t>Primici od prodaje  imovine</t>
  </si>
  <si>
    <t>Primici od prodaje imovine</t>
  </si>
  <si>
    <t>Primici od prodaje nefinansijske imovine</t>
  </si>
  <si>
    <t>Primici od prodaje nepokretnosti</t>
  </si>
  <si>
    <t>Primici od prodaje zaliha</t>
  </si>
  <si>
    <t>Primici od prodaje finansijske imovine</t>
  </si>
  <si>
    <t>Prodaja akcija</t>
  </si>
  <si>
    <t>Prodaja ostalih HOV</t>
  </si>
  <si>
    <t xml:space="preserve">Primici od otplate kredita 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</si>
  <si>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</si>
  <si>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</si>
  <si>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</si>
  <si>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</si>
  <si>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 xml:space="preserve"> Sredstva prenesena iz prethodne godine</t>
  </si>
  <si>
    <t>Sredstva prenesena iz prethodne godine</t>
  </si>
  <si>
    <t>Donacije i transferi</t>
  </si>
  <si>
    <t>Tekuće donacije</t>
  </si>
  <si>
    <t>IZVORNI PRIHODI</t>
  </si>
  <si>
    <t>Porezi i doprinosi</t>
  </si>
  <si>
    <t xml:space="preserve"> IZDACI</t>
  </si>
  <si>
    <t xml:space="preserve"> Kapitalni budžet CG</t>
  </si>
  <si>
    <t xml:space="preserve"> SUFICIT / DEFICIT</t>
  </si>
  <si>
    <t>PRIMARNI SUFICIT</t>
  </si>
  <si>
    <t>OTPLATA DUGA</t>
  </si>
  <si>
    <t>NEDOSTAJUĆA SREDSTVA</t>
  </si>
  <si>
    <t>FINANSIRANJE</t>
  </si>
  <si>
    <t>Procjena 2014</t>
  </si>
  <si>
    <t xml:space="preserve"> </t>
  </si>
  <si>
    <t>Rashodi za materijal</t>
  </si>
  <si>
    <t>Rashodi za usluge</t>
  </si>
  <si>
    <t>Rashodi za tekuće održavanje</t>
  </si>
  <si>
    <t>Ostala prava iz zdravstvenog osiguranja</t>
  </si>
  <si>
    <t xml:space="preserve">Transferi institucijama, pojedincima, nevladinom i javnom sektoru </t>
  </si>
  <si>
    <t xml:space="preserve">Ostali transferi </t>
  </si>
  <si>
    <t>PLAN 2015</t>
  </si>
  <si>
    <t>Mjesečni plan prihoda 2014</t>
  </si>
  <si>
    <t>Mjesečna procjena prihoda 2014</t>
  </si>
  <si>
    <t>Ostvarenje prihoda 2013</t>
  </si>
  <si>
    <t>Razlike</t>
  </si>
  <si>
    <t>%</t>
  </si>
  <si>
    <t>Deficit - osnovni scenario</t>
  </si>
  <si>
    <t>Deficit - scenario sa auto putem</t>
  </si>
  <si>
    <t>2014 - procjena</t>
  </si>
  <si>
    <t>Suficit / deficit</t>
  </si>
  <si>
    <t>Odstupanje</t>
  </si>
  <si>
    <t>Tekući budžetski izdaci</t>
  </si>
  <si>
    <t>Otplata obaveza iz prethodnih godina</t>
  </si>
  <si>
    <t>4630a</t>
  </si>
  <si>
    <t>4630b</t>
  </si>
  <si>
    <t>Otplata dugova</t>
  </si>
  <si>
    <t>Otplata hartija od vrijednosti i kredita rezidentima</t>
  </si>
  <si>
    <t>Otplata hartija od vrijednosti i kredita nerezidentima</t>
  </si>
  <si>
    <t>Pozajmice i krediti od domaćih izvora</t>
  </si>
  <si>
    <t>Pozajmice i krediti od inostranih izvora</t>
  </si>
  <si>
    <t>Povećanje / smanjenje depozita</t>
  </si>
  <si>
    <t>Transferi iz Centralnog budžeta</t>
  </si>
  <si>
    <t>Budžetski izdaci</t>
  </si>
  <si>
    <t>Ostali državni prihodi</t>
  </si>
  <si>
    <t>Other State revenues</t>
  </si>
  <si>
    <t>Ostali transferi</t>
  </si>
  <si>
    <t xml:space="preserve">Receipts from repayment of loans </t>
  </si>
  <si>
    <t>Receipts from repayment of loans</t>
  </si>
  <si>
    <t>Primici od otplate kredita</t>
  </si>
  <si>
    <t>Transferi</t>
  </si>
  <si>
    <t>Ostvarenje 2018</t>
  </si>
  <si>
    <t>Izdaci za kupovinu hartija od vrijednosti</t>
  </si>
  <si>
    <t>Izdaci za otplatu hartija od vrijednosti</t>
  </si>
  <si>
    <t>...</t>
  </si>
  <si>
    <t>Primarni suficit/deficit</t>
  </si>
  <si>
    <t>Korigovani suficit/deficit</t>
  </si>
  <si>
    <t>Ostvarenje 2019</t>
  </si>
  <si>
    <t>Plan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</si>
</sst>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\ &quot;RSD&quot;_-;\-* #,##0.00\ &quot;RSD&quot;_-;_-* &quot;-&quot;??\ &quot;RSD&quot;_-;_-@_-"/>
    <numFmt numFmtId="165" formatCode="0.00,,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,,"/>
    <numFmt numFmtId="176" formatCode="0.0000"/>
    <numFmt numFmtId="177" formatCode="_-* #,##0.00\ _R_S_D_-;\-* #,##0.00\ _R_S_D_-;_-* &quot;-&quot;??\ _R_S_D_-;_-@_-"/>
    <numFmt numFmtId="178" formatCode="[$-409]General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entury Gothic"/>
      <family val="2"/>
    </font>
    <font>
      <sz val="11"/>
      <color rgb="FFFF0000"/>
      <name val="Calibri"/>
      <family val="2"/>
      <scheme val="minor"/>
    </font>
    <font>
      <sz val="8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indexed="1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000000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9">
    <xf numFmtId="0" fontId="0" fillId="0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9" fillId="0" borderId="0" applyProtection="0"/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2" fontId="9" fillId="0" borderId="0" applyProtection="0"/>
    <xf numFmtId="0" fontId="9" fillId="0" borderId="0" applyNumberFormat="0" applyFont="0" applyFill="0" applyBorder="0" applyAlignment="0" applyProtection="0"/>
    <xf numFmtId="0" fontId="12" fillId="0" borderId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7" fontId="13" fillId="0" borderId="0"/>
    <xf numFmtId="0" fontId="14" fillId="0" borderId="0"/>
    <xf numFmtId="0" fontId="15" fillId="0" borderId="0"/>
    <xf numFmtId="0" fontId="15" fillId="0" borderId="0"/>
    <xf numFmtId="0" fontId="8" fillId="0" borderId="0"/>
    <xf numFmtId="0" fontId="7" fillId="0" borderId="0"/>
    <xf numFmtId="174" fontId="8" fillId="0" borderId="0" applyFont="0" applyFill="0" applyBorder="0" applyAlignment="0" applyProtection="0"/>
    <xf numFmtId="0" fontId="1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3" fillId="0" borderId="0"/>
    <xf numFmtId="9" fontId="35" fillId="0" borderId="0" applyFont="0" applyFill="0" applyBorder="0" applyAlignment="0" applyProtection="0"/>
    <xf numFmtId="0" fontId="7" fillId="0" borderId="0"/>
    <xf numFmtId="164" fontId="4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55" applyNumberFormat="0" applyFill="0" applyAlignment="0" applyProtection="0"/>
    <xf numFmtId="0" fontId="45" fillId="0" borderId="56" applyNumberFormat="0" applyFill="0" applyAlignment="0" applyProtection="0"/>
    <xf numFmtId="0" fontId="46" fillId="0" borderId="57" applyNumberFormat="0" applyFill="0" applyAlignment="0" applyProtection="0"/>
    <xf numFmtId="0" fontId="46" fillId="0" borderId="0" applyNumberFormat="0" applyFill="0" applyBorder="0" applyAlignment="0" applyProtection="0"/>
    <xf numFmtId="0" fontId="47" fillId="16" borderId="0" applyNumberFormat="0" applyBorder="0" applyAlignment="0" applyProtection="0"/>
    <xf numFmtId="0" fontId="48" fillId="17" borderId="0" applyNumberFormat="0" applyBorder="0" applyAlignment="0" applyProtection="0"/>
    <xf numFmtId="0" fontId="49" fillId="18" borderId="0" applyNumberFormat="0" applyBorder="0" applyAlignment="0" applyProtection="0"/>
    <xf numFmtId="0" fontId="50" fillId="19" borderId="58" applyNumberFormat="0" applyAlignment="0" applyProtection="0"/>
    <xf numFmtId="0" fontId="51" fillId="20" borderId="59" applyNumberFormat="0" applyAlignment="0" applyProtection="0"/>
    <xf numFmtId="0" fontId="52" fillId="20" borderId="58" applyNumberFormat="0" applyAlignment="0" applyProtection="0"/>
    <xf numFmtId="0" fontId="53" fillId="0" borderId="60" applyNumberFormat="0" applyFill="0" applyAlignment="0" applyProtection="0"/>
    <xf numFmtId="0" fontId="54" fillId="21" borderId="61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63" applyNumberFormat="0" applyFill="0" applyAlignment="0" applyProtection="0"/>
    <xf numFmtId="0" fontId="58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58" fillId="30" borderId="0" applyNumberFormat="0" applyBorder="0" applyAlignment="0" applyProtection="0"/>
    <xf numFmtId="0" fontId="58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58" fillId="46" borderId="0" applyNumberFormat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13" fillId="0" borderId="0"/>
    <xf numFmtId="174" fontId="7" fillId="0" borderId="0" applyFont="0" applyFill="0" applyBorder="0" applyAlignment="0" applyProtection="0"/>
    <xf numFmtId="0" fontId="37" fillId="0" borderId="0"/>
    <xf numFmtId="0" fontId="48" fillId="17" borderId="0" applyNumberFormat="0" applyBorder="0" applyAlignment="0" applyProtection="0"/>
    <xf numFmtId="0" fontId="60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22" borderId="6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2" borderId="62" applyNumberFormat="0" applyFont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174" fontId="7" fillId="0" borderId="0" applyFont="0" applyFill="0" applyBorder="0" applyAlignment="0" applyProtection="0"/>
    <xf numFmtId="0" fontId="59" fillId="0" borderId="0"/>
    <xf numFmtId="171" fontId="7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2" borderId="6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2" borderId="62" applyNumberFormat="0" applyFont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178" fontId="61" fillId="0" borderId="0"/>
  </cellStyleXfs>
  <cellXfs count="364">
    <xf numFmtId="0" fontId="0" fillId="0" borderId="0" xfId="0"/>
    <xf numFmtId="0" fontId="7" fillId="0" borderId="0" xfId="0" applyFont="1"/>
    <xf numFmtId="0" fontId="17" fillId="0" borderId="0" xfId="0" applyFont="1" applyFill="1" applyAlignment="1">
      <alignment horizontal="center" vertical="center"/>
    </xf>
    <xf numFmtId="0" fontId="7" fillId="0" borderId="0" xfId="22" applyFont="1" applyFill="1" applyBorder="1" applyAlignment="1">
      <alignment horizontal="center" vertical="center" wrapText="1"/>
    </xf>
    <xf numFmtId="0" fontId="17" fillId="0" borderId="0" xfId="22" applyFont="1" applyFill="1" applyBorder="1" applyAlignment="1">
      <alignment vertical="center"/>
    </xf>
    <xf numFmtId="0" fontId="17" fillId="0" borderId="0" xfId="22" applyFont="1" applyFill="1" applyAlignment="1">
      <alignment vertical="center"/>
    </xf>
    <xf numFmtId="0" fontId="17" fillId="0" borderId="0" xfId="22" applyFont="1" applyFill="1" applyBorder="1" applyAlignment="1">
      <alignment horizontal="center" vertical="center"/>
    </xf>
    <xf numFmtId="2" fontId="17" fillId="0" borderId="0" xfId="22" applyNumberFormat="1" applyFont="1" applyFill="1" applyBorder="1" applyAlignment="1">
      <alignment vertical="center"/>
    </xf>
    <xf numFmtId="2" fontId="17" fillId="0" borderId="0" xfId="22" applyNumberFormat="1" applyFont="1" applyFill="1" applyBorder="1" applyAlignment="1">
      <alignment horizontal="left" vertical="center"/>
    </xf>
    <xf numFmtId="49" fontId="17" fillId="0" borderId="0" xfId="22" applyNumberFormat="1" applyFont="1" applyFill="1" applyBorder="1" applyAlignment="1">
      <alignment vertical="center"/>
    </xf>
    <xf numFmtId="0" fontId="17" fillId="3" borderId="0" xfId="0" applyFont="1" applyFill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7" fillId="0" borderId="0" xfId="22" applyFont="1" applyAlignment="1">
      <alignment vertical="center"/>
    </xf>
    <xf numFmtId="1" fontId="17" fillId="0" borderId="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6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16" fontId="17" fillId="0" borderId="0" xfId="0" applyNumberFormat="1" applyFont="1" applyFill="1" applyBorder="1" applyAlignment="1">
      <alignment horizontal="left" vertical="center"/>
    </xf>
    <xf numFmtId="17" fontId="17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17" fontId="17" fillId="0" borderId="0" xfId="0" applyNumberFormat="1" applyFont="1" applyFill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5" fontId="17" fillId="0" borderId="0" xfId="22" applyNumberFormat="1" applyFont="1" applyFill="1" applyBorder="1" applyAlignment="1">
      <alignment vertical="center"/>
    </xf>
    <xf numFmtId="4" fontId="18" fillId="0" borderId="0" xfId="22" applyNumberFormat="1" applyFont="1" applyFill="1" applyBorder="1" applyAlignment="1">
      <alignment vertical="center"/>
    </xf>
    <xf numFmtId="165" fontId="18" fillId="0" borderId="0" xfId="22" applyNumberFormat="1" applyFont="1" applyFill="1" applyBorder="1" applyAlignment="1">
      <alignment vertical="center"/>
    </xf>
    <xf numFmtId="49" fontId="17" fillId="0" borderId="0" xfId="22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17" fontId="7" fillId="0" borderId="0" xfId="0" applyNumberFormat="1" applyFont="1"/>
    <xf numFmtId="0" fontId="3" fillId="0" borderId="0" xfId="37"/>
    <xf numFmtId="0" fontId="22" fillId="0" borderId="5" xfId="37" applyFont="1" applyBorder="1" applyAlignment="1">
      <alignment horizontal="center" vertical="center" wrapText="1"/>
    </xf>
    <xf numFmtId="0" fontId="6" fillId="0" borderId="38" xfId="37" applyFont="1" applyBorder="1" applyAlignment="1">
      <alignment horizontal="center" vertical="center" wrapText="1"/>
    </xf>
    <xf numFmtId="0" fontId="6" fillId="0" borderId="10" xfId="37" applyFont="1" applyBorder="1" applyAlignment="1">
      <alignment horizontal="center" vertical="center" wrapText="1"/>
    </xf>
    <xf numFmtId="0" fontId="5" fillId="0" borderId="5" xfId="37" applyFont="1" applyBorder="1" applyAlignment="1">
      <alignment horizontal="left"/>
    </xf>
    <xf numFmtId="0" fontId="5" fillId="0" borderId="38" xfId="37" applyFont="1" applyBorder="1" applyAlignment="1">
      <alignment wrapText="1"/>
    </xf>
    <xf numFmtId="4" fontId="5" fillId="0" borderId="10" xfId="37" applyNumberFormat="1" applyFont="1" applyBorder="1"/>
    <xf numFmtId="4" fontId="24" fillId="3" borderId="0" xfId="37" applyNumberFormat="1" applyFont="1" applyFill="1"/>
    <xf numFmtId="0" fontId="5" fillId="0" borderId="15" xfId="37" applyFont="1" applyBorder="1" applyAlignment="1">
      <alignment horizontal="left"/>
    </xf>
    <xf numFmtId="0" fontId="5" fillId="0" borderId="31" xfId="37" applyFont="1" applyBorder="1" applyAlignment="1">
      <alignment wrapText="1"/>
    </xf>
    <xf numFmtId="4" fontId="5" fillId="0" borderId="7" xfId="37" applyNumberFormat="1" applyFont="1" applyBorder="1"/>
    <xf numFmtId="4" fontId="3" fillId="0" borderId="0" xfId="37" applyNumberFormat="1"/>
    <xf numFmtId="0" fontId="5" fillId="0" borderId="44" xfId="37" applyFont="1" applyBorder="1" applyAlignment="1">
      <alignment horizontal="center"/>
    </xf>
    <xf numFmtId="0" fontId="5" fillId="0" borderId="3" xfId="37" applyFont="1" applyBorder="1" applyAlignment="1">
      <alignment vertical="center" wrapText="1"/>
    </xf>
    <xf numFmtId="4" fontId="5" fillId="0" borderId="8" xfId="37" applyNumberFormat="1" applyFont="1" applyBorder="1"/>
    <xf numFmtId="0" fontId="6" fillId="0" borderId="44" xfId="37" applyFont="1" applyBorder="1"/>
    <xf numFmtId="0" fontId="6" fillId="0" borderId="3" xfId="37" applyFont="1" applyBorder="1" applyAlignment="1">
      <alignment vertical="center" wrapText="1"/>
    </xf>
    <xf numFmtId="4" fontId="6" fillId="0" borderId="8" xfId="37" applyNumberFormat="1" applyFont="1" applyBorder="1"/>
    <xf numFmtId="0" fontId="6" fillId="0" borderId="3" xfId="37" applyFont="1" applyBorder="1" applyAlignment="1">
      <alignment horizontal="left" wrapText="1"/>
    </xf>
    <xf numFmtId="0" fontId="6" fillId="0" borderId="3" xfId="37" applyFont="1" applyBorder="1" applyAlignment="1">
      <alignment wrapText="1"/>
    </xf>
    <xf numFmtId="0" fontId="5" fillId="0" borderId="44" xfId="37" applyFont="1" applyBorder="1" applyAlignment="1">
      <alignment horizontal="left"/>
    </xf>
    <xf numFmtId="0" fontId="5" fillId="0" borderId="3" xfId="37" applyFont="1" applyBorder="1" applyAlignment="1">
      <alignment wrapText="1"/>
    </xf>
    <xf numFmtId="0" fontId="6" fillId="0" borderId="44" xfId="37" applyFont="1" applyBorder="1" applyAlignment="1">
      <alignment horizontal="right"/>
    </xf>
    <xf numFmtId="0" fontId="6" fillId="0" borderId="44" xfId="37" applyFont="1" applyBorder="1" applyAlignment="1">
      <alignment horizontal="center"/>
    </xf>
    <xf numFmtId="0" fontId="6" fillId="0" borderId="45" xfId="37" applyFont="1" applyBorder="1" applyAlignment="1">
      <alignment horizontal="center"/>
    </xf>
    <xf numFmtId="0" fontId="6" fillId="0" borderId="39" xfId="37" applyFont="1" applyBorder="1" applyAlignment="1">
      <alignment wrapText="1"/>
    </xf>
    <xf numFmtId="4" fontId="6" fillId="0" borderId="9" xfId="37" applyNumberFormat="1" applyFont="1" applyBorder="1"/>
    <xf numFmtId="0" fontId="6" fillId="0" borderId="1" xfId="37" applyFont="1" applyBorder="1"/>
    <xf numFmtId="0" fontId="6" fillId="0" borderId="41" xfId="37" applyFont="1" applyBorder="1" applyAlignment="1">
      <alignment wrapText="1"/>
    </xf>
    <xf numFmtId="4" fontId="6" fillId="0" borderId="40" xfId="37" applyNumberFormat="1" applyFont="1" applyBorder="1"/>
    <xf numFmtId="0" fontId="25" fillId="0" borderId="10" xfId="37" applyFont="1" applyBorder="1" applyAlignment="1">
      <alignment horizontal="center"/>
    </xf>
    <xf numFmtId="4" fontId="5" fillId="0" borderId="24" xfId="37" applyNumberFormat="1" applyFont="1" applyBorder="1" applyAlignment="1">
      <alignment horizontal="center" wrapText="1"/>
    </xf>
    <xf numFmtId="0" fontId="26" fillId="0" borderId="17" xfId="37" applyFont="1" applyBorder="1" applyAlignment="1">
      <alignment wrapText="1"/>
    </xf>
    <xf numFmtId="4" fontId="5" fillId="0" borderId="19" xfId="37" applyNumberFormat="1" applyFont="1" applyBorder="1" applyAlignment="1">
      <alignment horizontal="right"/>
    </xf>
    <xf numFmtId="4" fontId="21" fillId="0" borderId="0" xfId="37" applyNumberFormat="1" applyFont="1"/>
    <xf numFmtId="4" fontId="6" fillId="0" borderId="47" xfId="37" applyNumberFormat="1" applyFont="1" applyBorder="1" applyAlignment="1">
      <alignment horizontal="right"/>
    </xf>
    <xf numFmtId="0" fontId="21" fillId="0" borderId="0" xfId="37" applyFont="1"/>
    <xf numFmtId="0" fontId="26" fillId="0" borderId="17" xfId="37" applyFont="1" applyBorder="1"/>
    <xf numFmtId="0" fontId="27" fillId="0" borderId="17" xfId="37" applyFont="1" applyBorder="1" applyAlignment="1">
      <alignment wrapText="1"/>
    </xf>
    <xf numFmtId="0" fontId="6" fillId="0" borderId="46" xfId="37" applyFont="1" applyBorder="1" applyAlignment="1">
      <alignment wrapText="1"/>
    </xf>
    <xf numFmtId="165" fontId="21" fillId="0" borderId="0" xfId="37" applyNumberFormat="1" applyFont="1"/>
    <xf numFmtId="4" fontId="23" fillId="10" borderId="0" xfId="37" applyNumberFormat="1" applyFont="1" applyFill="1"/>
    <xf numFmtId="0" fontId="20" fillId="0" borderId="43" xfId="37" applyFont="1" applyBorder="1" applyAlignment="1">
      <alignment wrapText="1"/>
    </xf>
    <xf numFmtId="4" fontId="6" fillId="0" borderId="42" xfId="37" applyNumberFormat="1" applyFont="1" applyBorder="1" applyAlignment="1">
      <alignment horizontal="right"/>
    </xf>
    <xf numFmtId="0" fontId="20" fillId="0" borderId="40" xfId="37" applyFont="1" applyBorder="1" applyAlignment="1">
      <alignment wrapText="1"/>
    </xf>
    <xf numFmtId="4" fontId="6" fillId="0" borderId="25" xfId="37" applyNumberFormat="1" applyFont="1" applyBorder="1" applyAlignment="1">
      <alignment horizontal="right"/>
    </xf>
    <xf numFmtId="0" fontId="20" fillId="0" borderId="43" xfId="37" applyFont="1" applyBorder="1"/>
    <xf numFmtId="0" fontId="6" fillId="0" borderId="43" xfId="37" applyFont="1" applyBorder="1" applyAlignment="1">
      <alignment wrapText="1"/>
    </xf>
    <xf numFmtId="0" fontId="6" fillId="0" borderId="8" xfId="37" applyFont="1" applyBorder="1" applyAlignment="1">
      <alignment wrapText="1"/>
    </xf>
    <xf numFmtId="0" fontId="6" fillId="0" borderId="40" xfId="37" applyFont="1" applyBorder="1" applyAlignment="1">
      <alignment wrapText="1"/>
    </xf>
    <xf numFmtId="4" fontId="6" fillId="0" borderId="40" xfId="37" applyNumberFormat="1" applyFont="1" applyBorder="1" applyAlignment="1">
      <alignment horizontal="right"/>
    </xf>
    <xf numFmtId="0" fontId="28" fillId="2" borderId="0" xfId="22" applyFont="1" applyFill="1"/>
    <xf numFmtId="0" fontId="28" fillId="2" borderId="0" xfId="22" applyFont="1" applyFill="1" applyBorder="1"/>
    <xf numFmtId="166" fontId="28" fillId="2" borderId="0" xfId="0" applyNumberFormat="1" applyFont="1" applyFill="1" applyBorder="1" applyAlignment="1" applyProtection="1">
      <protection hidden="1"/>
    </xf>
    <xf numFmtId="166" fontId="28" fillId="2" borderId="21" xfId="0" applyNumberFormat="1" applyFont="1" applyFill="1" applyBorder="1" applyAlignment="1" applyProtection="1">
      <protection hidden="1"/>
    </xf>
    <xf numFmtId="0" fontId="28" fillId="2" borderId="0" xfId="36" applyFont="1" applyFill="1" applyBorder="1"/>
    <xf numFmtId="0" fontId="28" fillId="2" borderId="0" xfId="22" applyFont="1" applyFill="1" applyProtection="1"/>
    <xf numFmtId="0" fontId="28" fillId="2" borderId="0" xfId="22" applyFont="1" applyFill="1" applyBorder="1" applyAlignment="1">
      <alignment vertical="center"/>
    </xf>
    <xf numFmtId="0" fontId="28" fillId="2" borderId="0" xfId="22" applyFont="1" applyFill="1" applyProtection="1">
      <protection locked="0"/>
    </xf>
    <xf numFmtId="0" fontId="30" fillId="5" borderId="33" xfId="36" applyFont="1" applyFill="1" applyBorder="1" applyAlignment="1">
      <alignment horizontal="center" vertical="center" wrapText="1"/>
    </xf>
    <xf numFmtId="0" fontId="30" fillId="5" borderId="19" xfId="36" applyFont="1" applyFill="1" applyBorder="1" applyAlignment="1">
      <alignment horizontal="center" vertical="center" wrapText="1"/>
    </xf>
    <xf numFmtId="2" fontId="30" fillId="5" borderId="6" xfId="22" applyNumberFormat="1" applyFont="1" applyFill="1" applyBorder="1" applyAlignment="1">
      <alignment vertical="center"/>
    </xf>
    <xf numFmtId="165" fontId="30" fillId="5" borderId="5" xfId="22" applyNumberFormat="1" applyFont="1" applyFill="1" applyBorder="1" applyAlignment="1">
      <alignment vertical="center"/>
    </xf>
    <xf numFmtId="4" fontId="30" fillId="5" borderId="24" xfId="22" applyNumberFormat="1" applyFont="1" applyFill="1" applyBorder="1" applyAlignment="1">
      <alignment vertical="center"/>
    </xf>
    <xf numFmtId="2" fontId="30" fillId="2" borderId="16" xfId="22" applyNumberFormat="1" applyFont="1" applyFill="1" applyBorder="1" applyAlignment="1">
      <alignment vertical="center"/>
    </xf>
    <xf numFmtId="165" fontId="30" fillId="2" borderId="30" xfId="22" applyNumberFormat="1" applyFont="1" applyFill="1" applyBorder="1" applyAlignment="1">
      <alignment vertical="center"/>
    </xf>
    <xf numFmtId="4" fontId="30" fillId="2" borderId="0" xfId="22" applyNumberFormat="1" applyFont="1" applyFill="1" applyBorder="1" applyAlignment="1">
      <alignment vertical="center"/>
    </xf>
    <xf numFmtId="4" fontId="30" fillId="2" borderId="14" xfId="22" applyNumberFormat="1" applyFont="1" applyFill="1" applyBorder="1" applyAlignment="1">
      <alignment vertical="center"/>
    </xf>
    <xf numFmtId="2" fontId="28" fillId="2" borderId="16" xfId="22" applyNumberFormat="1" applyFont="1" applyFill="1" applyBorder="1" applyAlignment="1">
      <alignment vertical="center"/>
    </xf>
    <xf numFmtId="4" fontId="28" fillId="2" borderId="14" xfId="22" applyNumberFormat="1" applyFont="1" applyFill="1" applyBorder="1" applyAlignment="1">
      <alignment vertical="center"/>
    </xf>
    <xf numFmtId="4" fontId="28" fillId="2" borderId="0" xfId="22" applyNumberFormat="1" applyFont="1" applyFill="1" applyBorder="1"/>
    <xf numFmtId="4" fontId="28" fillId="2" borderId="0" xfId="22" applyNumberFormat="1" applyFont="1" applyFill="1"/>
    <xf numFmtId="2" fontId="30" fillId="2" borderId="16" xfId="22" applyNumberFormat="1" applyFont="1" applyFill="1" applyBorder="1" applyAlignment="1">
      <alignment vertical="center" wrapText="1"/>
    </xf>
    <xf numFmtId="165" fontId="28" fillId="2" borderId="0" xfId="22" applyNumberFormat="1" applyFont="1" applyFill="1"/>
    <xf numFmtId="2" fontId="28" fillId="0" borderId="16" xfId="22" applyNumberFormat="1" applyFont="1" applyFill="1" applyBorder="1" applyAlignment="1">
      <alignment vertical="center"/>
    </xf>
    <xf numFmtId="4" fontId="28" fillId="0" borderId="14" xfId="22" applyNumberFormat="1" applyFont="1" applyFill="1" applyBorder="1" applyAlignment="1">
      <alignment vertical="center"/>
    </xf>
    <xf numFmtId="49" fontId="28" fillId="2" borderId="0" xfId="22" applyNumberFormat="1" applyFont="1" applyFill="1" applyBorder="1" applyAlignment="1">
      <alignment wrapText="1"/>
    </xf>
    <xf numFmtId="2" fontId="34" fillId="2" borderId="0" xfId="22" applyNumberFormat="1" applyFont="1" applyFill="1" applyBorder="1" applyAlignment="1">
      <alignment vertical="center"/>
    </xf>
    <xf numFmtId="2" fontId="28" fillId="2" borderId="0" xfId="22" applyNumberFormat="1" applyFont="1" applyFill="1" applyBorder="1" applyAlignment="1">
      <alignment wrapText="1"/>
    </xf>
    <xf numFmtId="0" fontId="30" fillId="5" borderId="36" xfId="36" applyFont="1" applyFill="1" applyBorder="1" applyAlignment="1">
      <alignment horizontal="center" vertical="center" wrapText="1"/>
    </xf>
    <xf numFmtId="0" fontId="28" fillId="2" borderId="0" xfId="22" applyNumberFormat="1" applyFont="1" applyFill="1" applyBorder="1"/>
    <xf numFmtId="49" fontId="28" fillId="2" borderId="0" xfId="22" applyNumberFormat="1" applyFont="1" applyFill="1" applyAlignment="1">
      <alignment wrapText="1"/>
    </xf>
    <xf numFmtId="0" fontId="28" fillId="2" borderId="0" xfId="22" applyNumberFormat="1" applyFont="1" applyFill="1"/>
    <xf numFmtId="0" fontId="28" fillId="2" borderId="0" xfId="22" applyFont="1" applyFill="1" applyBorder="1" applyAlignment="1">
      <alignment wrapText="1"/>
    </xf>
    <xf numFmtId="0" fontId="28" fillId="2" borderId="0" xfId="22" applyFont="1" applyFill="1" applyBorder="1" applyAlignment="1">
      <alignment horizontal="center" wrapText="1"/>
    </xf>
    <xf numFmtId="0" fontId="28" fillId="2" borderId="0" xfId="22" applyFont="1" applyFill="1" applyBorder="1" applyAlignment="1">
      <alignment horizontal="right"/>
    </xf>
    <xf numFmtId="0" fontId="28" fillId="2" borderId="0" xfId="22" applyFont="1" applyFill="1" applyAlignment="1">
      <alignment wrapText="1"/>
    </xf>
    <xf numFmtId="2" fontId="28" fillId="2" borderId="0" xfId="22" applyNumberFormat="1" applyFont="1" applyFill="1" applyBorder="1" applyAlignment="1">
      <alignment horizontal="right"/>
    </xf>
    <xf numFmtId="0" fontId="33" fillId="2" borderId="0" xfId="22" applyFont="1" applyFill="1" applyBorder="1"/>
    <xf numFmtId="0" fontId="28" fillId="2" borderId="35" xfId="22" applyFont="1" applyFill="1" applyBorder="1"/>
    <xf numFmtId="2" fontId="30" fillId="2" borderId="6" xfId="22" applyNumberFormat="1" applyFont="1" applyFill="1" applyBorder="1" applyAlignment="1">
      <alignment vertical="center"/>
    </xf>
    <xf numFmtId="165" fontId="30" fillId="2" borderId="5" xfId="22" applyNumberFormat="1" applyFont="1" applyFill="1" applyBorder="1" applyAlignment="1">
      <alignment vertical="center"/>
    </xf>
    <xf numFmtId="4" fontId="30" fillId="2" borderId="24" xfId="22" applyNumberFormat="1" applyFont="1" applyFill="1" applyBorder="1" applyAlignment="1">
      <alignment vertical="center"/>
    </xf>
    <xf numFmtId="0" fontId="29" fillId="12" borderId="6" xfId="22" applyFont="1" applyFill="1" applyBorder="1" applyAlignment="1">
      <alignment vertical="center"/>
    </xf>
    <xf numFmtId="0" fontId="30" fillId="8" borderId="33" xfId="22" applyFont="1" applyFill="1" applyBorder="1" applyAlignment="1">
      <alignment horizontal="center" vertical="center" wrapText="1"/>
    </xf>
    <xf numFmtId="2" fontId="30" fillId="8" borderId="6" xfId="22" applyNumberFormat="1" applyFont="1" applyFill="1" applyBorder="1" applyAlignment="1">
      <alignment vertical="center"/>
    </xf>
    <xf numFmtId="165" fontId="30" fillId="2" borderId="30" xfId="36" applyNumberFormat="1" applyFont="1" applyFill="1" applyBorder="1" applyAlignment="1">
      <alignment vertical="center"/>
    </xf>
    <xf numFmtId="165" fontId="28" fillId="0" borderId="30" xfId="36" applyNumberFormat="1" applyFont="1" applyFill="1" applyBorder="1" applyAlignment="1">
      <alignment vertical="center"/>
    </xf>
    <xf numFmtId="165" fontId="28" fillId="2" borderId="30" xfId="36" applyNumberFormat="1" applyFont="1" applyFill="1" applyBorder="1" applyAlignment="1">
      <alignment vertical="center"/>
    </xf>
    <xf numFmtId="0" fontId="30" fillId="8" borderId="36" xfId="22" applyFont="1" applyFill="1" applyBorder="1" applyAlignment="1">
      <alignment horizontal="center" vertical="center" wrapText="1"/>
    </xf>
    <xf numFmtId="4" fontId="30" fillId="2" borderId="14" xfId="36" applyNumberFormat="1" applyFont="1" applyFill="1" applyBorder="1" applyAlignment="1">
      <alignment vertical="center"/>
    </xf>
    <xf numFmtId="0" fontId="32" fillId="2" borderId="0" xfId="22" applyFont="1" applyFill="1" applyBorder="1"/>
    <xf numFmtId="165" fontId="30" fillId="5" borderId="5" xfId="36" applyNumberFormat="1" applyFont="1" applyFill="1" applyBorder="1" applyAlignment="1">
      <alignment vertical="center"/>
    </xf>
    <xf numFmtId="165" fontId="30" fillId="2" borderId="5" xfId="36" applyNumberFormat="1" applyFont="1" applyFill="1" applyBorder="1" applyAlignment="1">
      <alignment vertical="center"/>
    </xf>
    <xf numFmtId="0" fontId="32" fillId="2" borderId="22" xfId="36" applyFont="1" applyFill="1" applyBorder="1" applyAlignment="1"/>
    <xf numFmtId="165" fontId="30" fillId="5" borderId="11" xfId="36" applyNumberFormat="1" applyFont="1" applyFill="1" applyBorder="1" applyAlignment="1">
      <alignment vertical="center"/>
    </xf>
    <xf numFmtId="165" fontId="30" fillId="0" borderId="30" xfId="36" applyNumberFormat="1" applyFont="1" applyFill="1" applyBorder="1" applyAlignment="1">
      <alignment vertical="center"/>
    </xf>
    <xf numFmtId="0" fontId="29" fillId="7" borderId="6" xfId="22" applyFont="1" applyFill="1" applyBorder="1" applyAlignment="1">
      <alignment vertical="center"/>
    </xf>
    <xf numFmtId="0" fontId="29" fillId="2" borderId="0" xfId="22" applyFont="1" applyFill="1" applyBorder="1" applyAlignment="1">
      <alignment vertical="center"/>
    </xf>
    <xf numFmtId="2" fontId="30" fillId="6" borderId="6" xfId="22" applyNumberFormat="1" applyFont="1" applyFill="1" applyBorder="1" applyAlignment="1">
      <alignment vertical="center"/>
    </xf>
    <xf numFmtId="0" fontId="2" fillId="0" borderId="0" xfId="37" applyFont="1"/>
    <xf numFmtId="0" fontId="29" fillId="9" borderId="6" xfId="22" applyFont="1" applyFill="1" applyBorder="1" applyAlignment="1">
      <alignment vertical="center"/>
    </xf>
    <xf numFmtId="0" fontId="37" fillId="0" borderId="0" xfId="0" applyFont="1"/>
    <xf numFmtId="175" fontId="0" fillId="0" borderId="0" xfId="0" applyNumberFormat="1"/>
    <xf numFmtId="0" fontId="28" fillId="2" borderId="35" xfId="22" applyFont="1" applyFill="1" applyBorder="1" applyAlignment="1"/>
    <xf numFmtId="0" fontId="30" fillId="5" borderId="0" xfId="36" applyFont="1" applyFill="1" applyBorder="1" applyAlignment="1">
      <alignment horizontal="center" vertical="center" wrapText="1"/>
    </xf>
    <xf numFmtId="165" fontId="28" fillId="10" borderId="30" xfId="36" applyNumberFormat="1" applyFont="1" applyFill="1" applyBorder="1" applyAlignment="1">
      <alignment vertical="center"/>
    </xf>
    <xf numFmtId="4" fontId="28" fillId="10" borderId="14" xfId="22" applyNumberFormat="1" applyFont="1" applyFill="1" applyBorder="1" applyAlignment="1">
      <alignment vertical="center"/>
    </xf>
    <xf numFmtId="165" fontId="30" fillId="10" borderId="5" xfId="22" applyNumberFormat="1" applyFont="1" applyFill="1" applyBorder="1" applyAlignment="1">
      <alignment vertical="center"/>
    </xf>
    <xf numFmtId="4" fontId="30" fillId="10" borderId="24" xfId="22" applyNumberFormat="1" applyFont="1" applyFill="1" applyBorder="1" applyAlignment="1">
      <alignment vertical="center"/>
    </xf>
    <xf numFmtId="0" fontId="28" fillId="2" borderId="0" xfId="39" applyFont="1" applyFill="1"/>
    <xf numFmtId="2" fontId="34" fillId="2" borderId="0" xfId="39" applyNumberFormat="1" applyFont="1" applyFill="1" applyBorder="1" applyAlignment="1">
      <alignment vertical="center"/>
    </xf>
    <xf numFmtId="49" fontId="28" fillId="2" borderId="0" xfId="39" applyNumberFormat="1" applyFont="1" applyFill="1" applyBorder="1" applyAlignment="1">
      <alignment wrapText="1"/>
    </xf>
    <xf numFmtId="49" fontId="28" fillId="2" borderId="0" xfId="39" applyNumberFormat="1" applyFont="1" applyFill="1" applyAlignment="1">
      <alignment horizontal="right" wrapText="1"/>
    </xf>
    <xf numFmtId="2" fontId="30" fillId="2" borderId="10" xfId="22" applyNumberFormat="1" applyFont="1" applyFill="1" applyBorder="1" applyAlignment="1">
      <alignment vertical="center"/>
    </xf>
    <xf numFmtId="0" fontId="28" fillId="2" borderId="10" xfId="22" applyFont="1" applyFill="1" applyBorder="1"/>
    <xf numFmtId="0" fontId="28" fillId="2" borderId="16" xfId="22" applyFont="1" applyFill="1" applyBorder="1"/>
    <xf numFmtId="0" fontId="30" fillId="5" borderId="22" xfId="36" applyFont="1" applyFill="1" applyBorder="1" applyAlignment="1">
      <alignment horizontal="center" vertical="center" wrapText="1"/>
    </xf>
    <xf numFmtId="0" fontId="30" fillId="5" borderId="37" xfId="36" applyFont="1" applyFill="1" applyBorder="1" applyAlignment="1">
      <alignment horizontal="center" vertical="center" wrapText="1"/>
    </xf>
    <xf numFmtId="0" fontId="30" fillId="5" borderId="11" xfId="36" applyFont="1" applyFill="1" applyBorder="1" applyAlignment="1">
      <alignment horizontal="center" vertical="center" wrapText="1"/>
    </xf>
    <xf numFmtId="166" fontId="31" fillId="2" borderId="0" xfId="0" applyNumberFormat="1" applyFont="1" applyFill="1" applyBorder="1" applyAlignment="1" applyProtection="1">
      <alignment vertical="center"/>
      <protection hidden="1"/>
    </xf>
    <xf numFmtId="176" fontId="28" fillId="2" borderId="0" xfId="22" applyNumberFormat="1" applyFont="1" applyFill="1"/>
    <xf numFmtId="2" fontId="28" fillId="2" borderId="6" xfId="22" applyNumberFormat="1" applyFont="1" applyFill="1" applyBorder="1" applyAlignment="1">
      <alignment vertical="center"/>
    </xf>
    <xf numFmtId="2" fontId="28" fillId="2" borderId="0" xfId="22" applyNumberFormat="1" applyFont="1" applyFill="1"/>
    <xf numFmtId="2" fontId="17" fillId="2" borderId="16" xfId="22" applyNumberFormat="1" applyFont="1" applyFill="1" applyBorder="1" applyAlignment="1">
      <alignment vertical="center"/>
    </xf>
    <xf numFmtId="167" fontId="28" fillId="14" borderId="12" xfId="0" applyNumberFormat="1" applyFont="1" applyFill="1" applyBorder="1" applyAlignment="1">
      <alignment horizontal="right"/>
    </xf>
    <xf numFmtId="2" fontId="30" fillId="5" borderId="10" xfId="22" applyNumberFormat="1" applyFont="1" applyFill="1" applyBorder="1" applyAlignment="1">
      <alignment vertical="center"/>
    </xf>
    <xf numFmtId="0" fontId="28" fillId="2" borderId="0" xfId="22" applyFont="1" applyFill="1" applyAlignment="1">
      <alignment horizontal="right"/>
    </xf>
    <xf numFmtId="2" fontId="28" fillId="2" borderId="17" xfId="22" applyNumberFormat="1" applyFont="1" applyFill="1" applyBorder="1" applyAlignment="1">
      <alignment vertical="center"/>
    </xf>
    <xf numFmtId="2" fontId="28" fillId="2" borderId="0" xfId="22" applyNumberFormat="1" applyFont="1" applyFill="1" applyBorder="1"/>
    <xf numFmtId="166" fontId="28" fillId="2" borderId="0" xfId="0" applyNumberFormat="1" applyFont="1" applyFill="1" applyBorder="1" applyAlignment="1" applyProtection="1">
      <alignment horizontal="right"/>
      <protection hidden="1"/>
    </xf>
    <xf numFmtId="0" fontId="30" fillId="11" borderId="48" xfId="0" applyNumberFormat="1" applyFont="1" applyFill="1" applyBorder="1" applyAlignment="1" applyProtection="1">
      <alignment horizontal="right"/>
      <protection hidden="1"/>
    </xf>
    <xf numFmtId="2" fontId="28" fillId="11" borderId="48" xfId="0" applyNumberFormat="1" applyFont="1" applyFill="1" applyBorder="1" applyAlignment="1" applyProtection="1">
      <alignment horizontal="right" vertical="center"/>
      <protection hidden="1"/>
    </xf>
    <xf numFmtId="2" fontId="28" fillId="11" borderId="0" xfId="0" applyNumberFormat="1" applyFont="1" applyFill="1" applyBorder="1" applyAlignment="1" applyProtection="1">
      <alignment horizontal="right" vertical="center"/>
      <protection hidden="1"/>
    </xf>
    <xf numFmtId="2" fontId="28" fillId="11" borderId="50" xfId="0" applyNumberFormat="1" applyFont="1" applyFill="1" applyBorder="1" applyAlignment="1" applyProtection="1">
      <alignment horizontal="right" vertical="center"/>
      <protection hidden="1"/>
    </xf>
    <xf numFmtId="10" fontId="28" fillId="2" borderId="2" xfId="38" applyNumberFormat="1" applyFont="1" applyFill="1" applyBorder="1" applyAlignment="1" applyProtection="1">
      <alignment horizontal="right" vertical="center"/>
      <protection hidden="1"/>
    </xf>
    <xf numFmtId="166" fontId="28" fillId="11" borderId="0" xfId="0" applyNumberFormat="1" applyFont="1" applyFill="1" applyBorder="1" applyAlignment="1" applyProtection="1">
      <alignment horizontal="right"/>
      <protection hidden="1"/>
    </xf>
    <xf numFmtId="2" fontId="28" fillId="11" borderId="48" xfId="0" applyNumberFormat="1" applyFont="1" applyFill="1" applyBorder="1" applyAlignment="1" applyProtection="1">
      <alignment horizontal="right"/>
      <protection hidden="1"/>
    </xf>
    <xf numFmtId="2" fontId="28" fillId="11" borderId="50" xfId="0" applyNumberFormat="1" applyFont="1" applyFill="1" applyBorder="1" applyAlignment="1" applyProtection="1">
      <alignment horizontal="right"/>
      <protection hidden="1"/>
    </xf>
    <xf numFmtId="0" fontId="39" fillId="2" borderId="22" xfId="36" applyFont="1" applyFill="1" applyBorder="1" applyAlignment="1">
      <alignment horizontal="right"/>
    </xf>
    <xf numFmtId="167" fontId="30" fillId="5" borderId="13" xfId="22" applyNumberFormat="1" applyFont="1" applyFill="1" applyBorder="1" applyAlignment="1">
      <alignment horizontal="right" vertical="center"/>
    </xf>
    <xf numFmtId="167" fontId="30" fillId="14" borderId="12" xfId="22" applyNumberFormat="1" applyFont="1" applyFill="1" applyBorder="1" applyAlignment="1">
      <alignment horizontal="right" vertical="center"/>
    </xf>
    <xf numFmtId="167" fontId="28" fillId="14" borderId="12" xfId="22" applyNumberFormat="1" applyFont="1" applyFill="1" applyBorder="1" applyAlignment="1">
      <alignment horizontal="right" vertical="center"/>
    </xf>
    <xf numFmtId="167" fontId="30" fillId="14" borderId="12" xfId="36" applyNumberFormat="1" applyFont="1" applyFill="1" applyBorder="1" applyAlignment="1">
      <alignment horizontal="right" vertical="center"/>
    </xf>
    <xf numFmtId="167" fontId="17" fillId="14" borderId="12" xfId="22" applyNumberFormat="1" applyFont="1" applyFill="1" applyBorder="1" applyAlignment="1">
      <alignment horizontal="right" vertical="center"/>
    </xf>
    <xf numFmtId="167" fontId="30" fillId="14" borderId="13" xfId="22" applyNumberFormat="1" applyFont="1" applyFill="1" applyBorder="1" applyAlignment="1">
      <alignment horizontal="right" vertical="center"/>
    </xf>
    <xf numFmtId="167" fontId="28" fillId="14" borderId="13" xfId="22" applyNumberFormat="1" applyFont="1" applyFill="1" applyBorder="1" applyAlignment="1">
      <alignment horizontal="right" vertical="center"/>
    </xf>
    <xf numFmtId="0" fontId="28" fillId="2" borderId="21" xfId="39" applyFont="1" applyFill="1" applyBorder="1" applyAlignment="1">
      <alignment horizontal="right"/>
    </xf>
    <xf numFmtId="0" fontId="28" fillId="2" borderId="0" xfId="39" applyFont="1" applyFill="1" applyBorder="1" applyAlignment="1">
      <alignment horizontal="right"/>
    </xf>
    <xf numFmtId="0" fontId="28" fillId="2" borderId="0" xfId="39" applyFont="1" applyFill="1" applyAlignment="1">
      <alignment horizontal="right"/>
    </xf>
    <xf numFmtId="0" fontId="28" fillId="2" borderId="0" xfId="0" applyNumberFormat="1" applyFont="1" applyFill="1" applyBorder="1" applyAlignment="1" applyProtection="1">
      <alignment horizontal="right"/>
      <protection hidden="1"/>
    </xf>
    <xf numFmtId="0" fontId="28" fillId="2" borderId="0" xfId="22" applyFont="1" applyFill="1" applyBorder="1" applyAlignment="1">
      <alignment horizontal="right" vertical="center"/>
    </xf>
    <xf numFmtId="165" fontId="30" fillId="6" borderId="11" xfId="36" applyNumberFormat="1" applyFont="1" applyFill="1" applyBorder="1" applyAlignment="1">
      <alignment horizontal="right" vertical="center"/>
    </xf>
    <xf numFmtId="167" fontId="30" fillId="6" borderId="24" xfId="22" applyNumberFormat="1" applyFont="1" applyFill="1" applyBorder="1" applyAlignment="1">
      <alignment horizontal="right" vertical="center"/>
    </xf>
    <xf numFmtId="165" fontId="30" fillId="2" borderId="30" xfId="36" applyNumberFormat="1" applyFont="1" applyFill="1" applyBorder="1" applyAlignment="1">
      <alignment horizontal="right" vertical="center"/>
    </xf>
    <xf numFmtId="165" fontId="30" fillId="14" borderId="30" xfId="36" applyNumberFormat="1" applyFont="1" applyFill="1" applyBorder="1" applyAlignment="1">
      <alignment horizontal="right" vertical="center"/>
    </xf>
    <xf numFmtId="167" fontId="30" fillId="14" borderId="0" xfId="22" applyNumberFormat="1" applyFont="1" applyFill="1" applyBorder="1" applyAlignment="1">
      <alignment horizontal="right" vertical="center"/>
    </xf>
    <xf numFmtId="167" fontId="30" fillId="14" borderId="14" xfId="22" applyNumberFormat="1" applyFont="1" applyFill="1" applyBorder="1" applyAlignment="1">
      <alignment horizontal="right" vertical="center"/>
    </xf>
    <xf numFmtId="165" fontId="28" fillId="2" borderId="30" xfId="36" applyNumberFormat="1" applyFont="1" applyFill="1" applyBorder="1" applyAlignment="1">
      <alignment horizontal="right" vertical="center"/>
    </xf>
    <xf numFmtId="165" fontId="28" fillId="14" borderId="30" xfId="36" applyNumberFormat="1" applyFont="1" applyFill="1" applyBorder="1" applyAlignment="1">
      <alignment horizontal="right" vertical="center"/>
    </xf>
    <xf numFmtId="167" fontId="28" fillId="14" borderId="14" xfId="22" applyNumberFormat="1" applyFont="1" applyFill="1" applyBorder="1" applyAlignment="1">
      <alignment horizontal="right" vertical="center"/>
    </xf>
    <xf numFmtId="165" fontId="30" fillId="6" borderId="5" xfId="22" applyNumberFormat="1" applyFont="1" applyFill="1" applyBorder="1" applyAlignment="1">
      <alignment horizontal="right" vertical="center"/>
    </xf>
    <xf numFmtId="165" fontId="30" fillId="2" borderId="30" xfId="22" applyNumberFormat="1" applyFont="1" applyFill="1" applyBorder="1" applyAlignment="1">
      <alignment horizontal="right" vertical="center"/>
    </xf>
    <xf numFmtId="165" fontId="30" fillId="14" borderId="30" xfId="22" applyNumberFormat="1" applyFont="1" applyFill="1" applyBorder="1" applyAlignment="1">
      <alignment horizontal="right" vertical="center"/>
    </xf>
    <xf numFmtId="165" fontId="30" fillId="6" borderId="5" xfId="36" applyNumberFormat="1" applyFont="1" applyFill="1" applyBorder="1" applyAlignment="1">
      <alignment horizontal="right" vertical="center"/>
    </xf>
    <xf numFmtId="165" fontId="30" fillId="2" borderId="5" xfId="36" applyNumberFormat="1" applyFont="1" applyFill="1" applyBorder="1" applyAlignment="1">
      <alignment horizontal="right" vertical="center"/>
    </xf>
    <xf numFmtId="165" fontId="30" fillId="14" borderId="5" xfId="36" applyNumberFormat="1" applyFont="1" applyFill="1" applyBorder="1" applyAlignment="1">
      <alignment horizontal="right" vertical="center"/>
    </xf>
    <xf numFmtId="167" fontId="30" fillId="14" borderId="24" xfId="22" applyNumberFormat="1" applyFont="1" applyFill="1" applyBorder="1" applyAlignment="1">
      <alignment horizontal="right" vertical="center"/>
    </xf>
    <xf numFmtId="165" fontId="28" fillId="2" borderId="5" xfId="36" applyNumberFormat="1" applyFont="1" applyFill="1" applyBorder="1" applyAlignment="1">
      <alignment horizontal="right" vertical="center"/>
    </xf>
    <xf numFmtId="165" fontId="28" fillId="14" borderId="5" xfId="36" applyNumberFormat="1" applyFont="1" applyFill="1" applyBorder="1" applyAlignment="1">
      <alignment horizontal="right" vertical="center"/>
    </xf>
    <xf numFmtId="167" fontId="28" fillId="14" borderId="24" xfId="22" applyNumberFormat="1" applyFont="1" applyFill="1" applyBorder="1" applyAlignment="1">
      <alignment horizontal="right" vertical="center"/>
    </xf>
    <xf numFmtId="165" fontId="30" fillId="2" borderId="5" xfId="22" applyNumberFormat="1" applyFont="1" applyFill="1" applyBorder="1" applyAlignment="1">
      <alignment horizontal="right" vertical="center"/>
    </xf>
    <xf numFmtId="165" fontId="30" fillId="14" borderId="5" xfId="22" applyNumberFormat="1" applyFont="1" applyFill="1" applyBorder="1" applyAlignment="1">
      <alignment horizontal="right" vertical="center"/>
    </xf>
    <xf numFmtId="2" fontId="28" fillId="2" borderId="0" xfId="22" applyNumberFormat="1" applyFont="1" applyFill="1" applyBorder="1" applyAlignment="1">
      <alignment horizontal="right" wrapText="1"/>
    </xf>
    <xf numFmtId="2" fontId="28" fillId="2" borderId="0" xfId="22" applyNumberFormat="1" applyFont="1" applyFill="1" applyAlignment="1">
      <alignment horizontal="right"/>
    </xf>
    <xf numFmtId="165" fontId="28" fillId="2" borderId="0" xfId="22" applyNumberFormat="1" applyFont="1" applyFill="1" applyAlignment="1">
      <alignment horizontal="right"/>
    </xf>
    <xf numFmtId="0" fontId="28" fillId="11" borderId="48" xfId="0" applyNumberFormat="1" applyFont="1" applyFill="1" applyBorder="1" applyAlignment="1" applyProtection="1">
      <alignment horizontal="right"/>
      <protection hidden="1"/>
    </xf>
    <xf numFmtId="0" fontId="30" fillId="11" borderId="49" xfId="22" applyNumberFormat="1" applyFont="1" applyFill="1" applyBorder="1" applyAlignment="1">
      <alignment horizontal="right"/>
    </xf>
    <xf numFmtId="0" fontId="28" fillId="11" borderId="48" xfId="0" applyNumberFormat="1" applyFont="1" applyFill="1" applyBorder="1" applyAlignment="1" applyProtection="1">
      <alignment horizontal="right" vertical="center"/>
      <protection hidden="1"/>
    </xf>
    <xf numFmtId="2" fontId="28" fillId="11" borderId="49" xfId="0" applyNumberFormat="1" applyFont="1" applyFill="1" applyBorder="1" applyAlignment="1" applyProtection="1">
      <alignment horizontal="right" vertical="center"/>
      <protection hidden="1"/>
    </xf>
    <xf numFmtId="0" fontId="28" fillId="11" borderId="0" xfId="0" applyNumberFormat="1" applyFont="1" applyFill="1" applyBorder="1" applyAlignment="1" applyProtection="1">
      <alignment horizontal="right" vertical="center"/>
      <protection hidden="1"/>
    </xf>
    <xf numFmtId="2" fontId="28" fillId="11" borderId="28" xfId="0" applyNumberFormat="1" applyFont="1" applyFill="1" applyBorder="1" applyAlignment="1" applyProtection="1">
      <alignment horizontal="right" vertical="center"/>
      <protection hidden="1"/>
    </xf>
    <xf numFmtId="0" fontId="28" fillId="11" borderId="50" xfId="0" applyNumberFormat="1" applyFont="1" applyFill="1" applyBorder="1" applyAlignment="1" applyProtection="1">
      <alignment horizontal="right" vertical="center"/>
      <protection hidden="1"/>
    </xf>
    <xf numFmtId="2" fontId="28" fillId="11" borderId="32" xfId="22" applyNumberFormat="1" applyFont="1" applyFill="1" applyBorder="1" applyAlignment="1">
      <alignment horizontal="right" vertical="center"/>
    </xf>
    <xf numFmtId="166" fontId="28" fillId="11" borderId="4" xfId="0" applyNumberFormat="1" applyFont="1" applyFill="1" applyBorder="1" applyAlignment="1" applyProtection="1">
      <alignment horizontal="right"/>
      <protection hidden="1"/>
    </xf>
    <xf numFmtId="0" fontId="28" fillId="11" borderId="28" xfId="22" applyFont="1" applyFill="1" applyBorder="1" applyAlignment="1">
      <alignment horizontal="right"/>
    </xf>
    <xf numFmtId="166" fontId="28" fillId="11" borderId="48" xfId="0" applyNumberFormat="1" applyFont="1" applyFill="1" applyBorder="1" applyAlignment="1" applyProtection="1">
      <alignment horizontal="right"/>
      <protection hidden="1"/>
    </xf>
    <xf numFmtId="2" fontId="28" fillId="11" borderId="49" xfId="0" applyNumberFormat="1" applyFont="1" applyFill="1" applyBorder="1" applyAlignment="1" applyProtection="1">
      <alignment horizontal="right"/>
      <protection hidden="1"/>
    </xf>
    <xf numFmtId="166" fontId="28" fillId="11" borderId="50" xfId="0" applyNumberFormat="1" applyFont="1" applyFill="1" applyBorder="1" applyAlignment="1" applyProtection="1">
      <alignment horizontal="right"/>
      <protection hidden="1"/>
    </xf>
    <xf numFmtId="2" fontId="28" fillId="11" borderId="32" xfId="0" applyNumberFormat="1" applyFont="1" applyFill="1" applyBorder="1" applyAlignment="1" applyProtection="1">
      <alignment horizontal="right"/>
      <protection hidden="1"/>
    </xf>
    <xf numFmtId="165" fontId="28" fillId="2" borderId="21" xfId="36" applyNumberFormat="1" applyFont="1" applyFill="1" applyBorder="1" applyAlignment="1">
      <alignment horizontal="right" wrapText="1"/>
    </xf>
    <xf numFmtId="166" fontId="28" fillId="2" borderId="21" xfId="0" applyNumberFormat="1" applyFont="1" applyFill="1" applyBorder="1" applyAlignment="1" applyProtection="1">
      <alignment horizontal="right"/>
      <protection hidden="1"/>
    </xf>
    <xf numFmtId="0" fontId="32" fillId="2" borderId="22" xfId="36" applyFont="1" applyFill="1" applyBorder="1" applyAlignment="1">
      <alignment horizontal="right"/>
    </xf>
    <xf numFmtId="165" fontId="30" fillId="5" borderId="11" xfId="36" applyNumberFormat="1" applyFont="1" applyFill="1" applyBorder="1" applyAlignment="1">
      <alignment horizontal="right" vertical="center"/>
    </xf>
    <xf numFmtId="167" fontId="30" fillId="5" borderId="36" xfId="22" applyNumberFormat="1" applyFont="1" applyFill="1" applyBorder="1" applyAlignment="1">
      <alignment horizontal="right" vertical="center"/>
    </xf>
    <xf numFmtId="165" fontId="28" fillId="0" borderId="30" xfId="36" applyNumberFormat="1" applyFont="1" applyFill="1" applyBorder="1" applyAlignment="1">
      <alignment horizontal="right" vertical="center"/>
    </xf>
    <xf numFmtId="165" fontId="30" fillId="5" borderId="5" xfId="22" applyNumberFormat="1" applyFont="1" applyFill="1" applyBorder="1" applyAlignment="1">
      <alignment horizontal="right" vertical="center"/>
    </xf>
    <xf numFmtId="165" fontId="30" fillId="5" borderId="5" xfId="36" applyNumberFormat="1" applyFont="1" applyFill="1" applyBorder="1" applyAlignment="1">
      <alignment horizontal="right" vertical="center"/>
    </xf>
    <xf numFmtId="165" fontId="30" fillId="0" borderId="30" xfId="36" applyNumberFormat="1" applyFont="1" applyFill="1" applyBorder="1" applyAlignment="1">
      <alignment horizontal="right" vertical="center"/>
    </xf>
    <xf numFmtId="175" fontId="28" fillId="2" borderId="30" xfId="36" applyNumberFormat="1" applyFont="1" applyFill="1" applyBorder="1" applyAlignment="1">
      <alignment horizontal="right" vertical="center"/>
    </xf>
    <xf numFmtId="165" fontId="17" fillId="0" borderId="30" xfId="36" applyNumberFormat="1" applyFont="1" applyFill="1" applyBorder="1" applyAlignment="1">
      <alignment horizontal="right" vertical="center"/>
    </xf>
    <xf numFmtId="165" fontId="17" fillId="2" borderId="30" xfId="36" applyNumberFormat="1" applyFont="1" applyFill="1" applyBorder="1" applyAlignment="1">
      <alignment horizontal="right" vertical="center"/>
    </xf>
    <xf numFmtId="165" fontId="17" fillId="14" borderId="30" xfId="22" applyNumberFormat="1" applyFont="1" applyFill="1" applyBorder="1" applyAlignment="1">
      <alignment horizontal="right" vertical="center"/>
    </xf>
    <xf numFmtId="165" fontId="17" fillId="0" borderId="11" xfId="36" applyNumberFormat="1" applyFont="1" applyFill="1" applyBorder="1" applyAlignment="1">
      <alignment horizontal="right" vertical="center"/>
    </xf>
    <xf numFmtId="165" fontId="30" fillId="15" borderId="5" xfId="36" applyNumberFormat="1" applyFont="1" applyFill="1" applyBorder="1" applyAlignment="1">
      <alignment horizontal="right" vertical="center"/>
    </xf>
    <xf numFmtId="165" fontId="28" fillId="2" borderId="11" xfId="36" applyNumberFormat="1" applyFont="1" applyFill="1" applyBorder="1" applyAlignment="1">
      <alignment horizontal="right" vertical="center"/>
    </xf>
    <xf numFmtId="165" fontId="28" fillId="2" borderId="21" xfId="39" applyNumberFormat="1" applyFont="1" applyFill="1" applyBorder="1" applyAlignment="1">
      <alignment horizontal="right"/>
    </xf>
    <xf numFmtId="2" fontId="28" fillId="2" borderId="0" xfId="39" applyNumberFormat="1" applyFont="1" applyFill="1" applyBorder="1" applyAlignment="1">
      <alignment horizontal="right"/>
    </xf>
    <xf numFmtId="165" fontId="28" fillId="2" borderId="0" xfId="39" applyNumberFormat="1" applyFont="1" applyFill="1" applyBorder="1" applyAlignment="1">
      <alignment horizontal="right" vertical="center"/>
    </xf>
    <xf numFmtId="4" fontId="38" fillId="2" borderId="0" xfId="39" applyNumberFormat="1" applyFont="1" applyFill="1" applyBorder="1" applyAlignment="1">
      <alignment horizontal="right"/>
    </xf>
    <xf numFmtId="165" fontId="30" fillId="8" borderId="5" xfId="0" applyNumberFormat="1" applyFont="1" applyFill="1" applyBorder="1" applyAlignment="1">
      <alignment horizontal="right"/>
    </xf>
    <xf numFmtId="167" fontId="30" fillId="8" borderId="13" xfId="0" applyNumberFormat="1" applyFont="1" applyFill="1" applyBorder="1" applyAlignment="1">
      <alignment horizontal="right"/>
    </xf>
    <xf numFmtId="165" fontId="30" fillId="2" borderId="29" xfId="0" applyNumberFormat="1" applyFont="1" applyFill="1" applyBorder="1" applyAlignment="1">
      <alignment horizontal="right"/>
    </xf>
    <xf numFmtId="165" fontId="30" fillId="14" borderId="29" xfId="0" applyNumberFormat="1" applyFont="1" applyFill="1" applyBorder="1" applyAlignment="1">
      <alignment horizontal="right"/>
    </xf>
    <xf numFmtId="167" fontId="30" fillId="14" borderId="34" xfId="0" applyNumberFormat="1" applyFont="1" applyFill="1" applyBorder="1" applyAlignment="1">
      <alignment horizontal="right"/>
    </xf>
    <xf numFmtId="165" fontId="28" fillId="2" borderId="30" xfId="0" applyNumberFormat="1" applyFont="1" applyFill="1" applyBorder="1" applyAlignment="1">
      <alignment horizontal="right"/>
    </xf>
    <xf numFmtId="165" fontId="28" fillId="14" borderId="30" xfId="0" applyNumberFormat="1" applyFont="1" applyFill="1" applyBorder="1" applyAlignment="1">
      <alignment horizontal="right"/>
    </xf>
    <xf numFmtId="165" fontId="30" fillId="2" borderId="30" xfId="0" applyNumberFormat="1" applyFont="1" applyFill="1" applyBorder="1" applyAlignment="1">
      <alignment horizontal="right"/>
    </xf>
    <xf numFmtId="165" fontId="30" fillId="14" borderId="30" xfId="0" applyNumberFormat="1" applyFont="1" applyFill="1" applyBorder="1" applyAlignment="1">
      <alignment horizontal="right"/>
    </xf>
    <xf numFmtId="167" fontId="30" fillId="14" borderId="12" xfId="0" applyNumberFormat="1" applyFont="1" applyFill="1" applyBorder="1" applyAlignment="1">
      <alignment horizontal="right"/>
    </xf>
    <xf numFmtId="165" fontId="30" fillId="8" borderId="5" xfId="22" applyNumberFormat="1" applyFont="1" applyFill="1" applyBorder="1" applyAlignment="1">
      <alignment horizontal="right" vertical="center"/>
    </xf>
    <xf numFmtId="167" fontId="30" fillId="8" borderId="13" xfId="22" applyNumberFormat="1" applyFont="1" applyFill="1" applyBorder="1" applyAlignment="1">
      <alignment horizontal="right" vertical="center"/>
    </xf>
    <xf numFmtId="165" fontId="30" fillId="8" borderId="5" xfId="36" applyNumberFormat="1" applyFont="1" applyFill="1" applyBorder="1" applyAlignment="1">
      <alignment horizontal="right" vertical="center"/>
    </xf>
    <xf numFmtId="165" fontId="30" fillId="2" borderId="11" xfId="0" applyNumberFormat="1" applyFont="1" applyFill="1" applyBorder="1" applyAlignment="1">
      <alignment horizontal="right"/>
    </xf>
    <xf numFmtId="165" fontId="30" fillId="14" borderId="11" xfId="0" applyNumberFormat="1" applyFont="1" applyFill="1" applyBorder="1" applyAlignment="1">
      <alignment horizontal="right"/>
    </xf>
    <xf numFmtId="167" fontId="30" fillId="14" borderId="36" xfId="0" applyNumberFormat="1" applyFont="1" applyFill="1" applyBorder="1" applyAlignment="1">
      <alignment horizontal="right"/>
    </xf>
    <xf numFmtId="165" fontId="30" fillId="2" borderId="15" xfId="0" applyNumberFormat="1" applyFont="1" applyFill="1" applyBorder="1" applyAlignment="1">
      <alignment horizontal="right"/>
    </xf>
    <xf numFmtId="165" fontId="30" fillId="14" borderId="15" xfId="0" applyNumberFormat="1" applyFont="1" applyFill="1" applyBorder="1" applyAlignment="1">
      <alignment horizontal="right"/>
    </xf>
    <xf numFmtId="167" fontId="30" fillId="14" borderId="53" xfId="0" applyNumberFormat="1" applyFont="1" applyFill="1" applyBorder="1" applyAlignment="1">
      <alignment horizontal="right"/>
    </xf>
    <xf numFmtId="165" fontId="28" fillId="2" borderId="30" xfId="36" applyNumberFormat="1" applyFont="1" applyFill="1" applyBorder="1" applyAlignment="1">
      <alignment horizontal="right"/>
    </xf>
    <xf numFmtId="165" fontId="30" fillId="2" borderId="5" xfId="0" applyNumberFormat="1" applyFont="1" applyFill="1" applyBorder="1" applyAlignment="1">
      <alignment horizontal="right"/>
    </xf>
    <xf numFmtId="165" fontId="30" fillId="14" borderId="5" xfId="0" applyNumberFormat="1" applyFont="1" applyFill="1" applyBorder="1" applyAlignment="1">
      <alignment horizontal="right"/>
    </xf>
    <xf numFmtId="165" fontId="28" fillId="2" borderId="29" xfId="36" applyNumberFormat="1" applyFont="1" applyFill="1" applyBorder="1" applyAlignment="1">
      <alignment horizontal="right"/>
    </xf>
    <xf numFmtId="165" fontId="28" fillId="14" borderId="29" xfId="0" applyNumberFormat="1" applyFont="1" applyFill="1" applyBorder="1" applyAlignment="1">
      <alignment horizontal="right"/>
    </xf>
    <xf numFmtId="167" fontId="28" fillId="14" borderId="34" xfId="0" applyNumberFormat="1" applyFont="1" applyFill="1" applyBorder="1" applyAlignment="1">
      <alignment horizontal="right"/>
    </xf>
    <xf numFmtId="49" fontId="28" fillId="2" borderId="0" xfId="22" applyNumberFormat="1" applyFont="1" applyFill="1" applyBorder="1" applyAlignment="1">
      <alignment horizontal="right" wrapText="1"/>
    </xf>
    <xf numFmtId="164" fontId="28" fillId="2" borderId="0" xfId="40" applyFont="1" applyFill="1" applyBorder="1" applyAlignment="1">
      <alignment horizontal="right" wrapText="1"/>
    </xf>
    <xf numFmtId="49" fontId="28" fillId="2" borderId="0" xfId="22" applyNumberFormat="1" applyFont="1" applyFill="1" applyAlignment="1">
      <alignment horizontal="right"/>
    </xf>
    <xf numFmtId="49" fontId="28" fillId="2" borderId="0" xfId="22" applyNumberFormat="1" applyFont="1" applyFill="1" applyAlignment="1">
      <alignment horizontal="right" wrapText="1"/>
    </xf>
    <xf numFmtId="49" fontId="42" fillId="2" borderId="0" xfId="22" applyNumberFormat="1" applyFont="1" applyFill="1" applyAlignment="1">
      <alignment horizontal="right" wrapText="1"/>
    </xf>
    <xf numFmtId="0" fontId="30" fillId="6" borderId="33" xfId="22" applyFont="1" applyFill="1" applyBorder="1" applyAlignment="1">
      <alignment horizontal="center" vertical="center" wrapText="1"/>
    </xf>
    <xf numFmtId="0" fontId="30" fillId="6" borderId="19" xfId="22" applyFont="1" applyFill="1" applyBorder="1" applyAlignment="1">
      <alignment horizontal="center" vertical="center" wrapText="1"/>
    </xf>
    <xf numFmtId="0" fontId="30" fillId="6" borderId="22" xfId="22" applyFont="1" applyFill="1" applyBorder="1" applyAlignment="1">
      <alignment horizontal="center" vertical="center" wrapText="1"/>
    </xf>
    <xf numFmtId="0" fontId="30" fillId="6" borderId="37" xfId="22" applyFont="1" applyFill="1" applyBorder="1" applyAlignment="1">
      <alignment horizontal="center" vertical="center" wrapText="1"/>
    </xf>
    <xf numFmtId="0" fontId="30" fillId="6" borderId="18" xfId="22" applyFont="1" applyFill="1" applyBorder="1" applyAlignment="1">
      <alignment horizontal="center" vertical="center" wrapText="1"/>
    </xf>
    <xf numFmtId="49" fontId="28" fillId="2" borderId="50" xfId="22" applyNumberFormat="1" applyFont="1" applyFill="1" applyBorder="1" applyAlignment="1">
      <alignment horizontal="right" wrapText="1"/>
    </xf>
    <xf numFmtId="4" fontId="30" fillId="5" borderId="36" xfId="22" applyNumberFormat="1" applyFont="1" applyFill="1" applyBorder="1" applyAlignment="1">
      <alignment horizontal="right" vertical="center"/>
    </xf>
    <xf numFmtId="4" fontId="30" fillId="2" borderId="12" xfId="22" applyNumberFormat="1" applyFont="1" applyFill="1" applyBorder="1" applyAlignment="1">
      <alignment horizontal="right" vertical="center"/>
    </xf>
    <xf numFmtId="4" fontId="28" fillId="2" borderId="12" xfId="22" applyNumberFormat="1" applyFont="1" applyFill="1" applyBorder="1" applyAlignment="1">
      <alignment horizontal="right" vertical="center"/>
    </xf>
    <xf numFmtId="4" fontId="30" fillId="5" borderId="13" xfId="22" applyNumberFormat="1" applyFont="1" applyFill="1" applyBorder="1" applyAlignment="1">
      <alignment horizontal="right" vertical="center"/>
    </xf>
    <xf numFmtId="4" fontId="30" fillId="2" borderId="12" xfId="36" applyNumberFormat="1" applyFont="1" applyFill="1" applyBorder="1" applyAlignment="1">
      <alignment horizontal="right" vertical="center"/>
    </xf>
    <xf numFmtId="4" fontId="30" fillId="2" borderId="13" xfId="22" applyNumberFormat="1" applyFont="1" applyFill="1" applyBorder="1" applyAlignment="1">
      <alignment horizontal="right" vertical="center"/>
    </xf>
    <xf numFmtId="4" fontId="28" fillId="2" borderId="13" xfId="22" applyNumberFormat="1" applyFont="1" applyFill="1" applyBorder="1" applyAlignment="1">
      <alignment horizontal="right" vertical="center"/>
    </xf>
    <xf numFmtId="4" fontId="28" fillId="0" borderId="12" xfId="22" applyNumberFormat="1" applyFont="1" applyFill="1" applyBorder="1" applyAlignment="1">
      <alignment horizontal="right" vertical="center"/>
    </xf>
    <xf numFmtId="4" fontId="30" fillId="5" borderId="24" xfId="36" applyNumberFormat="1" applyFont="1" applyFill="1" applyBorder="1" applyAlignment="1">
      <alignment horizontal="right" vertical="center"/>
    </xf>
    <xf numFmtId="4" fontId="30" fillId="2" borderId="14" xfId="36" applyNumberFormat="1" applyFont="1" applyFill="1" applyBorder="1" applyAlignment="1">
      <alignment horizontal="right" vertical="center"/>
    </xf>
    <xf numFmtId="4" fontId="28" fillId="2" borderId="14" xfId="36" applyNumberFormat="1" applyFont="1" applyFill="1" applyBorder="1" applyAlignment="1">
      <alignment horizontal="right" vertical="center"/>
    </xf>
    <xf numFmtId="4" fontId="30" fillId="2" borderId="24" xfId="36" applyNumberFormat="1" applyFont="1" applyFill="1" applyBorder="1" applyAlignment="1">
      <alignment horizontal="right" vertical="center"/>
    </xf>
    <xf numFmtId="4" fontId="28" fillId="2" borderId="24" xfId="36" applyNumberFormat="1" applyFont="1" applyFill="1" applyBorder="1" applyAlignment="1">
      <alignment horizontal="right" vertical="center"/>
    </xf>
    <xf numFmtId="4" fontId="28" fillId="0" borderId="14" xfId="36" applyNumberFormat="1" applyFont="1" applyFill="1" applyBorder="1" applyAlignment="1">
      <alignment horizontal="right" vertical="center"/>
    </xf>
    <xf numFmtId="4" fontId="30" fillId="8" borderId="13" xfId="0" applyNumberFormat="1" applyFont="1" applyFill="1" applyBorder="1" applyAlignment="1">
      <alignment horizontal="right"/>
    </xf>
    <xf numFmtId="4" fontId="30" fillId="2" borderId="34" xfId="0" applyNumberFormat="1" applyFont="1" applyFill="1" applyBorder="1" applyAlignment="1">
      <alignment horizontal="right"/>
    </xf>
    <xf numFmtId="4" fontId="28" fillId="2" borderId="12" xfId="0" applyNumberFormat="1" applyFont="1" applyFill="1" applyBorder="1" applyAlignment="1">
      <alignment horizontal="right"/>
    </xf>
    <xf numFmtId="4" fontId="30" fillId="2" borderId="12" xfId="0" applyNumberFormat="1" applyFont="1" applyFill="1" applyBorder="1" applyAlignment="1">
      <alignment horizontal="right"/>
    </xf>
    <xf numFmtId="4" fontId="30" fillId="8" borderId="13" xfId="22" applyNumberFormat="1" applyFont="1" applyFill="1" applyBorder="1" applyAlignment="1">
      <alignment horizontal="right" vertical="center"/>
    </xf>
    <xf numFmtId="4" fontId="30" fillId="2" borderId="36" xfId="0" applyNumberFormat="1" applyFont="1" applyFill="1" applyBorder="1" applyAlignment="1">
      <alignment horizontal="right"/>
    </xf>
    <xf numFmtId="4" fontId="30" fillId="2" borderId="53" xfId="0" applyNumberFormat="1" applyFont="1" applyFill="1" applyBorder="1" applyAlignment="1">
      <alignment horizontal="right"/>
    </xf>
    <xf numFmtId="4" fontId="30" fillId="2" borderId="13" xfId="0" applyNumberFormat="1" applyFont="1" applyFill="1" applyBorder="1" applyAlignment="1">
      <alignment horizontal="right"/>
    </xf>
    <xf numFmtId="4" fontId="28" fillId="2" borderId="34" xfId="0" applyNumberFormat="1" applyFont="1" applyFill="1" applyBorder="1" applyAlignment="1">
      <alignment horizontal="right"/>
    </xf>
    <xf numFmtId="4" fontId="30" fillId="8" borderId="13" xfId="36" applyNumberFormat="1" applyFont="1" applyFill="1" applyBorder="1" applyAlignment="1">
      <alignment horizontal="right" vertical="center"/>
    </xf>
    <xf numFmtId="4" fontId="30" fillId="2" borderId="13" xfId="36" applyNumberFormat="1" applyFont="1" applyFill="1" applyBorder="1" applyAlignment="1">
      <alignment horizontal="right" vertical="center"/>
    </xf>
    <xf numFmtId="4" fontId="30" fillId="6" borderId="24" xfId="22" applyNumberFormat="1" applyFont="1" applyFill="1" applyBorder="1" applyAlignment="1">
      <alignment horizontal="right" vertical="center"/>
    </xf>
    <xf numFmtId="4" fontId="30" fillId="2" borderId="0" xfId="22" applyNumberFormat="1" applyFont="1" applyFill="1" applyBorder="1" applyAlignment="1">
      <alignment horizontal="right" vertical="center"/>
    </xf>
    <xf numFmtId="4" fontId="28" fillId="2" borderId="14" xfId="22" applyNumberFormat="1" applyFont="1" applyFill="1" applyBorder="1" applyAlignment="1">
      <alignment horizontal="right" vertical="center"/>
    </xf>
    <xf numFmtId="4" fontId="30" fillId="2" borderId="14" xfId="22" applyNumberFormat="1" applyFont="1" applyFill="1" applyBorder="1" applyAlignment="1">
      <alignment horizontal="right" vertical="center"/>
    </xf>
    <xf numFmtId="4" fontId="30" fillId="2" borderId="24" xfId="22" applyNumberFormat="1" applyFont="1" applyFill="1" applyBorder="1" applyAlignment="1">
      <alignment horizontal="right" vertical="center"/>
    </xf>
    <xf numFmtId="4" fontId="28" fillId="2" borderId="24" xfId="22" applyNumberFormat="1" applyFont="1" applyFill="1" applyBorder="1" applyAlignment="1">
      <alignment horizontal="right" vertical="center"/>
    </xf>
    <xf numFmtId="4" fontId="28" fillId="0" borderId="14" xfId="22" applyNumberFormat="1" applyFont="1" applyFill="1" applyBorder="1" applyAlignment="1">
      <alignment horizontal="right" vertical="center"/>
    </xf>
    <xf numFmtId="0" fontId="30" fillId="5" borderId="26" xfId="36" applyFont="1" applyFill="1" applyBorder="1" applyAlignment="1">
      <alignment horizontal="center" vertical="center"/>
    </xf>
    <xf numFmtId="0" fontId="30" fillId="5" borderId="27" xfId="36" applyFont="1" applyFill="1" applyBorder="1" applyAlignment="1">
      <alignment horizontal="center" vertical="center"/>
    </xf>
    <xf numFmtId="166" fontId="28" fillId="5" borderId="6" xfId="0" applyNumberFormat="1" applyFont="1" applyFill="1" applyBorder="1" applyAlignment="1" applyProtection="1">
      <alignment horizontal="center" vertical="center"/>
      <protection hidden="1"/>
    </xf>
    <xf numFmtId="166" fontId="28" fillId="5" borderId="23" xfId="0" applyNumberFormat="1" applyFont="1" applyFill="1" applyBorder="1" applyAlignment="1" applyProtection="1">
      <alignment horizontal="center" vertical="center"/>
      <protection hidden="1"/>
    </xf>
    <xf numFmtId="166" fontId="28" fillId="5" borderId="24" xfId="0" applyNumberFormat="1" applyFont="1" applyFill="1" applyBorder="1" applyAlignment="1" applyProtection="1">
      <alignment horizontal="center" vertical="center"/>
      <protection hidden="1"/>
    </xf>
    <xf numFmtId="0" fontId="36" fillId="13" borderId="20" xfId="22" applyFont="1" applyFill="1" applyBorder="1" applyAlignment="1">
      <alignment horizontal="center" vertical="center"/>
    </xf>
    <xf numFmtId="0" fontId="36" fillId="13" borderId="18" xfId="22" applyFont="1" applyFill="1" applyBorder="1" applyAlignment="1">
      <alignment horizontal="center" vertical="center"/>
    </xf>
    <xf numFmtId="166" fontId="28" fillId="0" borderId="16" xfId="0" applyNumberFormat="1" applyFont="1" applyFill="1" applyBorder="1" applyAlignment="1" applyProtection="1">
      <alignment horizontal="right" vertical="center"/>
      <protection hidden="1"/>
    </xf>
    <xf numFmtId="166" fontId="28" fillId="0" borderId="0" xfId="0" applyNumberFormat="1" applyFont="1" applyFill="1" applyBorder="1" applyAlignment="1" applyProtection="1">
      <alignment horizontal="right" vertical="center"/>
      <protection hidden="1"/>
    </xf>
    <xf numFmtId="166" fontId="28" fillId="5" borderId="10" xfId="0" applyNumberFormat="1" applyFont="1" applyFill="1" applyBorder="1" applyAlignment="1" applyProtection="1">
      <alignment horizontal="center" vertical="center"/>
      <protection hidden="1"/>
    </xf>
    <xf numFmtId="0" fontId="30" fillId="5" borderId="51" xfId="36" applyFont="1" applyFill="1" applyBorder="1" applyAlignment="1">
      <alignment horizontal="center" vertical="center"/>
    </xf>
    <xf numFmtId="0" fontId="30" fillId="5" borderId="52" xfId="36" applyFont="1" applyFill="1" applyBorder="1" applyAlignment="1">
      <alignment horizontal="center" vertical="center"/>
    </xf>
    <xf numFmtId="166" fontId="28" fillId="0" borderId="14" xfId="0" applyNumberFormat="1" applyFont="1" applyFill="1" applyBorder="1" applyAlignment="1" applyProtection="1">
      <alignment horizontal="right" vertical="center"/>
      <protection hidden="1"/>
    </xf>
    <xf numFmtId="2" fontId="38" fillId="2" borderId="22" xfId="36" applyNumberFormat="1" applyFont="1" applyFill="1" applyBorder="1" applyAlignment="1">
      <alignment horizontal="right" wrapText="1"/>
    </xf>
    <xf numFmtId="0" fontId="38" fillId="2" borderId="22" xfId="36" applyFont="1" applyFill="1" applyBorder="1" applyAlignment="1">
      <alignment horizontal="right" wrapText="1"/>
    </xf>
    <xf numFmtId="165" fontId="38" fillId="2" borderId="22" xfId="36" applyNumberFormat="1" applyFont="1" applyFill="1" applyBorder="1" applyAlignment="1">
      <alignment horizontal="right" wrapText="1"/>
    </xf>
    <xf numFmtId="0" fontId="30" fillId="8" borderId="26" xfId="22" applyFont="1" applyFill="1" applyBorder="1" applyAlignment="1">
      <alignment horizontal="center" vertical="center"/>
    </xf>
    <xf numFmtId="0" fontId="30" fillId="8" borderId="27" xfId="22" applyFont="1" applyFill="1" applyBorder="1" applyAlignment="1">
      <alignment horizontal="center" vertical="center"/>
    </xf>
    <xf numFmtId="166" fontId="28" fillId="0" borderId="16" xfId="0" applyNumberFormat="1" applyFont="1" applyFill="1" applyBorder="1" applyAlignment="1">
      <alignment horizontal="right" vertical="center"/>
    </xf>
    <xf numFmtId="166" fontId="28" fillId="0" borderId="14" xfId="0" applyNumberFormat="1" applyFont="1" applyFill="1" applyBorder="1" applyAlignment="1">
      <alignment horizontal="right" vertical="center"/>
    </xf>
    <xf numFmtId="166" fontId="28" fillId="8" borderId="6" xfId="0" applyNumberFormat="1" applyFont="1" applyFill="1" applyBorder="1" applyAlignment="1">
      <alignment horizontal="center" vertical="center"/>
    </xf>
    <xf numFmtId="166" fontId="28" fillId="8" borderId="24" xfId="0" applyNumberFormat="1" applyFont="1" applyFill="1" applyBorder="1" applyAlignment="1">
      <alignment horizontal="center" vertical="center"/>
    </xf>
    <xf numFmtId="166" fontId="28" fillId="0" borderId="0" xfId="0" applyNumberFormat="1" applyFont="1" applyFill="1" applyBorder="1" applyAlignment="1">
      <alignment horizontal="right" vertical="center"/>
    </xf>
    <xf numFmtId="166" fontId="28" fillId="8" borderId="6" xfId="0" applyNumberFormat="1" applyFont="1" applyFill="1" applyBorder="1" applyAlignment="1" applyProtection="1">
      <alignment horizontal="center" vertical="center"/>
      <protection hidden="1"/>
    </xf>
    <xf numFmtId="166" fontId="28" fillId="8" borderId="23" xfId="0" applyNumberFormat="1" applyFont="1" applyFill="1" applyBorder="1" applyAlignment="1" applyProtection="1">
      <alignment horizontal="center" vertical="center"/>
      <protection hidden="1"/>
    </xf>
    <xf numFmtId="166" fontId="28" fillId="8" borderId="24" xfId="0" applyNumberFormat="1" applyFont="1" applyFill="1" applyBorder="1" applyAlignment="1" applyProtection="1">
      <alignment horizontal="center" vertical="center"/>
      <protection hidden="1"/>
    </xf>
    <xf numFmtId="0" fontId="40" fillId="2" borderId="22" xfId="22" applyFont="1" applyFill="1" applyBorder="1" applyAlignment="1">
      <alignment horizontal="right"/>
    </xf>
    <xf numFmtId="0" fontId="36" fillId="12" borderId="54" xfId="22" applyFont="1" applyFill="1" applyBorder="1" applyAlignment="1">
      <alignment horizontal="center" vertical="center"/>
    </xf>
    <xf numFmtId="0" fontId="36" fillId="12" borderId="17" xfId="22" applyFont="1" applyFill="1" applyBorder="1" applyAlignment="1">
      <alignment horizontal="center" vertical="center"/>
    </xf>
    <xf numFmtId="166" fontId="28" fillId="6" borderId="6" xfId="0" applyNumberFormat="1" applyFont="1" applyFill="1" applyBorder="1" applyAlignment="1">
      <alignment horizontal="center" vertical="center"/>
    </xf>
    <xf numFmtId="166" fontId="28" fillId="6" borderId="24" xfId="0" applyNumberFormat="1" applyFont="1" applyFill="1" applyBorder="1" applyAlignment="1">
      <alignment horizontal="center" vertical="center"/>
    </xf>
    <xf numFmtId="166" fontId="28" fillId="6" borderId="6" xfId="0" applyNumberFormat="1" applyFont="1" applyFill="1" applyBorder="1" applyAlignment="1" applyProtection="1">
      <alignment horizontal="center" vertical="center"/>
      <protection hidden="1"/>
    </xf>
    <xf numFmtId="166" fontId="28" fillId="6" borderId="23" xfId="0" applyNumberFormat="1" applyFont="1" applyFill="1" applyBorder="1" applyAlignment="1" applyProtection="1">
      <alignment horizontal="center" vertical="center"/>
      <protection hidden="1"/>
    </xf>
    <xf numFmtId="166" fontId="28" fillId="6" borderId="24" xfId="0" applyNumberFormat="1" applyFont="1" applyFill="1" applyBorder="1" applyAlignment="1" applyProtection="1">
      <alignment horizontal="center" vertical="center"/>
      <protection hidden="1"/>
    </xf>
    <xf numFmtId="0" fontId="36" fillId="7" borderId="20" xfId="22" applyFont="1" applyFill="1" applyBorder="1" applyAlignment="1">
      <alignment horizontal="center" vertical="center"/>
    </xf>
    <xf numFmtId="0" fontId="36" fillId="7" borderId="18" xfId="22" applyFont="1" applyFill="1" applyBorder="1" applyAlignment="1">
      <alignment horizontal="center" vertical="center"/>
    </xf>
    <xf numFmtId="0" fontId="30" fillId="6" borderId="26" xfId="22" applyFont="1" applyFill="1" applyBorder="1" applyAlignment="1">
      <alignment horizontal="center" vertical="center"/>
    </xf>
    <xf numFmtId="0" fontId="30" fillId="6" borderId="27" xfId="22" applyFont="1" applyFill="1" applyBorder="1" applyAlignment="1">
      <alignment horizontal="center" vertical="center"/>
    </xf>
    <xf numFmtId="0" fontId="41" fillId="2" borderId="22" xfId="22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 textRotation="45"/>
    </xf>
    <xf numFmtId="0" fontId="17" fillId="0" borderId="0" xfId="0" applyFont="1" applyFill="1" applyAlignment="1">
      <alignment horizontal="center" vertical="center" textRotation="45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6" fontId="17" fillId="0" borderId="0" xfId="0" applyNumberFormat="1" applyFont="1" applyFill="1" applyAlignment="1">
      <alignment horizontal="center" vertical="center"/>
    </xf>
  </cellXfs>
  <cellStyles count="199">
    <cellStyle name="1 indent" xfId="1"/>
    <cellStyle name="1 indent 2" xfId="124"/>
    <cellStyle name="1 indent 3" xfId="82"/>
    <cellStyle name="2 indents" xfId="2"/>
    <cellStyle name="2 indents 2" xfId="125"/>
    <cellStyle name="2 indents 3" xfId="83"/>
    <cellStyle name="20% - Accent1 2" xfId="112"/>
    <cellStyle name="20% - Accent1 2 2" xfId="183"/>
    <cellStyle name="20% - Accent1 3" xfId="149"/>
    <cellStyle name="20% - Accent1 4" xfId="59"/>
    <cellStyle name="20% - Accent2 2" xfId="114"/>
    <cellStyle name="20% - Accent2 2 2" xfId="185"/>
    <cellStyle name="20% - Accent2 3" xfId="151"/>
    <cellStyle name="20% - Accent2 4" xfId="63"/>
    <cellStyle name="20% - Accent3 2" xfId="116"/>
    <cellStyle name="20% - Accent3 2 2" xfId="187"/>
    <cellStyle name="20% - Accent3 3" xfId="153"/>
    <cellStyle name="20% - Accent3 4" xfId="67"/>
    <cellStyle name="20% - Accent4 2" xfId="118"/>
    <cellStyle name="20% - Accent4 2 2" xfId="189"/>
    <cellStyle name="20% - Accent4 3" xfId="155"/>
    <cellStyle name="20% - Accent4 4" xfId="71"/>
    <cellStyle name="20% - Accent5 2" xfId="120"/>
    <cellStyle name="20% - Accent5 2 2" xfId="191"/>
    <cellStyle name="20% - Accent5 3" xfId="157"/>
    <cellStyle name="20% - Accent5 4" xfId="75"/>
    <cellStyle name="20% - Accent6 2" xfId="122"/>
    <cellStyle name="20% - Accent6 2 2" xfId="193"/>
    <cellStyle name="20% - Accent6 3" xfId="159"/>
    <cellStyle name="20% - Accent6 4" xfId="79"/>
    <cellStyle name="3 indents" xfId="3"/>
    <cellStyle name="3 indents 2" xfId="126"/>
    <cellStyle name="3 indents 3" xfId="84"/>
    <cellStyle name="4 indents" xfId="4"/>
    <cellStyle name="4 indents 2" xfId="135"/>
    <cellStyle name="4 indents 3" xfId="85"/>
    <cellStyle name="40% - Accent1 2" xfId="113"/>
    <cellStyle name="40% - Accent1 2 2" xfId="184"/>
    <cellStyle name="40% - Accent1 3" xfId="150"/>
    <cellStyle name="40% - Accent1 4" xfId="60"/>
    <cellStyle name="40% - Accent2 2" xfId="115"/>
    <cellStyle name="40% - Accent2 2 2" xfId="186"/>
    <cellStyle name="40% - Accent2 3" xfId="152"/>
    <cellStyle name="40% - Accent2 4" xfId="64"/>
    <cellStyle name="40% - Accent3 2" xfId="117"/>
    <cellStyle name="40% - Accent3 2 2" xfId="188"/>
    <cellStyle name="40% - Accent3 3" xfId="154"/>
    <cellStyle name="40% - Accent3 4" xfId="68"/>
    <cellStyle name="40% - Accent4 2" xfId="119"/>
    <cellStyle name="40% - Accent4 2 2" xfId="190"/>
    <cellStyle name="40% - Accent4 3" xfId="156"/>
    <cellStyle name="40% - Accent4 4" xfId="72"/>
    <cellStyle name="40% - Accent5 2" xfId="121"/>
    <cellStyle name="40% - Accent5 2 2" xfId="192"/>
    <cellStyle name="40% - Accent5 3" xfId="158"/>
    <cellStyle name="40% - Accent5 4" xfId="76"/>
    <cellStyle name="40% - Accent6 2" xfId="123"/>
    <cellStyle name="40% - Accent6 2 2" xfId="194"/>
    <cellStyle name="40% - Accent6 3" xfId="160"/>
    <cellStyle name="40% - Accent6 4" xfId="80"/>
    <cellStyle name="60% - Accent1 2" xfId="61"/>
    <cellStyle name="60% - Accent2 2" xfId="65"/>
    <cellStyle name="60% - Accent3 2" xfId="69"/>
    <cellStyle name="60% - Accent4 2" xfId="73"/>
    <cellStyle name="60% - Accent5 2" xfId="77"/>
    <cellStyle name="60% - Accent6 2" xfId="81"/>
    <cellStyle name="Accent1 2" xfId="58"/>
    <cellStyle name="Accent2 2" xfId="62"/>
    <cellStyle name="Accent3 2" xfId="66"/>
    <cellStyle name="Accent4 2" xfId="70"/>
    <cellStyle name="Accent5 2" xfId="74"/>
    <cellStyle name="Accent6 2" xfId="78"/>
    <cellStyle name="Bad 2" xfId="91"/>
    <cellStyle name="Bad 3" xfId="48"/>
    <cellStyle name="Calculation 2" xfId="52"/>
    <cellStyle name="Check Cell 2" xfId="54"/>
    <cellStyle name="Comma 2" xfId="143"/>
    <cellStyle name="Currency" xfId="40" builtinId="4"/>
    <cellStyle name="Currency 2" xfId="144"/>
    <cellStyle name="Date" xfId="5"/>
    <cellStyle name="Excel Built-in Normal" xfId="198"/>
    <cellStyle name="Explanatory Text 2" xfId="56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Good 2" xfId="47"/>
    <cellStyle name="Heading 1 2" xfId="43"/>
    <cellStyle name="Heading 2 2" xfId="44"/>
    <cellStyle name="Heading 3 2" xfId="45"/>
    <cellStyle name="Heading 4 2" xfId="46"/>
    <cellStyle name="HEADING1" xfId="14"/>
    <cellStyle name="HEADING2" xfId="15"/>
    <cellStyle name="imf-one decimal" xfId="16"/>
    <cellStyle name="imf-one decimal 2" xfId="127"/>
    <cellStyle name="imf-one decimal 3" xfId="86"/>
    <cellStyle name="imf-zero decimal" xfId="17"/>
    <cellStyle name="imf-zero decimal 2" xfId="128"/>
    <cellStyle name="imf-zero decimal 3" xfId="87"/>
    <cellStyle name="Input 2" xfId="50"/>
    <cellStyle name="Label" xfId="18"/>
    <cellStyle name="Label 2" xfId="88"/>
    <cellStyle name="Linked Cell 2" xfId="53"/>
    <cellStyle name="Neutral 2" xfId="49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0 2" xfId="167"/>
    <cellStyle name="Normal 11" xfId="34"/>
    <cellStyle name="Normal 11 2" xfId="168"/>
    <cellStyle name="Normal 12" xfId="35"/>
    <cellStyle name="Normal 12 2" xfId="169"/>
    <cellStyle name="Normal 13" xfId="90"/>
    <cellStyle name="Normal 14" xfId="99"/>
    <cellStyle name="Normal 14 2" xfId="170"/>
    <cellStyle name="Normal 15" xfId="101"/>
    <cellStyle name="Normal 15 2" xfId="172"/>
    <cellStyle name="Normal 16" xfId="105"/>
    <cellStyle name="Normal 16 2" xfId="129"/>
    <cellStyle name="Normal 16 2 2" xfId="195"/>
    <cellStyle name="Normal 16 3" xfId="176"/>
    <cellStyle name="Normal 17" xfId="107"/>
    <cellStyle name="Normal 17 2" xfId="130"/>
    <cellStyle name="Normal 17 2 2" xfId="196"/>
    <cellStyle name="Normal 17 3" xfId="178"/>
    <cellStyle name="Normal 18" xfId="108"/>
    <cellStyle name="Normal 18 2" xfId="179"/>
    <cellStyle name="Normal 19" xfId="103"/>
    <cellStyle name="Normal 19 2" xfId="131"/>
    <cellStyle name="Normal 19 2 2" xfId="197"/>
    <cellStyle name="Normal 19 3" xfId="174"/>
    <cellStyle name="Normal 2" xfId="22"/>
    <cellStyle name="Normal 2 2" xfId="36"/>
    <cellStyle name="Normal 2 2 2" xfId="39"/>
    <cellStyle name="Normal 2 3" xfId="146"/>
    <cellStyle name="Normal 20" xfId="102"/>
    <cellStyle name="Normal 20 2" xfId="173"/>
    <cellStyle name="Normal 21" xfId="104"/>
    <cellStyle name="Normal 21 2" xfId="175"/>
    <cellStyle name="Normal 22" xfId="106"/>
    <cellStyle name="Normal 22 2" xfId="177"/>
    <cellStyle name="Normal 23" xfId="109"/>
    <cellStyle name="Normal 23 2" xfId="180"/>
    <cellStyle name="Normal 24" xfId="110"/>
    <cellStyle name="Normal 24 2" xfId="181"/>
    <cellStyle name="Normal 25" xfId="95"/>
    <cellStyle name="Normal 26" xfId="137"/>
    <cellStyle name="Normal 27" xfId="94"/>
    <cellStyle name="Normal 28" xfId="98"/>
    <cellStyle name="Normal 29" xfId="142"/>
    <cellStyle name="Normal 3" xfId="26"/>
    <cellStyle name="Normal 30" xfId="138"/>
    <cellStyle name="Normal 31" xfId="93"/>
    <cellStyle name="Normal 32" xfId="141"/>
    <cellStyle name="Normal 33" xfId="140"/>
    <cellStyle name="Normal 34" xfId="139"/>
    <cellStyle name="Normal 35" xfId="96"/>
    <cellStyle name="Normal 36" xfId="97"/>
    <cellStyle name="Normal 37" xfId="145"/>
    <cellStyle name="Normal 38" xfId="147"/>
    <cellStyle name="Normal 39" xfId="148"/>
    <cellStyle name="Normal 4" xfId="27"/>
    <cellStyle name="Normal 4 2" xfId="37"/>
    <cellStyle name="Normal 4 2 2" xfId="132"/>
    <cellStyle name="Normal 4 3" xfId="161"/>
    <cellStyle name="Normal 40" xfId="41"/>
    <cellStyle name="Normal 5" xfId="28"/>
    <cellStyle name="Normal 5 2" xfId="136"/>
    <cellStyle name="Normal 5 3" xfId="162"/>
    <cellStyle name="Normal 6" xfId="29"/>
    <cellStyle name="Normal 6 2" xfId="163"/>
    <cellStyle name="Normal 7" xfId="30"/>
    <cellStyle name="Normal 7 2" xfId="164"/>
    <cellStyle name="Normal 8" xfId="31"/>
    <cellStyle name="Normal 8 2" xfId="165"/>
    <cellStyle name="Normal 9" xfId="32"/>
    <cellStyle name="Normal 9 2" xfId="166"/>
    <cellStyle name="Note 2" xfId="100"/>
    <cellStyle name="Note 2 2" xfId="171"/>
    <cellStyle name="Note 3" xfId="111"/>
    <cellStyle name="Note 3 2" xfId="182"/>
    <cellStyle name="Obično_KnjigaZIKS i Min pomorstva i saobracaja" xfId="23"/>
    <cellStyle name="Output 2" xfId="51"/>
    <cellStyle name="Percent" xfId="38" builtinId="5"/>
    <cellStyle name="Percent 2" xfId="42"/>
    <cellStyle name="percentage difference" xfId="24"/>
    <cellStyle name="percentage difference 2" xfId="133"/>
    <cellStyle name="percentage difference 3" xfId="89"/>
    <cellStyle name="Publication" xfId="25"/>
    <cellStyle name="Standard_Tabellenteil in EURO" xfId="134"/>
    <cellStyle name="Title 2" xfId="92"/>
    <cellStyle name="Total 2" xfId="57"/>
    <cellStyle name="Warning Text 2" xfId="55"/>
  </cellStyles>
  <dxfs count="0"/>
  <tableStyles count="0" defaultTableStyle="TableStyleMedium9" defaultPivotStyle="PivotStyleLight16"/>
  <colors>
    <mruColors>
      <color rgb="FF7E0000"/>
      <color rgb="FFCCECFF"/>
      <color rgb="FFCCFFFF"/>
      <color rgb="FFFFFFCC"/>
      <color rgb="FF910000"/>
      <color rgb="FF820000"/>
      <color rgb="FF5A0000"/>
      <color rgb="FF640000"/>
      <color rgb="FF6E0000"/>
      <color rgb="FF7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30087378318533E-2"/>
          <c:y val="9.3067220764072242E-2"/>
          <c:w val="0.91423489152463533"/>
          <c:h val="0.80647637795275029"/>
        </c:manualLayout>
      </c:layout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Mjesečni plan prihoda 2014</c:v>
                </c:pt>
              </c:strCache>
            </c:strRef>
          </c:tx>
          <c:spPr>
            <a:ln>
              <a:solidFill>
                <a:srgbClr val="910000"/>
              </a:solidFill>
              <a:prstDash val="sysDash"/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Sheet1!$D$5:$O$5</c:f>
              <c:numCache>
                <c:formatCode>#.##0,0..</c:formatCode>
                <c:ptCount val="12"/>
                <c:pt idx="0">
                  <c:v>62425293.156965584</c:v>
                </c:pt>
                <c:pt idx="1">
                  <c:v>79762187.59852089</c:v>
                </c:pt>
                <c:pt idx="2">
                  <c:v>89318688.151918903</c:v>
                </c:pt>
                <c:pt idx="3">
                  <c:v>106294081.27535464</c:v>
                </c:pt>
                <c:pt idx="4">
                  <c:v>97189661.825924918</c:v>
                </c:pt>
                <c:pt idx="5">
                  <c:v>105191801.34506513</c:v>
                </c:pt>
                <c:pt idx="6">
                  <c:v>123272889.17858437</c:v>
                </c:pt>
                <c:pt idx="7">
                  <c:v>125579133.65326507</c:v>
                </c:pt>
                <c:pt idx="8">
                  <c:v>121047897.33843082</c:v>
                </c:pt>
                <c:pt idx="9">
                  <c:v>114789505.85515907</c:v>
                </c:pt>
                <c:pt idx="10">
                  <c:v>97406301.479715049</c:v>
                </c:pt>
                <c:pt idx="11">
                  <c:v>145778958.57826602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214-4F9C-9597-60FBFB448219}"/>
            </c:ext>
          </c:extLst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Mjesečna procjena prihoda 2014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214-4F9C-9597-60FBFB448219}"/>
              </c:ext>
            </c:extLst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214-4F9C-9597-60FBFB448219}"/>
              </c:ext>
            </c:extLst>
          </c:dPt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Sheet1!$D$6:$O$6</c:f>
              <c:numCache>
                <c:formatCode>#.##0,0..</c:formatCode>
                <c:ptCount val="12"/>
                <c:pt idx="0">
                  <c:v>70632268.589999989</c:v>
                </c:pt>
                <c:pt idx="1">
                  <c:v>81381758.450000018</c:v>
                </c:pt>
                <c:pt idx="2">
                  <c:v>100495765.61000001</c:v>
                </c:pt>
                <c:pt idx="3">
                  <c:v>107356417.33534782</c:v>
                </c:pt>
                <c:pt idx="4">
                  <c:v>98816734.644163221</c:v>
                </c:pt>
                <c:pt idx="5">
                  <c:v>107147051.5707173</c:v>
                </c:pt>
                <c:pt idx="6">
                  <c:v>125666748.8575906</c:v>
                </c:pt>
                <c:pt idx="7">
                  <c:v>127890096.38694921</c:v>
                </c:pt>
                <c:pt idx="8">
                  <c:v>123465322.33433203</c:v>
                </c:pt>
                <c:pt idx="9">
                  <c:v>117130344.73943919</c:v>
                </c:pt>
                <c:pt idx="10">
                  <c:v>99294843.070796907</c:v>
                </c:pt>
                <c:pt idx="11">
                  <c:v>149056317.49743444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C214-4F9C-9597-60FBFB448219}"/>
            </c:ext>
          </c:extLst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Ostvarenje prihoda 2013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Sheet1!$D$7:$O$7</c:f>
              <c:numCache>
                <c:formatCode>#.##0,0..</c:formatCode>
                <c:ptCount val="12"/>
                <c:pt idx="0">
                  <c:v>54757461.979999989</c:v>
                </c:pt>
                <c:pt idx="1">
                  <c:v>75673443.909999996</c:v>
                </c:pt>
                <c:pt idx="2">
                  <c:v>88296245.580000013</c:v>
                </c:pt>
                <c:pt idx="3">
                  <c:v>103948239.19999999</c:v>
                </c:pt>
                <c:pt idx="4">
                  <c:v>93997829.679999992</c:v>
                </c:pt>
                <c:pt idx="5">
                  <c:v>99561632.659999996</c:v>
                </c:pt>
                <c:pt idx="6">
                  <c:v>122021331.04999998</c:v>
                </c:pt>
                <c:pt idx="7">
                  <c:v>125053427.64999999</c:v>
                </c:pt>
                <c:pt idx="8">
                  <c:v>116342017.78000002</c:v>
                </c:pt>
                <c:pt idx="9">
                  <c:v>117283627.60000001</c:v>
                </c:pt>
                <c:pt idx="10">
                  <c:v>95781753.159999996</c:v>
                </c:pt>
                <c:pt idx="11">
                  <c:v>142429369.22999999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C214-4F9C-9597-60FBFB448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326222944"/>
        <c:axId val="-326208256"/>
      </c:lineChart>
      <c:catAx>
        <c:axId val="-326222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-326208256"/>
        <c:crosses val="autoZero"/>
        <c:auto val="1"/>
        <c:lblAlgn val="ctr"/>
        <c:lblOffset val="100"/>
        <c:noMultiLvlLbl val="0"/>
      </c:catAx>
      <c:valAx>
        <c:axId val="-326208256"/>
        <c:scaling>
          <c:orientation val="minMax"/>
          <c:max val="130000000"/>
          <c:min val="50000000"/>
        </c:scaling>
        <c:delete val="0"/>
        <c:axPos val="l"/>
        <c:numFmt formatCode="#.##0,0..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-326222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19831223629236"/>
          <c:y val="0.63831291921843114"/>
          <c:w val="0.24343466560350838"/>
          <c:h val="0.2176017060367454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vi-VN" sz="1000"/>
              <a:t>Poređenje scenarija - sa i bez autoputa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878743296101454E-2"/>
          <c:y val="5.6030183727034118E-2"/>
          <c:w val="0.8849550981015266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Sheet3!$C$5</c:f>
              <c:strCache>
                <c:ptCount val="1"/>
                <c:pt idx="0">
                  <c:v>Deficit - osnovni scenario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Sheet3!$D$5:$G$5</c:f>
              <c:numCache>
                <c:formatCode>#.##0,0..</c:formatCode>
                <c:ptCount val="4"/>
                <c:pt idx="0">
                  <c:v>-26424601.993229389</c:v>
                </c:pt>
                <c:pt idx="1">
                  <c:v>-24569497.372829676</c:v>
                </c:pt>
                <c:pt idx="2">
                  <c:v>33498994.005818129</c:v>
                </c:pt>
                <c:pt idx="3">
                  <c:v>103834080.12588143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E7-408C-A49B-85C2A6E6B2DC}"/>
            </c:ext>
          </c:extLst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Deficit - scenario sa auto putem</c:v>
                </c:pt>
              </c:strCache>
            </c:strRef>
          </c:tx>
          <c:spPr>
            <a:ln>
              <a:solidFill>
                <a:srgbClr val="910000"/>
              </a:solidFill>
              <a:prstDash val="sysDot"/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Sheet3!$D$6:$G$6</c:f>
              <c:numCache>
                <c:formatCode>#.##0,0..</c:formatCode>
                <c:ptCount val="4"/>
                <c:pt idx="0">
                  <c:v>-51424601.993229389</c:v>
                </c:pt>
                <c:pt idx="1">
                  <c:v>-149569497.37282968</c:v>
                </c:pt>
                <c:pt idx="2">
                  <c:v>-191501005.99418187</c:v>
                </c:pt>
                <c:pt idx="3">
                  <c:v>-221165919.87411857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AE7-408C-A49B-85C2A6E6B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326219680"/>
        <c:axId val="-392850656"/>
      </c:lineChart>
      <c:catAx>
        <c:axId val="-326219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-392850656"/>
        <c:crosses val="autoZero"/>
        <c:auto val="1"/>
        <c:lblAlgn val="ctr"/>
        <c:lblOffset val="100"/>
        <c:noMultiLvlLbl val="0"/>
      </c:catAx>
      <c:valAx>
        <c:axId val="-392850656"/>
        <c:scaling>
          <c:orientation val="minMax"/>
        </c:scaling>
        <c:delete val="0"/>
        <c:axPos val="l"/>
        <c:numFmt formatCode="#.##0,0..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-32621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91661075997865"/>
          <c:y val="0.55478783902012263"/>
          <c:w val="0.28062788115611131"/>
          <c:h val="0.1450678040244983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37896" name="List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3009" name="List Box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6081" name="List Box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15</xdr:row>
      <xdr:rowOff>85725</xdr:rowOff>
    </xdr:from>
    <xdr:to>
      <xdr:col>15</xdr:col>
      <xdr:colOff>200025</xdr:colOff>
      <xdr:row>32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0.02785</cdr:x>
      <cdr:y>0.42708</cdr:y>
    </cdr:from>
    <cdr:to>
      <cdr:x>0.1962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9550" y="1171575"/>
          <a:ext cx="126682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r-Latn-ME" sz="800" i="1"/>
            <a:t>Ostvarenje</a:t>
          </a:r>
          <a:r>
            <a:rPr lang="sr-Latn-ME" sz="800" i="1" baseline="0"/>
            <a:t> prihoda </a:t>
          </a:r>
        </a:p>
        <a:p xmlns:a="http://schemas.openxmlformats.org/drawingml/2006/main">
          <a:pPr algn="r"/>
          <a:r>
            <a:rPr lang="sr-Latn-ME" sz="800" i="1" baseline="0"/>
            <a:t>u prvom kvartalu 2014.</a:t>
          </a:r>
          <a:endParaRPr lang="en-US" sz="800" i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142875</xdr:rowOff>
    </xdr:from>
    <xdr:to>
      <xdr:col>10</xdr:col>
      <xdr:colOff>438150</xdr:colOff>
      <xdr:row>26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os.popovic/Dropbox/MINISTARSTVO%20FINANSIJA/SEP/05_Zavrsni%202013/Smjernice%202014-04-04%20sa%20projekcijama%20du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al Budget"/>
      <sheetName val="Cental Budget - hwy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>
            <v>2</v>
          </cell>
        </row>
        <row r="151">
          <cell r="B151" t="str">
            <v>Izvor: Ministarstvo finansija Crne Gore</v>
          </cell>
          <cell r="C151" t="str">
            <v>Source: Ministry of Finance of Montenegro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R79"/>
  <sheetViews>
    <sheetView tabSelected="1" topLeftCell="B1" zoomScaleNormal="100" workbookViewId="0">
      <selection activeCell="B13" sqref="B13"/>
    </sheetView>
  </sheetViews>
  <sheetFormatPr defaultColWidth="9.140625" defaultRowHeight="12.75"/>
  <cols>
    <col min="1" max="2" width="9.140625" style="80" customWidth="1"/>
    <col min="3" max="3" width="38.28515625" style="80" customWidth="1"/>
    <col min="4" max="4" width="9.42578125" style="166" customWidth="1"/>
    <col min="5" max="5" width="7.7109375" style="166" customWidth="1"/>
    <col min="6" max="6" width="7.42578125" style="166" customWidth="1"/>
    <col min="7" max="7" width="6.42578125" style="166" customWidth="1"/>
    <col min="8" max="8" width="7.7109375" style="166" customWidth="1"/>
    <col min="9" max="9" width="6.5703125" style="166" customWidth="1"/>
    <col min="10" max="10" width="7.7109375" style="166" customWidth="1"/>
    <col min="11" max="11" width="6.7109375" style="166" customWidth="1"/>
    <col min="12" max="12" width="7.7109375" style="166" customWidth="1"/>
    <col min="13" max="13" width="8" style="166" customWidth="1"/>
    <col min="14" max="14" width="9.140625" style="80" customWidth="1"/>
    <col min="15" max="15" width="12.42578125" style="80" bestFit="1" customWidth="1"/>
    <col min="16" max="62" width="9.140625" style="80" customWidth="1"/>
    <col min="63" max="63" width="9.140625" style="80"/>
    <col min="64" max="64" width="15.42578125" style="80" customWidth="1"/>
    <col min="65" max="65" width="12.7109375" style="80" customWidth="1"/>
    <col min="66" max="66" width="11.85546875" style="80" customWidth="1"/>
    <col min="67" max="16384" width="9.140625" style="80"/>
  </cols>
  <sheetData>
    <row r="1" spans="2:62" ht="15" customHeight="1">
      <c r="C1" s="81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</row>
    <row r="2" spans="2:62" ht="15" hidden="1" customHeight="1">
      <c r="C2" s="81"/>
      <c r="D2" s="215"/>
      <c r="E2" s="215"/>
      <c r="F2" s="215"/>
      <c r="G2" s="170">
        <v>2014</v>
      </c>
      <c r="H2" s="170"/>
      <c r="I2" s="170"/>
      <c r="J2" s="216">
        <v>2017</v>
      </c>
      <c r="L2" s="170"/>
      <c r="M2" s="170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</row>
    <row r="3" spans="2:62" ht="15" hidden="1" customHeight="1">
      <c r="C3" s="81"/>
      <c r="D3" s="217"/>
      <c r="E3" s="217"/>
      <c r="F3" s="217"/>
      <c r="G3" s="171">
        <v>5.4037200000000007</v>
      </c>
      <c r="H3" s="171"/>
      <c r="I3" s="171"/>
      <c r="J3" s="218">
        <v>6.0799999999999965</v>
      </c>
      <c r="L3" s="171"/>
      <c r="M3" s="17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</row>
    <row r="4" spans="2:62" ht="15" hidden="1" customHeight="1">
      <c r="C4" s="81"/>
      <c r="D4" s="219"/>
      <c r="E4" s="219"/>
      <c r="F4" s="219"/>
      <c r="G4" s="172">
        <v>3.54</v>
      </c>
      <c r="H4" s="172"/>
      <c r="I4" s="172"/>
      <c r="J4" s="220">
        <v>4</v>
      </c>
      <c r="L4" s="172"/>
      <c r="M4" s="17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</row>
    <row r="5" spans="2:62" ht="15" hidden="1" customHeight="1">
      <c r="C5" s="81"/>
      <c r="D5" s="221"/>
      <c r="E5" s="221"/>
      <c r="F5" s="221"/>
      <c r="G5" s="173">
        <v>1.8</v>
      </c>
      <c r="H5" s="173"/>
      <c r="I5" s="173"/>
      <c r="J5" s="222">
        <v>2</v>
      </c>
      <c r="L5" s="173"/>
      <c r="M5" s="173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</row>
    <row r="6" spans="2:62" ht="15" hidden="1" customHeight="1">
      <c r="C6" s="81"/>
      <c r="D6" s="223"/>
      <c r="E6" s="223"/>
      <c r="F6" s="223"/>
      <c r="G6" s="174">
        <v>2.3E-2</v>
      </c>
      <c r="H6" s="174"/>
      <c r="I6" s="174"/>
      <c r="J6" s="174">
        <v>5.1999999999999998E-2</v>
      </c>
      <c r="L6" s="174"/>
      <c r="M6" s="174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</row>
    <row r="7" spans="2:62" ht="15" hidden="1" customHeight="1">
      <c r="C7" s="81"/>
      <c r="D7" s="175"/>
      <c r="E7" s="175"/>
      <c r="F7" s="175"/>
      <c r="G7" s="175"/>
      <c r="H7" s="175"/>
      <c r="I7" s="175"/>
      <c r="J7" s="224"/>
      <c r="L7" s="175"/>
      <c r="M7" s="175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</row>
    <row r="8" spans="2:62" ht="15" hidden="1" customHeight="1">
      <c r="C8" s="81"/>
      <c r="D8" s="225"/>
      <c r="E8" s="225"/>
      <c r="F8" s="225"/>
      <c r="G8" s="176">
        <f>+J16/F16*100-100</f>
        <v>-4.7989665814092888</v>
      </c>
      <c r="H8" s="176"/>
      <c r="I8" s="176"/>
      <c r="J8" s="226" t="e">
        <f>+#REF!/#REF!*100-100</f>
        <v>#REF!</v>
      </c>
      <c r="L8" s="176"/>
      <c r="M8" s="176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</row>
    <row r="9" spans="2:62" ht="15" hidden="1" customHeight="1">
      <c r="C9" s="81"/>
      <c r="D9" s="227"/>
      <c r="E9" s="227"/>
      <c r="F9" s="227"/>
      <c r="G9" s="177" t="e">
        <f>+J16/#REF!*100-100</f>
        <v>#REF!</v>
      </c>
      <c r="H9" s="177"/>
      <c r="I9" s="177"/>
      <c r="J9" s="228" t="e">
        <f>+#REF!/#REF!*100-100</f>
        <v>#REF!</v>
      </c>
      <c r="L9" s="177"/>
      <c r="M9" s="177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</row>
    <row r="10" spans="2:62" ht="15" customHeight="1" thickBot="1">
      <c r="C10" s="81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</row>
    <row r="11" spans="2:62" ht="18.75" customHeight="1" thickTop="1" thickBot="1">
      <c r="C11" s="140" t="str">
        <f>IF(MasterSheet!$A$1=1,MasterSheet!B67,MasterSheet!B66)</f>
        <v>BDP (u mil. €)</v>
      </c>
      <c r="D11" s="319">
        <v>4817100000</v>
      </c>
      <c r="E11" s="320"/>
      <c r="F11" s="320"/>
      <c r="G11" s="321"/>
      <c r="H11" s="324"/>
      <c r="I11" s="329"/>
      <c r="J11" s="326">
        <v>4663130000</v>
      </c>
      <c r="K11" s="326">
        <v>0</v>
      </c>
      <c r="L11" s="324"/>
      <c r="M11" s="325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</row>
    <row r="12" spans="2:62" ht="19.5" hidden="1" customHeight="1" thickTop="1">
      <c r="C12" s="81"/>
      <c r="D12" s="229"/>
      <c r="E12" s="229"/>
      <c r="F12" s="230"/>
      <c r="G12" s="230"/>
      <c r="H12" s="169"/>
      <c r="I12" s="169"/>
      <c r="J12" s="169"/>
      <c r="K12" s="169"/>
      <c r="L12" s="169"/>
      <c r="M12" s="169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</row>
    <row r="13" spans="2:62" ht="17.25" customHeight="1" thickTop="1" thickBot="1">
      <c r="B13" s="85"/>
      <c r="C13" s="86"/>
      <c r="D13" s="332"/>
      <c r="E13" s="332"/>
      <c r="F13" s="178"/>
      <c r="G13" s="178"/>
      <c r="H13" s="178"/>
      <c r="I13" s="178"/>
      <c r="J13" s="330"/>
      <c r="K13" s="331"/>
      <c r="L13" s="231"/>
      <c r="M13" s="23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</row>
    <row r="14" spans="2:62" ht="15.75" customHeight="1" thickTop="1">
      <c r="B14" s="87"/>
      <c r="C14" s="322" t="str">
        <f>IF(MasterSheet!$A$1=1,MasterSheet!B71,MasterSheet!B70)</f>
        <v>Budžet Crne Gore</v>
      </c>
      <c r="D14" s="317" t="s">
        <v>470</v>
      </c>
      <c r="E14" s="318"/>
      <c r="F14" s="317" t="s">
        <v>471</v>
      </c>
      <c r="G14" s="318"/>
      <c r="H14" s="317" t="s">
        <v>444</v>
      </c>
      <c r="I14" s="318"/>
      <c r="J14" s="317" t="s">
        <v>464</v>
      </c>
      <c r="K14" s="318"/>
      <c r="L14" s="327" t="str">
        <f>+H14</f>
        <v>Odstupanje</v>
      </c>
      <c r="M14" s="328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</row>
    <row r="15" spans="2:62" ht="15" customHeight="1" thickBot="1">
      <c r="C15" s="323" t="str">
        <f>IF(MasterSheet!$A$1=1,MasterSheet!B71,MasterSheet!B70)</f>
        <v>Budžet Crne Gore</v>
      </c>
      <c r="D15" s="88" t="str">
        <f>+F15</f>
        <v>mil. €</v>
      </c>
      <c r="E15" s="157" t="str">
        <f>+G15</f>
        <v>% BDP</v>
      </c>
      <c r="F15" s="88" t="s">
        <v>262</v>
      </c>
      <c r="G15" s="89" t="s">
        <v>149</v>
      </c>
      <c r="H15" s="156" t="s">
        <v>262</v>
      </c>
      <c r="I15" s="156" t="s">
        <v>439</v>
      </c>
      <c r="J15" s="88" t="s">
        <v>262</v>
      </c>
      <c r="K15" s="89" t="s">
        <v>149</v>
      </c>
      <c r="L15" s="158" t="s">
        <v>262</v>
      </c>
      <c r="M15" s="108" t="s">
        <v>439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</row>
    <row r="16" spans="2:62" ht="15" customHeight="1" thickTop="1" thickBot="1">
      <c r="B16" s="80">
        <v>7</v>
      </c>
      <c r="C16" s="90" t="str">
        <f>IF(MasterSheet!$A$1=1,MasterSheet!C72,MasterSheet!B72)</f>
        <v>Izvorni prihodi</v>
      </c>
      <c r="D16" s="232">
        <f>+D17+D25+SUM(D30:D34)</f>
        <v>1885130543.5699999</v>
      </c>
      <c r="E16" s="285">
        <f>+D16/$D$11*100</f>
        <v>39.134137625749929</v>
      </c>
      <c r="F16" s="232">
        <f>+F17+F25+SUM(F30:F34)</f>
        <v>1834032913.7635605</v>
      </c>
      <c r="G16" s="285">
        <f>+F16/$D$11*100</f>
        <v>38.073382611188485</v>
      </c>
      <c r="H16" s="232">
        <f>+D16-F16</f>
        <v>51097629.8064394</v>
      </c>
      <c r="I16" s="179">
        <f>+IF(ISNUMBER(D16/F16*100-100),D16/F16*100-100,"...")</f>
        <v>2.7860803054828125</v>
      </c>
      <c r="J16" s="232">
        <f>+J17+J25+SUM(J30:J34)</f>
        <v>1746018287.1400001</v>
      </c>
      <c r="K16" s="285">
        <f>+J16/$J$11*100</f>
        <v>37.443054067546903</v>
      </c>
      <c r="L16" s="232">
        <f>+D16-J16</f>
        <v>139112256.42999983</v>
      </c>
      <c r="M16" s="233">
        <f t="shared" ref="M16:M58" si="0">+IF(ISNUMBER(D16/J16*100-100),D16/J16*100-100,"...")</f>
        <v>7.9673997377122276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</row>
    <row r="17" spans="2:69" ht="15" customHeight="1" thickTop="1">
      <c r="B17" s="80">
        <v>711</v>
      </c>
      <c r="C17" s="93" t="str">
        <f>IF(MasterSheet!$A$1=1,MasterSheet!C73,MasterSheet!B73)</f>
        <v>Porezi</v>
      </c>
      <c r="D17" s="193">
        <f>+SUM(D18:D24)</f>
        <v>1172748653.1199999</v>
      </c>
      <c r="E17" s="286">
        <f t="shared" ref="E17:E75" si="1">+D17/$D$11*100</f>
        <v>24.345532646613105</v>
      </c>
      <c r="F17" s="193">
        <f>+SUM(F18:F24)</f>
        <v>1122669950.9867301</v>
      </c>
      <c r="G17" s="286">
        <f t="shared" ref="G17:G75" si="2">+F17/$D$11*100</f>
        <v>23.30592993682361</v>
      </c>
      <c r="H17" s="194">
        <f t="shared" ref="H17:H69" si="3">+D17-F17</f>
        <v>50078702.133269787</v>
      </c>
      <c r="I17" s="180">
        <f t="shared" ref="I17:I69" si="4">+IF(ISNUMBER(D17/F17*100-100),D17/F17*100-100,"...")</f>
        <v>4.4606789456914697</v>
      </c>
      <c r="J17" s="193">
        <f>+SUM(J18:J24)</f>
        <v>1068947201.3000001</v>
      </c>
      <c r="K17" s="286">
        <f t="shared" ref="K17:K69" si="5">+J17/$J$11*100</f>
        <v>22.923384106812378</v>
      </c>
      <c r="L17" s="194">
        <f t="shared" ref="L17:L35" si="6">+D17-J17</f>
        <v>103801451.81999981</v>
      </c>
      <c r="M17" s="180">
        <f t="shared" si="0"/>
        <v>9.7106247805094341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</row>
    <row r="18" spans="2:69" ht="15" customHeight="1">
      <c r="B18" s="80">
        <v>7111</v>
      </c>
      <c r="C18" s="97" t="str">
        <f>IF(MasterSheet!$A$1=1,MasterSheet!C74,MasterSheet!B74)</f>
        <v>Porez na dohodak fizičkih lica</v>
      </c>
      <c r="D18" s="234">
        <v>125000927.16</v>
      </c>
      <c r="E18" s="287">
        <f t="shared" si="1"/>
        <v>2.5949415033941583</v>
      </c>
      <c r="F18" s="234">
        <v>120237518.04497004</v>
      </c>
      <c r="G18" s="287">
        <f t="shared" si="2"/>
        <v>2.4960560927730384</v>
      </c>
      <c r="H18" s="198">
        <f t="shared" si="3"/>
        <v>4763409.1150299609</v>
      </c>
      <c r="I18" s="181">
        <f t="shared" si="4"/>
        <v>3.9616662024314167</v>
      </c>
      <c r="J18" s="197">
        <v>124898382.06000002</v>
      </c>
      <c r="K18" s="287">
        <f t="shared" si="5"/>
        <v>2.6784237638667592</v>
      </c>
      <c r="L18" s="198">
        <f t="shared" si="6"/>
        <v>102545.09999997914</v>
      </c>
      <c r="M18" s="181">
        <f t="shared" si="0"/>
        <v>8.2102824959505938E-2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</row>
    <row r="19" spans="2:69" ht="15" customHeight="1">
      <c r="B19" s="80">
        <v>7112</v>
      </c>
      <c r="C19" s="97" t="str">
        <f>IF(MasterSheet!$A$1=1,MasterSheet!C75,MasterSheet!B75)</f>
        <v>Porez na dobit pravnih lica</v>
      </c>
      <c r="D19" s="197">
        <v>72815973.079999998</v>
      </c>
      <c r="E19" s="287">
        <f t="shared" si="1"/>
        <v>1.5116143131759772</v>
      </c>
      <c r="F19" s="197">
        <v>71194860.131909981</v>
      </c>
      <c r="G19" s="287">
        <f t="shared" si="2"/>
        <v>1.477961016626393</v>
      </c>
      <c r="H19" s="198">
        <f t="shared" si="3"/>
        <v>1621112.9480900168</v>
      </c>
      <c r="I19" s="181">
        <f t="shared" si="4"/>
        <v>2.2770084035370246</v>
      </c>
      <c r="J19" s="197">
        <v>68172478.429999992</v>
      </c>
      <c r="K19" s="287">
        <f t="shared" si="5"/>
        <v>1.4619467703023505</v>
      </c>
      <c r="L19" s="198">
        <f t="shared" si="6"/>
        <v>4643494.650000006</v>
      </c>
      <c r="M19" s="181">
        <f t="shared" si="0"/>
        <v>6.8113918650734888</v>
      </c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L19" s="81"/>
    </row>
    <row r="20" spans="2:69" ht="15" customHeight="1">
      <c r="B20" s="80">
        <v>7113</v>
      </c>
      <c r="C20" s="97" t="str">
        <f>IF(MasterSheet!$A$1=1,MasterSheet!C76,MasterSheet!B76)</f>
        <v>Porez na promet nepokretnosti</v>
      </c>
      <c r="D20" s="197">
        <v>2037253.77</v>
      </c>
      <c r="E20" s="287">
        <f t="shared" si="1"/>
        <v>4.2292121193249051E-2</v>
      </c>
      <c r="F20" s="197">
        <v>1862816.4104000002</v>
      </c>
      <c r="G20" s="287">
        <f t="shared" si="2"/>
        <v>3.8670910099437426E-2</v>
      </c>
      <c r="H20" s="198">
        <f t="shared" si="3"/>
        <v>174437.35959999985</v>
      </c>
      <c r="I20" s="181">
        <f t="shared" si="4"/>
        <v>9.3641734432940353</v>
      </c>
      <c r="J20" s="197">
        <v>1836094.52</v>
      </c>
      <c r="K20" s="287">
        <f t="shared" si="5"/>
        <v>3.9374722986491903E-2</v>
      </c>
      <c r="L20" s="198">
        <f t="shared" si="6"/>
        <v>201159.25</v>
      </c>
      <c r="M20" s="181">
        <f t="shared" si="0"/>
        <v>10.955822143622541</v>
      </c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</row>
    <row r="21" spans="2:69" ht="15" customHeight="1">
      <c r="B21" s="80">
        <v>7114</v>
      </c>
      <c r="C21" s="97" t="str">
        <f>IF(MasterSheet!$A$1=1,MasterSheet!C77,MasterSheet!B77)</f>
        <v>Porez na dodatu vrijednost</v>
      </c>
      <c r="D21" s="234">
        <v>695728953.52999997</v>
      </c>
      <c r="E21" s="287">
        <f t="shared" si="1"/>
        <v>14.442900365987835</v>
      </c>
      <c r="F21" s="234">
        <v>657905657.67184997</v>
      </c>
      <c r="G21" s="287">
        <f t="shared" si="2"/>
        <v>13.65771226820805</v>
      </c>
      <c r="H21" s="198">
        <f t="shared" si="3"/>
        <v>37823295.858150005</v>
      </c>
      <c r="I21" s="181">
        <f t="shared" si="4"/>
        <v>5.7490455382305754</v>
      </c>
      <c r="J21" s="197">
        <v>616913678.91000009</v>
      </c>
      <c r="K21" s="287">
        <f t="shared" si="5"/>
        <v>13.229604984420337</v>
      </c>
      <c r="L21" s="198">
        <f t="shared" si="6"/>
        <v>78815274.619999886</v>
      </c>
      <c r="M21" s="181">
        <f t="shared" si="0"/>
        <v>12.775737889173627</v>
      </c>
    </row>
    <row r="22" spans="2:69" ht="15" customHeight="1">
      <c r="B22" s="80">
        <v>7115</v>
      </c>
      <c r="C22" s="97" t="str">
        <f>IF(MasterSheet!$A$1=1,MasterSheet!C78,MasterSheet!B78)</f>
        <v>Akcize</v>
      </c>
      <c r="D22" s="197">
        <v>235518297.74000001</v>
      </c>
      <c r="E22" s="287">
        <f t="shared" si="1"/>
        <v>4.8892133802495277</v>
      </c>
      <c r="F22" s="197">
        <v>234801605.29820004</v>
      </c>
      <c r="G22" s="287">
        <f t="shared" si="2"/>
        <v>4.8743352909053179</v>
      </c>
      <c r="H22" s="198">
        <f>+D22-F22</f>
        <v>716692.44179996848</v>
      </c>
      <c r="I22" s="181">
        <f t="shared" si="4"/>
        <v>0.3052331950157452</v>
      </c>
      <c r="J22" s="197">
        <v>221178044.41</v>
      </c>
      <c r="K22" s="287">
        <f t="shared" si="5"/>
        <v>4.7431241335755168</v>
      </c>
      <c r="L22" s="198">
        <f t="shared" si="6"/>
        <v>14340253.330000013</v>
      </c>
      <c r="M22" s="181">
        <f t="shared" si="0"/>
        <v>6.4835790407014002</v>
      </c>
    </row>
    <row r="23" spans="2:69" ht="15" customHeight="1">
      <c r="B23" s="80">
        <v>7116</v>
      </c>
      <c r="C23" s="97" t="str">
        <f>IF(MasterSheet!$A$1=1,MasterSheet!C79,MasterSheet!B79)</f>
        <v>Porez na međunarodnu trgovinu i transakcije</v>
      </c>
      <c r="D23" s="197">
        <v>28526540.740000002</v>
      </c>
      <c r="E23" s="287">
        <f t="shared" si="1"/>
        <v>0.59219324365282022</v>
      </c>
      <c r="F23" s="197">
        <v>27167589.829800002</v>
      </c>
      <c r="G23" s="287">
        <f t="shared" si="2"/>
        <v>0.56398226795789996</v>
      </c>
      <c r="H23" s="198">
        <f t="shared" si="3"/>
        <v>1358950.9101999998</v>
      </c>
      <c r="I23" s="181">
        <f t="shared" si="4"/>
        <v>5.0021033102810293</v>
      </c>
      <c r="J23" s="197">
        <v>26634891.989999998</v>
      </c>
      <c r="K23" s="287">
        <f t="shared" si="5"/>
        <v>0.57118055876632212</v>
      </c>
      <c r="L23" s="198">
        <f t="shared" si="6"/>
        <v>1891648.7500000037</v>
      </c>
      <c r="M23" s="181">
        <f t="shared" si="0"/>
        <v>7.1021453764866749</v>
      </c>
      <c r="BM23" s="114"/>
      <c r="BN23" s="114"/>
      <c r="BO23" s="81"/>
    </row>
    <row r="24" spans="2:69" ht="15" customHeight="1">
      <c r="B24" s="80">
        <v>7118</v>
      </c>
      <c r="C24" s="97" t="s">
        <v>457</v>
      </c>
      <c r="D24" s="197">
        <v>13120707.100000001</v>
      </c>
      <c r="E24" s="287">
        <f t="shared" si="1"/>
        <v>0.27237771895953999</v>
      </c>
      <c r="F24" s="197">
        <v>9499903.5996000003</v>
      </c>
      <c r="G24" s="287">
        <f t="shared" si="2"/>
        <v>0.197212090253472</v>
      </c>
      <c r="H24" s="198">
        <f t="shared" si="3"/>
        <v>3620803.5004000012</v>
      </c>
      <c r="I24" s="181">
        <f t="shared" si="4"/>
        <v>38.114107816340976</v>
      </c>
      <c r="J24" s="197">
        <v>9313630.9799999986</v>
      </c>
      <c r="K24" s="287">
        <f t="shared" si="5"/>
        <v>0.19972917289460082</v>
      </c>
      <c r="L24" s="198">
        <f t="shared" si="6"/>
        <v>3807076.1200000029</v>
      </c>
      <c r="M24" s="181">
        <f t="shared" si="0"/>
        <v>40.876389972667823</v>
      </c>
      <c r="BM24" s="114"/>
      <c r="BN24" s="114"/>
      <c r="BO24" s="81"/>
    </row>
    <row r="25" spans="2:69" ht="15" customHeight="1">
      <c r="B25" s="80">
        <v>712</v>
      </c>
      <c r="C25" s="93" t="str">
        <f>IF(MasterSheet!$A$1=1,MasterSheet!C81,MasterSheet!B81)</f>
        <v>Doprinosi</v>
      </c>
      <c r="D25" s="193">
        <f>+SUM(D26:D29)</f>
        <v>546265768.94000006</v>
      </c>
      <c r="E25" s="286">
        <f t="shared" si="1"/>
        <v>11.340137612671526</v>
      </c>
      <c r="F25" s="193">
        <f>+SUM(F26:F29)</f>
        <v>534213514.07533056</v>
      </c>
      <c r="G25" s="286">
        <f t="shared" si="2"/>
        <v>11.089940297592547</v>
      </c>
      <c r="H25" s="194">
        <f t="shared" si="3"/>
        <v>12052254.864669502</v>
      </c>
      <c r="I25" s="180">
        <f t="shared" si="4"/>
        <v>2.2560744996372222</v>
      </c>
      <c r="J25" s="193">
        <f>+SUM(J26:J29)</f>
        <v>524440114.39999998</v>
      </c>
      <c r="K25" s="286">
        <f t="shared" si="5"/>
        <v>11.246525711271184</v>
      </c>
      <c r="L25" s="194">
        <f t="shared" si="6"/>
        <v>21825654.540000081</v>
      </c>
      <c r="M25" s="180">
        <f t="shared" si="0"/>
        <v>4.1617057774023181</v>
      </c>
      <c r="BM25" s="114"/>
      <c r="BN25" s="114"/>
      <c r="BO25" s="81"/>
    </row>
    <row r="26" spans="2:69" ht="15" customHeight="1">
      <c r="B26" s="80">
        <v>7121</v>
      </c>
      <c r="C26" s="97" t="str">
        <f>IF(MasterSheet!$A$1=1,MasterSheet!C82,MasterSheet!B82)</f>
        <v>Doprinosi za penzijsko i invalidsko osiguranje</v>
      </c>
      <c r="D26" s="197">
        <v>329181424.36000001</v>
      </c>
      <c r="E26" s="287">
        <f t="shared" si="1"/>
        <v>6.8336016350086153</v>
      </c>
      <c r="F26" s="197">
        <v>327876749.17454183</v>
      </c>
      <c r="G26" s="287">
        <f t="shared" si="2"/>
        <v>6.8065173896024955</v>
      </c>
      <c r="H26" s="198">
        <f t="shared" si="3"/>
        <v>1304675.1854581833</v>
      </c>
      <c r="I26" s="181">
        <f t="shared" si="4"/>
        <v>0.39791634775652085</v>
      </c>
      <c r="J26" s="197">
        <v>316982958.28000003</v>
      </c>
      <c r="K26" s="287">
        <f t="shared" si="5"/>
        <v>6.7976436059041898</v>
      </c>
      <c r="L26" s="198">
        <f t="shared" si="6"/>
        <v>12198466.079999983</v>
      </c>
      <c r="M26" s="181">
        <f t="shared" si="0"/>
        <v>3.8483034375698963</v>
      </c>
      <c r="BM26" s="114"/>
      <c r="BN26" s="114"/>
      <c r="BO26" s="81"/>
    </row>
    <row r="27" spans="2:69" ht="15" customHeight="1">
      <c r="B27" s="80">
        <v>7122</v>
      </c>
      <c r="C27" s="97" t="str">
        <f>IF(MasterSheet!$A$1=1,MasterSheet!C83,MasterSheet!B83)</f>
        <v>Doprinosi za zdravstveno osiguranje</v>
      </c>
      <c r="D27" s="197">
        <v>187748508.43000001</v>
      </c>
      <c r="E27" s="287">
        <f t="shared" si="1"/>
        <v>3.8975422646405513</v>
      </c>
      <c r="F27" s="197">
        <v>178851341.72447601</v>
      </c>
      <c r="G27" s="287">
        <f t="shared" si="2"/>
        <v>3.712842617435304</v>
      </c>
      <c r="H27" s="198">
        <f t="shared" si="3"/>
        <v>8897166.7055239975</v>
      </c>
      <c r="I27" s="181">
        <f t="shared" si="4"/>
        <v>4.9746155772374578</v>
      </c>
      <c r="J27" s="197">
        <v>182045765.34999999</v>
      </c>
      <c r="K27" s="287">
        <f t="shared" si="5"/>
        <v>3.9039393143661019</v>
      </c>
      <c r="L27" s="198">
        <f t="shared" si="6"/>
        <v>5702743.0800000131</v>
      </c>
      <c r="M27" s="181">
        <f t="shared" si="0"/>
        <v>3.1325876045707304</v>
      </c>
      <c r="BM27" s="114"/>
      <c r="BN27" s="114"/>
      <c r="BO27" s="81"/>
    </row>
    <row r="28" spans="2:69" ht="15" customHeight="1">
      <c r="B28" s="80">
        <v>7123</v>
      </c>
      <c r="C28" s="97" t="str">
        <f>IF(MasterSheet!$A$1=1,MasterSheet!C84,MasterSheet!B84)</f>
        <v>Doprinosi za osiguranje od nezaposlenosti</v>
      </c>
      <c r="D28" s="197">
        <v>15122153.449999999</v>
      </c>
      <c r="E28" s="287">
        <f t="shared" si="1"/>
        <v>0.31392650038404846</v>
      </c>
      <c r="F28" s="197">
        <v>14950709.439620741</v>
      </c>
      <c r="G28" s="287">
        <f t="shared" si="2"/>
        <v>0.31036742935834299</v>
      </c>
      <c r="H28" s="198">
        <f t="shared" si="3"/>
        <v>171444.01037925854</v>
      </c>
      <c r="I28" s="181">
        <f t="shared" si="4"/>
        <v>1.1467282611012308</v>
      </c>
      <c r="J28" s="197">
        <v>13590597.370000001</v>
      </c>
      <c r="K28" s="287">
        <f t="shared" si="5"/>
        <v>0.29144796242009124</v>
      </c>
      <c r="L28" s="198">
        <f t="shared" si="6"/>
        <v>1531556.0799999982</v>
      </c>
      <c r="M28" s="181">
        <f t="shared" si="0"/>
        <v>11.269232972648922</v>
      </c>
      <c r="BM28" s="114"/>
      <c r="BN28" s="114"/>
      <c r="BO28" s="81"/>
    </row>
    <row r="29" spans="2:69" ht="15" customHeight="1">
      <c r="B29" s="80">
        <v>7124</v>
      </c>
      <c r="C29" s="97" t="str">
        <f>IF(MasterSheet!$A$1=1,MasterSheet!C85,MasterSheet!B85)</f>
        <v>Ostali doprinosi</v>
      </c>
      <c r="D29" s="234">
        <v>14213682.699999999</v>
      </c>
      <c r="E29" s="287">
        <f t="shared" si="1"/>
        <v>0.29506721263830932</v>
      </c>
      <c r="F29" s="234">
        <v>12534713.736692008</v>
      </c>
      <c r="G29" s="287">
        <f t="shared" si="2"/>
        <v>0.26021286119640463</v>
      </c>
      <c r="H29" s="198">
        <f t="shared" si="3"/>
        <v>1678968.9633079916</v>
      </c>
      <c r="I29" s="181">
        <f t="shared" si="4"/>
        <v>13.394553705628411</v>
      </c>
      <c r="J29" s="197">
        <v>11820793.4</v>
      </c>
      <c r="K29" s="287">
        <f t="shared" si="5"/>
        <v>0.25349482858080302</v>
      </c>
      <c r="L29" s="198">
        <f t="shared" si="6"/>
        <v>2392889.2999999989</v>
      </c>
      <c r="M29" s="181">
        <f t="shared" si="0"/>
        <v>20.243051536625273</v>
      </c>
      <c r="BM29" s="81"/>
      <c r="BN29" s="81"/>
      <c r="BO29" s="81"/>
    </row>
    <row r="30" spans="2:69" ht="15" customHeight="1">
      <c r="B30" s="80">
        <v>713</v>
      </c>
      <c r="C30" s="93" t="str">
        <f>IF(MasterSheet!$A$1=1,MasterSheet!C86,MasterSheet!B86)</f>
        <v>Takse</v>
      </c>
      <c r="D30" s="193">
        <v>15606409.419999998</v>
      </c>
      <c r="E30" s="286">
        <f t="shared" si="1"/>
        <v>0.32397935313777992</v>
      </c>
      <c r="F30" s="193">
        <v>15318488.925500004</v>
      </c>
      <c r="G30" s="286">
        <f t="shared" si="2"/>
        <v>0.31800230274438984</v>
      </c>
      <c r="H30" s="194">
        <f t="shared" si="3"/>
        <v>287920.49449999444</v>
      </c>
      <c r="I30" s="180">
        <f t="shared" si="4"/>
        <v>1.8795619848685448</v>
      </c>
      <c r="J30" s="193">
        <v>16901007.650000002</v>
      </c>
      <c r="K30" s="286">
        <f t="shared" si="5"/>
        <v>0.36243912672389583</v>
      </c>
      <c r="L30" s="194">
        <f t="shared" si="6"/>
        <v>-1294598.2300000042</v>
      </c>
      <c r="M30" s="181">
        <f t="shared" si="0"/>
        <v>-7.6598878410661086</v>
      </c>
      <c r="BM30" s="81"/>
      <c r="BN30" s="81"/>
      <c r="BO30" s="81"/>
    </row>
    <row r="31" spans="2:69" ht="15" customHeight="1">
      <c r="B31" s="80">
        <v>714</v>
      </c>
      <c r="C31" s="93" t="str">
        <f>IF(MasterSheet!$A$1=1,MasterSheet!C91,MasterSheet!B91)</f>
        <v>Naknade</v>
      </c>
      <c r="D31" s="193">
        <v>28237754.950000003</v>
      </c>
      <c r="E31" s="286">
        <f t="shared" si="1"/>
        <v>0.58619823026302142</v>
      </c>
      <c r="F31" s="193">
        <v>31390844.861600004</v>
      </c>
      <c r="G31" s="286">
        <f t="shared" si="2"/>
        <v>0.65165441576051986</v>
      </c>
      <c r="H31" s="194">
        <f t="shared" si="3"/>
        <v>-3153089.9116000012</v>
      </c>
      <c r="I31" s="180">
        <f t="shared" si="4"/>
        <v>-10.044616274272798</v>
      </c>
      <c r="J31" s="193">
        <v>26419539.080000002</v>
      </c>
      <c r="K31" s="286">
        <f t="shared" si="5"/>
        <v>0.56656235361227336</v>
      </c>
      <c r="L31" s="194">
        <f t="shared" si="6"/>
        <v>1818215.870000001</v>
      </c>
      <c r="M31" s="180">
        <f t="shared" si="0"/>
        <v>6.882087777891698</v>
      </c>
      <c r="BM31" s="114"/>
      <c r="BN31" s="114"/>
      <c r="BO31" s="114"/>
    </row>
    <row r="32" spans="2:69" ht="15" customHeight="1">
      <c r="B32" s="80">
        <v>715</v>
      </c>
      <c r="C32" s="93" t="str">
        <f>IF(MasterSheet!$A$1=1,MasterSheet!C98,MasterSheet!B98)</f>
        <v>Ostali prihodi</v>
      </c>
      <c r="D32" s="193">
        <v>75791596.330000013</v>
      </c>
      <c r="E32" s="286">
        <f t="shared" si="1"/>
        <v>1.5733864011542216</v>
      </c>
      <c r="F32" s="193">
        <v>77448450.912399963</v>
      </c>
      <c r="G32" s="286">
        <f t="shared" si="2"/>
        <v>1.6077816718025359</v>
      </c>
      <c r="H32" s="194">
        <f t="shared" si="3"/>
        <v>-1656854.5823999494</v>
      </c>
      <c r="I32" s="180">
        <f t="shared" si="4"/>
        <v>-2.1392998347687779</v>
      </c>
      <c r="J32" s="193">
        <v>71315064.620000005</v>
      </c>
      <c r="K32" s="286">
        <f t="shared" si="5"/>
        <v>1.5293389766101311</v>
      </c>
      <c r="L32" s="194">
        <f t="shared" si="6"/>
        <v>4476531.7100000083</v>
      </c>
      <c r="M32" s="180">
        <f t="shared" si="0"/>
        <v>6.2771193349582717</v>
      </c>
      <c r="BM32" s="81"/>
      <c r="BN32" s="81"/>
      <c r="BO32" s="81"/>
      <c r="BP32" s="81"/>
      <c r="BQ32" s="81"/>
    </row>
    <row r="33" spans="1:70">
      <c r="B33" s="80">
        <v>73</v>
      </c>
      <c r="C33" s="101" t="str">
        <f>IF(MasterSheet!$A$1=1,MasterSheet!C103,MasterSheet!B103)</f>
        <v xml:space="preserve">Primici od otplate kredita </v>
      </c>
      <c r="D33" s="193">
        <v>8112872.4399999995</v>
      </c>
      <c r="E33" s="286">
        <f t="shared" si="1"/>
        <v>0.16841818604554606</v>
      </c>
      <c r="F33" s="193">
        <v>8511664.0019999985</v>
      </c>
      <c r="G33" s="286">
        <f t="shared" si="2"/>
        <v>0.17669685084386869</v>
      </c>
      <c r="H33" s="194">
        <f t="shared" si="3"/>
        <v>-398791.56199999899</v>
      </c>
      <c r="I33" s="180">
        <f t="shared" si="4"/>
        <v>-4.6852361877336079</v>
      </c>
      <c r="J33" s="193">
        <v>11285945.1</v>
      </c>
      <c r="K33" s="286">
        <f t="shared" si="5"/>
        <v>0.24202510116595505</v>
      </c>
      <c r="L33" s="194">
        <f t="shared" si="6"/>
        <v>-3173072.66</v>
      </c>
      <c r="M33" s="180">
        <f t="shared" si="0"/>
        <v>-28.115258685779011</v>
      </c>
      <c r="BL33" s="100"/>
      <c r="BM33" s="100"/>
      <c r="BN33" s="99"/>
      <c r="BO33" s="116"/>
      <c r="BP33" s="116"/>
      <c r="BQ33" s="116"/>
      <c r="BR33" s="115"/>
    </row>
    <row r="34" spans="1:70" ht="13.5" customHeight="1" thickBot="1">
      <c r="B34" s="80">
        <v>74</v>
      </c>
      <c r="C34" s="93" t="s">
        <v>122</v>
      </c>
      <c r="D34" s="193">
        <v>38367488.369999997</v>
      </c>
      <c r="E34" s="286">
        <f t="shared" si="1"/>
        <v>0.79648519586473177</v>
      </c>
      <c r="F34" s="193">
        <v>44480000</v>
      </c>
      <c r="G34" s="286">
        <f t="shared" si="2"/>
        <v>0.92337713562101675</v>
      </c>
      <c r="H34" s="194">
        <f t="shared" si="3"/>
        <v>-6112511.6300000027</v>
      </c>
      <c r="I34" s="180">
        <f t="shared" si="4"/>
        <v>-13.742157441546766</v>
      </c>
      <c r="J34" s="193">
        <v>26709414.990000006</v>
      </c>
      <c r="K34" s="286">
        <f t="shared" si="5"/>
        <v>0.57277869135108839</v>
      </c>
      <c r="L34" s="194">
        <f t="shared" si="6"/>
        <v>11658073.379999992</v>
      </c>
      <c r="M34" s="180">
        <f t="shared" si="0"/>
        <v>43.647805031913919</v>
      </c>
      <c r="BM34" s="130"/>
      <c r="BN34" s="130"/>
      <c r="BO34" s="116"/>
      <c r="BP34" s="116"/>
      <c r="BQ34" s="116"/>
      <c r="BR34" s="115"/>
    </row>
    <row r="35" spans="1:70" ht="15" customHeight="1" thickTop="1" thickBot="1">
      <c r="B35" s="102"/>
      <c r="C35" s="90" t="s">
        <v>456</v>
      </c>
      <c r="D35" s="235">
        <f>+D37+D47+D53+SUM(D56:D61)</f>
        <v>2028759635.47</v>
      </c>
      <c r="E35" s="288">
        <f t="shared" si="1"/>
        <v>42.115788243341427</v>
      </c>
      <c r="F35" s="235">
        <f>+F37+F47+F53+SUM(F56:F61)</f>
        <v>1976630978.4000001</v>
      </c>
      <c r="G35" s="293">
        <f t="shared" si="2"/>
        <v>41.033629744036872</v>
      </c>
      <c r="H35" s="235">
        <f t="shared" si="3"/>
        <v>52128657.069999933</v>
      </c>
      <c r="I35" s="179">
        <f t="shared" si="4"/>
        <v>2.6372478039475027</v>
      </c>
      <c r="J35" s="235">
        <f>+J37+J47+J53+SUM(J56:J60)</f>
        <v>1914918461.6599998</v>
      </c>
      <c r="K35" s="288">
        <f t="shared" si="5"/>
        <v>41.065088506217926</v>
      </c>
      <c r="L35" s="235">
        <f t="shared" si="6"/>
        <v>113841173.81000018</v>
      </c>
      <c r="M35" s="179">
        <f t="shared" si="0"/>
        <v>5.9449619442967645</v>
      </c>
      <c r="BM35" s="81"/>
      <c r="BN35" s="81"/>
      <c r="BO35" s="116"/>
      <c r="BP35" s="116"/>
      <c r="BQ35" s="116"/>
      <c r="BR35" s="115"/>
    </row>
    <row r="36" spans="1:70" ht="13.5" customHeight="1" thickTop="1" thickBot="1">
      <c r="C36" s="165" t="s">
        <v>445</v>
      </c>
      <c r="D36" s="235">
        <f>+D35-D56</f>
        <v>1756376913.5799999</v>
      </c>
      <c r="E36" s="288">
        <f t="shared" si="1"/>
        <v>36.461292345602125</v>
      </c>
      <c r="F36" s="235">
        <f>+F35-F56</f>
        <v>1680705978.4000001</v>
      </c>
      <c r="G36" s="293">
        <f t="shared" si="2"/>
        <v>34.890410794876587</v>
      </c>
      <c r="H36" s="235">
        <f t="shared" si="3"/>
        <v>75670935.179999828</v>
      </c>
      <c r="I36" s="179">
        <f t="shared" si="4"/>
        <v>4.5023303393040237</v>
      </c>
      <c r="J36" s="236">
        <f>+J35-J56</f>
        <v>1671556011.4799998</v>
      </c>
      <c r="K36" s="288">
        <f t="shared" si="5"/>
        <v>35.846223705536836</v>
      </c>
      <c r="L36" s="235">
        <f t="shared" ref="L36:L75" si="7">+D36-J36</f>
        <v>84820902.100000143</v>
      </c>
      <c r="M36" s="179">
        <f t="shared" si="0"/>
        <v>5.0743679253020986</v>
      </c>
      <c r="N36" s="162"/>
      <c r="O36" s="162"/>
      <c r="BM36" s="130"/>
      <c r="BN36" s="130"/>
      <c r="BO36" s="116"/>
      <c r="BP36" s="116"/>
      <c r="BQ36" s="116"/>
      <c r="BR36" s="115"/>
    </row>
    <row r="37" spans="1:70" ht="13.5" customHeight="1" thickTop="1">
      <c r="A37" s="80">
        <v>41</v>
      </c>
      <c r="B37" s="80">
        <v>41</v>
      </c>
      <c r="C37" s="93" t="s">
        <v>62</v>
      </c>
      <c r="D37" s="201">
        <f>+SUM(D38:D46)</f>
        <v>895444660.84000003</v>
      </c>
      <c r="E37" s="286">
        <f t="shared" si="1"/>
        <v>18.58887423636628</v>
      </c>
      <c r="F37" s="201">
        <f>+SUM(F38:F46)</f>
        <v>846670934.61000001</v>
      </c>
      <c r="G37" s="294">
        <f t="shared" si="2"/>
        <v>17.57636201469764</v>
      </c>
      <c r="H37" s="202">
        <f t="shared" si="3"/>
        <v>48773726.230000019</v>
      </c>
      <c r="I37" s="180">
        <f t="shared" si="4"/>
        <v>5.7606472876580312</v>
      </c>
      <c r="J37" s="201">
        <f>+SUM(J38:J46)</f>
        <v>866631492.57999992</v>
      </c>
      <c r="K37" s="286">
        <f t="shared" si="5"/>
        <v>18.5847594336851</v>
      </c>
      <c r="L37" s="202">
        <f t="shared" si="7"/>
        <v>28813168.26000011</v>
      </c>
      <c r="M37" s="180">
        <f t="shared" si="0"/>
        <v>3.3247312735222607</v>
      </c>
      <c r="BM37" s="130"/>
      <c r="BN37" s="130"/>
      <c r="BO37" s="116"/>
      <c r="BP37" s="116"/>
      <c r="BQ37" s="116"/>
      <c r="BR37" s="115"/>
    </row>
    <row r="38" spans="1:70" ht="13.5" customHeight="1">
      <c r="B38" s="80">
        <v>411</v>
      </c>
      <c r="C38" s="163" t="s">
        <v>63</v>
      </c>
      <c r="D38" s="239">
        <v>472858262.01000005</v>
      </c>
      <c r="E38" s="286">
        <f t="shared" si="1"/>
        <v>9.8162434246745978</v>
      </c>
      <c r="F38" s="193">
        <v>472054247.1500001</v>
      </c>
      <c r="G38" s="294">
        <f t="shared" si="2"/>
        <v>9.7995525762388187</v>
      </c>
      <c r="H38" s="194">
        <f>+D38-F38</f>
        <v>804014.8599999547</v>
      </c>
      <c r="I38" s="180">
        <f t="shared" si="4"/>
        <v>0.17032255611597691</v>
      </c>
      <c r="J38" s="193">
        <v>459796234.55000001</v>
      </c>
      <c r="K38" s="286">
        <f t="shared" si="5"/>
        <v>9.8602491148649083</v>
      </c>
      <c r="L38" s="194">
        <f t="shared" si="7"/>
        <v>13062027.460000038</v>
      </c>
      <c r="M38" s="180">
        <f t="shared" si="0"/>
        <v>2.840829584605828</v>
      </c>
      <c r="BM38" s="130"/>
      <c r="BN38" s="130"/>
      <c r="BO38" s="116"/>
      <c r="BP38" s="116"/>
      <c r="BQ38" s="116"/>
      <c r="BR38" s="115"/>
    </row>
    <row r="39" spans="1:70" ht="13.5" customHeight="1">
      <c r="B39" s="80">
        <v>412</v>
      </c>
      <c r="C39" s="163" t="s">
        <v>74</v>
      </c>
      <c r="D39" s="240">
        <v>15183309.59</v>
      </c>
      <c r="E39" s="286">
        <f t="shared" si="1"/>
        <v>0.31519606381432813</v>
      </c>
      <c r="F39" s="193">
        <v>15077125.449999996</v>
      </c>
      <c r="G39" s="294">
        <f t="shared" si="2"/>
        <v>0.31299174710925648</v>
      </c>
      <c r="H39" s="194">
        <f t="shared" si="3"/>
        <v>106184.14000000432</v>
      </c>
      <c r="I39" s="180">
        <f t="shared" si="4"/>
        <v>0.70427310797501264</v>
      </c>
      <c r="J39" s="193">
        <v>13212940.209999999</v>
      </c>
      <c r="K39" s="286">
        <f t="shared" si="5"/>
        <v>0.28334917126479425</v>
      </c>
      <c r="L39" s="194">
        <f t="shared" si="7"/>
        <v>1970369.3800000008</v>
      </c>
      <c r="M39" s="180">
        <f t="shared" si="0"/>
        <v>14.912421828025529</v>
      </c>
      <c r="BM39" s="130"/>
      <c r="BN39" s="130"/>
      <c r="BO39" s="116"/>
      <c r="BP39" s="116"/>
      <c r="BQ39" s="116"/>
      <c r="BR39" s="115"/>
    </row>
    <row r="40" spans="1:70" ht="13.5" customHeight="1">
      <c r="B40" s="80">
        <v>413</v>
      </c>
      <c r="C40" s="163" t="s">
        <v>76</v>
      </c>
      <c r="D40" s="240">
        <v>102614561.70999999</v>
      </c>
      <c r="E40" s="286">
        <f t="shared" si="1"/>
        <v>2.130214479873783</v>
      </c>
      <c r="F40" s="193">
        <v>99779873.629999995</v>
      </c>
      <c r="G40" s="294">
        <f t="shared" si="2"/>
        <v>2.0713681183699735</v>
      </c>
      <c r="H40" s="194">
        <f t="shared" si="3"/>
        <v>2834688.0799999982</v>
      </c>
      <c r="I40" s="180">
        <f t="shared" si="4"/>
        <v>2.8409417419303225</v>
      </c>
      <c r="J40" s="193">
        <v>111870057.41</v>
      </c>
      <c r="K40" s="286">
        <f t="shared" si="5"/>
        <v>2.399033640709137</v>
      </c>
      <c r="L40" s="194">
        <f t="shared" si="7"/>
        <v>-9255495.700000003</v>
      </c>
      <c r="M40" s="180">
        <f t="shared" si="0"/>
        <v>-8.2734342989374881</v>
      </c>
      <c r="BM40" s="130"/>
      <c r="BN40" s="130"/>
      <c r="BO40" s="116"/>
      <c r="BP40" s="116"/>
      <c r="BQ40" s="116"/>
      <c r="BR40" s="115"/>
    </row>
    <row r="41" spans="1:70" ht="13.5" customHeight="1">
      <c r="B41" s="80">
        <v>415</v>
      </c>
      <c r="C41" s="163" t="s">
        <v>430</v>
      </c>
      <c r="D41" s="240">
        <v>22519070.710000001</v>
      </c>
      <c r="E41" s="286">
        <f t="shared" si="1"/>
        <v>0.46748190218181063</v>
      </c>
      <c r="F41" s="193">
        <v>23117903.600000001</v>
      </c>
      <c r="G41" s="294">
        <f t="shared" si="2"/>
        <v>0.47991330053351611</v>
      </c>
      <c r="H41" s="194">
        <f t="shared" si="3"/>
        <v>-598832.8900000006</v>
      </c>
      <c r="I41" s="180">
        <f t="shared" si="4"/>
        <v>-2.5903425343464193</v>
      </c>
      <c r="J41" s="193">
        <v>20973232.77</v>
      </c>
      <c r="K41" s="286">
        <f t="shared" si="5"/>
        <v>0.44976727584262077</v>
      </c>
      <c r="L41" s="194">
        <f t="shared" si="7"/>
        <v>1545837.9400000013</v>
      </c>
      <c r="M41" s="180">
        <f t="shared" si="0"/>
        <v>7.3705277433966216</v>
      </c>
      <c r="BM41" s="130"/>
      <c r="BN41" s="130"/>
      <c r="BO41" s="116"/>
      <c r="BP41" s="116"/>
      <c r="BQ41" s="116"/>
      <c r="BR41" s="115"/>
    </row>
    <row r="42" spans="1:70" ht="13.5" customHeight="1">
      <c r="B42" s="80">
        <v>416</v>
      </c>
      <c r="C42" s="163" t="s">
        <v>79</v>
      </c>
      <c r="D42" s="240">
        <v>105666286.19</v>
      </c>
      <c r="E42" s="286">
        <f t="shared" si="1"/>
        <v>2.1935663820555935</v>
      </c>
      <c r="F42" s="193">
        <v>95752699.999999985</v>
      </c>
      <c r="G42" s="294">
        <f t="shared" si="2"/>
        <v>1.9877664985157042</v>
      </c>
      <c r="H42" s="194">
        <f t="shared" si="3"/>
        <v>9913586.1900000125</v>
      </c>
      <c r="I42" s="180">
        <f t="shared" si="4"/>
        <v>10.353322872357666</v>
      </c>
      <c r="J42" s="193">
        <v>97597309.48999998</v>
      </c>
      <c r="K42" s="286">
        <f t="shared" si="5"/>
        <v>2.092957080115716</v>
      </c>
      <c r="L42" s="194">
        <f t="shared" si="7"/>
        <v>8068976.7000000179</v>
      </c>
      <c r="M42" s="180">
        <f t="shared" si="0"/>
        <v>8.2676220709001882</v>
      </c>
      <c r="BM42" s="130"/>
      <c r="BN42" s="130"/>
      <c r="BO42" s="116"/>
      <c r="BP42" s="116"/>
      <c r="BQ42" s="116"/>
      <c r="BR42" s="115"/>
    </row>
    <row r="43" spans="1:70" ht="13.5" customHeight="1">
      <c r="B43" s="80">
        <v>417</v>
      </c>
      <c r="C43" s="163" t="s">
        <v>81</v>
      </c>
      <c r="D43" s="240">
        <v>11035727.16</v>
      </c>
      <c r="E43" s="286">
        <f t="shared" si="1"/>
        <v>0.22909483216042845</v>
      </c>
      <c r="F43" s="193">
        <v>9821101.7599999998</v>
      </c>
      <c r="G43" s="294">
        <f t="shared" si="2"/>
        <v>0.20387996429386976</v>
      </c>
      <c r="H43" s="194">
        <f t="shared" si="3"/>
        <v>1214625.4000000004</v>
      </c>
      <c r="I43" s="180">
        <f t="shared" si="4"/>
        <v>12.367506514869888</v>
      </c>
      <c r="J43" s="193">
        <v>10693128.550000001</v>
      </c>
      <c r="K43" s="286">
        <f t="shared" si="5"/>
        <v>0.22931225485886092</v>
      </c>
      <c r="L43" s="194">
        <f t="shared" si="7"/>
        <v>342598.6099999994</v>
      </c>
      <c r="M43" s="180">
        <f t="shared" si="0"/>
        <v>3.2039136946501827</v>
      </c>
      <c r="BM43" s="130"/>
      <c r="BN43" s="130"/>
      <c r="BO43" s="116"/>
      <c r="BP43" s="116"/>
      <c r="BQ43" s="116"/>
      <c r="BR43" s="115"/>
    </row>
    <row r="44" spans="1:70" ht="13.5" customHeight="1">
      <c r="B44" s="80">
        <v>418</v>
      </c>
      <c r="C44" s="163" t="s">
        <v>83</v>
      </c>
      <c r="D44" s="240">
        <v>34539745.640000001</v>
      </c>
      <c r="E44" s="286">
        <f t="shared" si="1"/>
        <v>0.71702363745822173</v>
      </c>
      <c r="F44" s="193">
        <v>30814599.999999993</v>
      </c>
      <c r="G44" s="294">
        <f t="shared" si="2"/>
        <v>0.63969193082975218</v>
      </c>
      <c r="H44" s="194">
        <f t="shared" si="3"/>
        <v>3725145.640000008</v>
      </c>
      <c r="I44" s="180">
        <f t="shared" si="4"/>
        <v>12.088898249531098</v>
      </c>
      <c r="J44" s="193">
        <v>30560884.969999999</v>
      </c>
      <c r="K44" s="286">
        <f t="shared" si="5"/>
        <v>0.65537278544668498</v>
      </c>
      <c r="L44" s="194">
        <f t="shared" si="7"/>
        <v>3978860.6700000018</v>
      </c>
      <c r="M44" s="180">
        <f t="shared" si="0"/>
        <v>13.019455012202158</v>
      </c>
      <c r="BM44" s="130"/>
      <c r="BN44" s="130"/>
      <c r="BO44" s="116"/>
      <c r="BP44" s="116"/>
      <c r="BQ44" s="116"/>
      <c r="BR44" s="115"/>
    </row>
    <row r="45" spans="1:70" ht="13.5" customHeight="1">
      <c r="B45" s="80">
        <v>419</v>
      </c>
      <c r="C45" s="163" t="s">
        <v>85</v>
      </c>
      <c r="D45" s="240">
        <v>38884061.339999996</v>
      </c>
      <c r="E45" s="286">
        <f t="shared" si="1"/>
        <v>0.80720892943887401</v>
      </c>
      <c r="F45" s="193">
        <v>41196323.400000006</v>
      </c>
      <c r="G45" s="294">
        <f t="shared" si="2"/>
        <v>0.8552100516908514</v>
      </c>
      <c r="H45" s="194">
        <f t="shared" si="3"/>
        <v>-2312262.0600000098</v>
      </c>
      <c r="I45" s="180">
        <f t="shared" si="4"/>
        <v>-5.6127874265595494</v>
      </c>
      <c r="J45" s="193">
        <v>43556427.669999994</v>
      </c>
      <c r="K45" s="286">
        <f>+J44/$J$11*100</f>
        <v>0.65537278544668498</v>
      </c>
      <c r="L45" s="194">
        <f t="shared" si="7"/>
        <v>-4672366.3299999982</v>
      </c>
      <c r="M45" s="180">
        <f t="shared" si="0"/>
        <v>-10.727156885774974</v>
      </c>
      <c r="BM45" s="130"/>
      <c r="BN45" s="130"/>
      <c r="BO45" s="116"/>
      <c r="BP45" s="116"/>
      <c r="BQ45" s="116"/>
      <c r="BR45" s="115"/>
    </row>
    <row r="46" spans="1:70" ht="13.5" customHeight="1">
      <c r="B46" s="80">
        <v>441</v>
      </c>
      <c r="C46" s="93" t="s">
        <v>129</v>
      </c>
      <c r="D46" s="237">
        <v>92143636.489999995</v>
      </c>
      <c r="E46" s="289">
        <f t="shared" si="1"/>
        <v>1.9128445847086419</v>
      </c>
      <c r="F46" s="193">
        <v>59057059.620000012</v>
      </c>
      <c r="G46" s="294">
        <f t="shared" si="2"/>
        <v>1.2259878271158997</v>
      </c>
      <c r="H46" s="194">
        <f t="shared" si="3"/>
        <v>33086576.869999982</v>
      </c>
      <c r="I46" s="182">
        <f t="shared" si="4"/>
        <v>56.024761616805961</v>
      </c>
      <c r="J46" s="193">
        <v>78371276.960000008</v>
      </c>
      <c r="K46" s="289">
        <f>+J45/$J$11*100</f>
        <v>0.93405990547121776</v>
      </c>
      <c r="L46" s="194">
        <f t="shared" si="7"/>
        <v>13772359.529999986</v>
      </c>
      <c r="M46" s="182">
        <f t="shared" si="0"/>
        <v>17.573223334142256</v>
      </c>
      <c r="BM46" s="130"/>
      <c r="BN46" s="130"/>
      <c r="BO46" s="116"/>
      <c r="BP46" s="116"/>
      <c r="BQ46" s="116"/>
      <c r="BR46" s="115"/>
    </row>
    <row r="47" spans="1:70" ht="13.5" customHeight="1">
      <c r="A47" s="80">
        <v>42</v>
      </c>
      <c r="B47" s="80">
        <v>42</v>
      </c>
      <c r="C47" s="93" t="s">
        <v>86</v>
      </c>
      <c r="D47" s="193">
        <f>+SUM(D48:D52)</f>
        <v>554377833.07000005</v>
      </c>
      <c r="E47" s="286">
        <f t="shared" si="1"/>
        <v>11.5085390187042</v>
      </c>
      <c r="F47" s="193">
        <f>+SUM(F48:F52)</f>
        <v>557842584.41999996</v>
      </c>
      <c r="G47" s="294">
        <f t="shared" si="2"/>
        <v>11.580465101824748</v>
      </c>
      <c r="H47" s="202">
        <f t="shared" si="3"/>
        <v>-3464751.3499999046</v>
      </c>
      <c r="I47" s="180">
        <f t="shared" si="4"/>
        <v>-0.62109839706882042</v>
      </c>
      <c r="J47" s="193">
        <f>+SUM(J48:J52)</f>
        <v>544485571.48000002</v>
      </c>
      <c r="K47" s="286">
        <f t="shared" si="5"/>
        <v>11.676397001155877</v>
      </c>
      <c r="L47" s="202">
        <f t="shared" si="7"/>
        <v>9892261.5900000334</v>
      </c>
      <c r="M47" s="180">
        <f t="shared" si="0"/>
        <v>1.8168087655860745</v>
      </c>
      <c r="BM47" s="130"/>
      <c r="BN47" s="130"/>
      <c r="BO47" s="116"/>
      <c r="BP47" s="116"/>
      <c r="BQ47" s="116"/>
      <c r="BR47" s="115"/>
    </row>
    <row r="48" spans="1:70" ht="13.5" customHeight="1">
      <c r="B48" s="80">
        <v>421</v>
      </c>
      <c r="C48" s="97" t="s">
        <v>88</v>
      </c>
      <c r="D48" s="197">
        <v>79883521.219999999</v>
      </c>
      <c r="E48" s="287">
        <f t="shared" si="1"/>
        <v>1.6583322168939818</v>
      </c>
      <c r="F48" s="197">
        <v>80990000.000000015</v>
      </c>
      <c r="G48" s="295">
        <f t="shared" si="2"/>
        <v>1.6813020281912356</v>
      </c>
      <c r="H48" s="198">
        <f t="shared" si="3"/>
        <v>-1106478.7800000161</v>
      </c>
      <c r="I48" s="181">
        <f t="shared" si="4"/>
        <v>-1.3661918508457944</v>
      </c>
      <c r="J48" s="238">
        <v>82294784.480000004</v>
      </c>
      <c r="K48" s="287">
        <f t="shared" si="5"/>
        <v>1.7647971315404032</v>
      </c>
      <c r="L48" s="198">
        <f t="shared" si="7"/>
        <v>-2411263.2600000054</v>
      </c>
      <c r="M48" s="181">
        <f t="shared" si="0"/>
        <v>-2.9300316845547059</v>
      </c>
      <c r="BM48" s="130"/>
      <c r="BN48" s="130"/>
      <c r="BO48" s="116"/>
      <c r="BP48" s="116"/>
      <c r="BQ48" s="116"/>
      <c r="BR48" s="115"/>
    </row>
    <row r="49" spans="1:70" ht="13.5" customHeight="1">
      <c r="B49" s="80">
        <v>422</v>
      </c>
      <c r="C49" s="97" t="s">
        <v>90</v>
      </c>
      <c r="D49" s="197">
        <v>20400682.960000001</v>
      </c>
      <c r="E49" s="287">
        <f t="shared" si="1"/>
        <v>0.42350549002511889</v>
      </c>
      <c r="F49" s="197">
        <v>18202468.969999999</v>
      </c>
      <c r="G49" s="295">
        <f t="shared" si="2"/>
        <v>0.37787193477403413</v>
      </c>
      <c r="H49" s="198">
        <f t="shared" si="3"/>
        <v>2198213.9900000021</v>
      </c>
      <c r="I49" s="181">
        <f t="shared" si="4"/>
        <v>12.076460581380147</v>
      </c>
      <c r="J49" s="238">
        <v>14196791.939999998</v>
      </c>
      <c r="K49" s="287">
        <f t="shared" si="5"/>
        <v>0.30444769800541693</v>
      </c>
      <c r="L49" s="198">
        <f t="shared" si="7"/>
        <v>6203891.0200000033</v>
      </c>
      <c r="M49" s="181">
        <f t="shared" si="0"/>
        <v>43.699245901606162</v>
      </c>
      <c r="BM49" s="130"/>
      <c r="BN49" s="130"/>
      <c r="BO49" s="116"/>
      <c r="BP49" s="116"/>
      <c r="BQ49" s="116"/>
      <c r="BR49" s="115"/>
    </row>
    <row r="50" spans="1:70" ht="13.5" customHeight="1">
      <c r="B50" s="80">
        <v>423</v>
      </c>
      <c r="C50" s="97" t="s">
        <v>92</v>
      </c>
      <c r="D50" s="197">
        <v>420870901.67999995</v>
      </c>
      <c r="E50" s="287">
        <f t="shared" si="1"/>
        <v>8.7370181578127912</v>
      </c>
      <c r="F50" s="197">
        <v>429025014.44999993</v>
      </c>
      <c r="G50" s="295">
        <f t="shared" si="2"/>
        <v>8.9062924674596733</v>
      </c>
      <c r="H50" s="198">
        <f t="shared" si="3"/>
        <v>-8154112.7699999809</v>
      </c>
      <c r="I50" s="181">
        <f t="shared" si="4"/>
        <v>-1.9006147649580214</v>
      </c>
      <c r="J50" s="238">
        <v>414750265.80000001</v>
      </c>
      <c r="K50" s="287">
        <f t="shared" si="5"/>
        <v>8.8942462637756172</v>
      </c>
      <c r="L50" s="198">
        <f t="shared" si="7"/>
        <v>6120635.8799999356</v>
      </c>
      <c r="M50" s="181">
        <f t="shared" si="0"/>
        <v>1.4757400741369082</v>
      </c>
      <c r="BM50" s="130"/>
      <c r="BN50" s="130"/>
      <c r="BO50" s="116"/>
      <c r="BP50" s="116"/>
      <c r="BQ50" s="116"/>
      <c r="BR50" s="115"/>
    </row>
    <row r="51" spans="1:70" ht="13.5" customHeight="1">
      <c r="B51" s="80">
        <v>424</v>
      </c>
      <c r="C51" s="97" t="s">
        <v>94</v>
      </c>
      <c r="D51" s="197">
        <v>21699290.620000005</v>
      </c>
      <c r="E51" s="287">
        <f t="shared" si="1"/>
        <v>0.4504637773764299</v>
      </c>
      <c r="F51" s="197">
        <v>19000100</v>
      </c>
      <c r="G51" s="295">
        <f t="shared" si="2"/>
        <v>0.39443025886944422</v>
      </c>
      <c r="H51" s="198">
        <f t="shared" si="3"/>
        <v>2699190.6200000048</v>
      </c>
      <c r="I51" s="181">
        <f t="shared" si="4"/>
        <v>14.206191651622916</v>
      </c>
      <c r="J51" s="238">
        <v>20004829.280000001</v>
      </c>
      <c r="K51" s="287">
        <f t="shared" si="5"/>
        <v>0.42900003388282126</v>
      </c>
      <c r="L51" s="198">
        <f t="shared" si="7"/>
        <v>1694461.3400000036</v>
      </c>
      <c r="M51" s="181">
        <f t="shared" si="0"/>
        <v>8.4702614367924411</v>
      </c>
      <c r="BM51" s="130"/>
      <c r="BN51" s="130"/>
      <c r="BO51" s="116"/>
      <c r="BP51" s="116"/>
      <c r="BQ51" s="116"/>
      <c r="BR51" s="115"/>
    </row>
    <row r="52" spans="1:70" ht="13.5" customHeight="1">
      <c r="B52" s="80">
        <v>425</v>
      </c>
      <c r="C52" s="97" t="s">
        <v>431</v>
      </c>
      <c r="D52" s="197">
        <v>11523436.590000002</v>
      </c>
      <c r="E52" s="287">
        <f t="shared" si="1"/>
        <v>0.23921937659587719</v>
      </c>
      <c r="F52" s="197">
        <v>10625001</v>
      </c>
      <c r="G52" s="295">
        <f t="shared" si="2"/>
        <v>0.22056841253036058</v>
      </c>
      <c r="H52" s="198">
        <f t="shared" si="3"/>
        <v>898435.59000000171</v>
      </c>
      <c r="I52" s="181">
        <f t="shared" si="4"/>
        <v>8.455863580624623</v>
      </c>
      <c r="J52" s="238">
        <v>13238899.98</v>
      </c>
      <c r="K52" s="287">
        <f t="shared" si="5"/>
        <v>0.28390587395161621</v>
      </c>
      <c r="L52" s="198">
        <f t="shared" si="7"/>
        <v>-1715463.3899999987</v>
      </c>
      <c r="M52" s="181">
        <f t="shared" si="0"/>
        <v>-12.957748699601552</v>
      </c>
      <c r="BM52" s="130"/>
      <c r="BN52" s="130"/>
      <c r="BO52" s="116"/>
      <c r="BP52" s="116"/>
      <c r="BQ52" s="116"/>
      <c r="BR52" s="115"/>
    </row>
    <row r="53" spans="1:70" ht="13.5" customHeight="1" thickBot="1">
      <c r="A53" s="80">
        <v>43</v>
      </c>
      <c r="B53" s="80">
        <v>431</v>
      </c>
      <c r="C53" s="93" t="s">
        <v>432</v>
      </c>
      <c r="D53" s="193">
        <v>219702485.80999997</v>
      </c>
      <c r="E53" s="286">
        <f t="shared" si="1"/>
        <v>4.5608869612422405</v>
      </c>
      <c r="F53" s="193">
        <v>220947786.96000001</v>
      </c>
      <c r="G53" s="294">
        <f t="shared" si="2"/>
        <v>4.5867386385999875</v>
      </c>
      <c r="H53" s="202">
        <f t="shared" si="3"/>
        <v>-1245301.1500000358</v>
      </c>
      <c r="I53" s="180">
        <f t="shared" si="4"/>
        <v>-0.56361784253829228</v>
      </c>
      <c r="J53" s="193">
        <v>208726710.33999997</v>
      </c>
      <c r="K53" s="286">
        <f t="shared" si="5"/>
        <v>4.4761074715909697</v>
      </c>
      <c r="L53" s="202">
        <f t="shared" si="7"/>
        <v>10975775.469999999</v>
      </c>
      <c r="M53" s="180">
        <f t="shared" si="0"/>
        <v>5.2584431825334121</v>
      </c>
      <c r="BM53" s="130"/>
      <c r="BN53" s="130"/>
      <c r="BO53" s="116"/>
      <c r="BP53" s="116"/>
      <c r="BQ53" s="116"/>
      <c r="BR53" s="115"/>
    </row>
    <row r="54" spans="1:70" ht="13.5" hidden="1" customHeight="1">
      <c r="C54" s="163" t="s">
        <v>432</v>
      </c>
      <c r="D54" s="239">
        <v>203620929.09</v>
      </c>
      <c r="E54" s="286">
        <f t="shared" si="1"/>
        <v>4.2270438456747836</v>
      </c>
      <c r="F54" s="240">
        <v>200961211.56999999</v>
      </c>
      <c r="G54" s="294">
        <f t="shared" si="2"/>
        <v>4.1718297641734656</v>
      </c>
      <c r="H54" s="241">
        <f t="shared" si="3"/>
        <v>2659717.5200000107</v>
      </c>
      <c r="I54" s="183">
        <f t="shared" si="4"/>
        <v>1.3234979522769947</v>
      </c>
      <c r="J54" s="240">
        <v>164834834.72999999</v>
      </c>
      <c r="K54" s="286">
        <f t="shared" si="5"/>
        <v>3.53485394423917</v>
      </c>
      <c r="L54" s="241">
        <f t="shared" si="7"/>
        <v>38786094.360000014</v>
      </c>
      <c r="M54" s="183">
        <f t="shared" si="0"/>
        <v>23.530277701028297</v>
      </c>
      <c r="BM54" s="130"/>
      <c r="BN54" s="130"/>
      <c r="BO54" s="116"/>
      <c r="BP54" s="116"/>
      <c r="BQ54" s="116"/>
      <c r="BR54" s="115"/>
    </row>
    <row r="55" spans="1:70" ht="13.5" hidden="1" customHeight="1" thickBot="1">
      <c r="C55" s="163" t="s">
        <v>459</v>
      </c>
      <c r="D55" s="242">
        <v>5108691.13</v>
      </c>
      <c r="E55" s="286">
        <f t="shared" si="1"/>
        <v>0.10605325050341491</v>
      </c>
      <c r="F55" s="240">
        <v>5723027.120000001</v>
      </c>
      <c r="G55" s="294">
        <f t="shared" si="2"/>
        <v>0.11880648356895229</v>
      </c>
      <c r="H55" s="241">
        <f t="shared" si="3"/>
        <v>-614335.99000000115</v>
      </c>
      <c r="I55" s="183">
        <f t="shared" si="4"/>
        <v>-10.734458829543357</v>
      </c>
      <c r="J55" s="240">
        <v>2046290.03</v>
      </c>
      <c r="K55" s="286">
        <f t="shared" si="5"/>
        <v>4.3882328607609052E-2</v>
      </c>
      <c r="L55" s="241">
        <f t="shared" si="7"/>
        <v>3062401.0999999996</v>
      </c>
      <c r="M55" s="183">
        <f t="shared" si="0"/>
        <v>149.65625864873124</v>
      </c>
      <c r="BM55" s="130"/>
      <c r="BN55" s="130"/>
      <c r="BO55" s="116"/>
      <c r="BP55" s="116"/>
      <c r="BQ55" s="116"/>
      <c r="BR55" s="115"/>
    </row>
    <row r="56" spans="1:70" ht="13.5" customHeight="1" thickTop="1" thickBot="1">
      <c r="B56" s="80">
        <v>44</v>
      </c>
      <c r="C56" s="90" t="s">
        <v>130</v>
      </c>
      <c r="D56" s="243">
        <v>272382721.88999999</v>
      </c>
      <c r="E56" s="288">
        <f t="shared" si="1"/>
        <v>5.6544958977393032</v>
      </c>
      <c r="F56" s="236">
        <v>295925000</v>
      </c>
      <c r="G56" s="293">
        <f t="shared" si="2"/>
        <v>6.1432189491602829</v>
      </c>
      <c r="H56" s="236">
        <f t="shared" si="3"/>
        <v>-23542278.110000014</v>
      </c>
      <c r="I56" s="179">
        <f t="shared" si="4"/>
        <v>-7.9554880831291825</v>
      </c>
      <c r="J56" s="236">
        <v>243362450.18000001</v>
      </c>
      <c r="K56" s="288">
        <f t="shared" si="5"/>
        <v>5.2188648006810876</v>
      </c>
      <c r="L56" s="236">
        <f>+D56-J56</f>
        <v>29020271.709999979</v>
      </c>
      <c r="M56" s="179">
        <f t="shared" si="0"/>
        <v>11.924712168428414</v>
      </c>
      <c r="BM56" s="130"/>
      <c r="BN56" s="130"/>
      <c r="BO56" s="116"/>
      <c r="BP56" s="116"/>
      <c r="BQ56" s="116"/>
      <c r="BR56" s="115"/>
    </row>
    <row r="57" spans="1:70" ht="13.5" customHeight="1" thickTop="1">
      <c r="B57" s="80">
        <v>451</v>
      </c>
      <c r="C57" s="93" t="s">
        <v>110</v>
      </c>
      <c r="D57" s="193">
        <v>3176935.98</v>
      </c>
      <c r="E57" s="286">
        <f t="shared" si="1"/>
        <v>6.5951215046397213E-2</v>
      </c>
      <c r="F57" s="193">
        <v>2280000.9999999995</v>
      </c>
      <c r="G57" s="294">
        <f t="shared" si="2"/>
        <v>4.7331402711174766E-2</v>
      </c>
      <c r="H57" s="194">
        <f t="shared" si="3"/>
        <v>896934.98000000045</v>
      </c>
      <c r="I57" s="180">
        <f t="shared" si="4"/>
        <v>39.339236254720987</v>
      </c>
      <c r="J57" s="193">
        <v>4596369</v>
      </c>
      <c r="K57" s="286">
        <f t="shared" si="5"/>
        <v>9.8568322135561312E-2</v>
      </c>
      <c r="L57" s="193">
        <f t="shared" si="7"/>
        <v>-1419433.02</v>
      </c>
      <c r="M57" s="180">
        <f t="shared" si="0"/>
        <v>-30.881615901595367</v>
      </c>
      <c r="BM57" s="130"/>
      <c r="BN57" s="130"/>
      <c r="BO57" s="116"/>
      <c r="BP57" s="116"/>
      <c r="BQ57" s="116"/>
      <c r="BR57" s="115"/>
    </row>
    <row r="58" spans="1:70" ht="13.5" customHeight="1" thickBot="1">
      <c r="B58" s="80">
        <v>47</v>
      </c>
      <c r="C58" s="93" t="s">
        <v>117</v>
      </c>
      <c r="D58" s="193">
        <v>24296455.589999996</v>
      </c>
      <c r="E58" s="286">
        <f t="shared" si="1"/>
        <v>0.50437930684436683</v>
      </c>
      <c r="F58" s="193">
        <v>24999999.999999996</v>
      </c>
      <c r="G58" s="294">
        <f t="shared" si="2"/>
        <v>0.51898445122584114</v>
      </c>
      <c r="H58" s="194">
        <f t="shared" si="3"/>
        <v>-703544.41000000015</v>
      </c>
      <c r="I58" s="180">
        <f t="shared" si="4"/>
        <v>-2.8141776399999969</v>
      </c>
      <c r="J58" s="193">
        <v>23887500.050000001</v>
      </c>
      <c r="K58" s="286">
        <f t="shared" si="5"/>
        <v>0.51226322341431618</v>
      </c>
      <c r="L58" s="193">
        <f t="shared" si="7"/>
        <v>408955.53999999538</v>
      </c>
      <c r="M58" s="180">
        <f t="shared" si="0"/>
        <v>1.712006443302954</v>
      </c>
      <c r="BM58" s="130"/>
      <c r="BN58" s="130"/>
      <c r="BO58" s="116"/>
      <c r="BP58" s="116"/>
      <c r="BQ58" s="116"/>
      <c r="BR58" s="115"/>
    </row>
    <row r="59" spans="1:70" ht="13.5" customHeight="1" thickTop="1" thickBot="1">
      <c r="B59" s="80">
        <v>462</v>
      </c>
      <c r="C59" s="119" t="s">
        <v>112</v>
      </c>
      <c r="D59" s="204">
        <v>38684699.409999996</v>
      </c>
      <c r="E59" s="290">
        <f t="shared" si="1"/>
        <v>0.80307029976541888</v>
      </c>
      <c r="F59" s="204">
        <v>9434672.4100000001</v>
      </c>
      <c r="G59" s="296">
        <f t="shared" si="2"/>
        <v>0.19585793132797744</v>
      </c>
      <c r="H59" s="205">
        <f t="shared" si="3"/>
        <v>29250026.999999996</v>
      </c>
      <c r="I59" s="184">
        <f t="shared" si="4"/>
        <v>310.02694877881822</v>
      </c>
      <c r="J59" s="204">
        <v>0</v>
      </c>
      <c r="K59" s="290">
        <f t="shared" si="5"/>
        <v>0</v>
      </c>
      <c r="L59" s="204">
        <f t="shared" si="7"/>
        <v>38684699.409999996</v>
      </c>
      <c r="M59" s="184" t="str">
        <f t="shared" ref="M59:M74" si="8">+IF(ISNUMBER(D59/J59*100-100),D59/J59*100-100,"...")</f>
        <v>...</v>
      </c>
      <c r="BM59" s="130"/>
      <c r="BN59" s="130"/>
      <c r="BO59" s="116"/>
      <c r="BP59" s="116"/>
      <c r="BQ59" s="116"/>
      <c r="BR59" s="115"/>
    </row>
    <row r="60" spans="1:70" ht="13.5" customHeight="1" thickTop="1" thickBot="1">
      <c r="B60" s="166" t="s">
        <v>447</v>
      </c>
      <c r="C60" s="161" t="s">
        <v>446</v>
      </c>
      <c r="D60" s="204">
        <v>20693842.879999995</v>
      </c>
      <c r="E60" s="291">
        <f t="shared" si="1"/>
        <v>0.42959130763322323</v>
      </c>
      <c r="F60" s="207">
        <v>18529999</v>
      </c>
      <c r="G60" s="297">
        <f t="shared" si="2"/>
        <v>0.38467125448921552</v>
      </c>
      <c r="H60" s="208">
        <f>+D60-F60</f>
        <v>2163843.8799999952</v>
      </c>
      <c r="I60" s="185">
        <f>+IF(ISNUMBER(D60/F60*100-100),D60/F60*100-100,"...")</f>
        <v>11.677517521722464</v>
      </c>
      <c r="J60" s="207">
        <v>23228368.030000001</v>
      </c>
      <c r="K60" s="291">
        <f>+J60/$J$11*100</f>
        <v>0.49812825355501567</v>
      </c>
      <c r="L60" s="208">
        <f>+D60-J60</f>
        <v>-2534525.150000006</v>
      </c>
      <c r="M60" s="184">
        <f t="shared" si="8"/>
        <v>-10.911335427123447</v>
      </c>
      <c r="BM60" s="130"/>
      <c r="BN60" s="130"/>
      <c r="BO60" s="116"/>
      <c r="BP60" s="116"/>
      <c r="BQ60" s="116"/>
      <c r="BR60" s="115"/>
    </row>
    <row r="61" spans="1:70" ht="13.5" customHeight="1" thickTop="1" thickBot="1">
      <c r="B61" s="80">
        <v>990</v>
      </c>
      <c r="C61" s="155" t="s">
        <v>151</v>
      </c>
      <c r="D61" s="193">
        <v>0</v>
      </c>
      <c r="E61" s="286">
        <f t="shared" si="1"/>
        <v>0</v>
      </c>
      <c r="F61" s="193">
        <v>0</v>
      </c>
      <c r="G61" s="294">
        <f t="shared" si="2"/>
        <v>0</v>
      </c>
      <c r="H61" s="194">
        <f t="shared" si="3"/>
        <v>0</v>
      </c>
      <c r="I61" s="180" t="str">
        <f t="shared" si="4"/>
        <v>...</v>
      </c>
      <c r="J61" s="193">
        <v>28097590.27</v>
      </c>
      <c r="K61" s="286">
        <f t="shared" si="5"/>
        <v>0.60254786527504056</v>
      </c>
      <c r="L61" s="193">
        <f t="shared" si="7"/>
        <v>-28097590.27</v>
      </c>
      <c r="M61" s="184">
        <f t="shared" si="8"/>
        <v>-100</v>
      </c>
      <c r="BM61" s="130"/>
      <c r="BN61" s="130"/>
      <c r="BO61" s="116"/>
      <c r="BP61" s="116"/>
      <c r="BQ61" s="116"/>
      <c r="BR61" s="115"/>
    </row>
    <row r="62" spans="1:70" ht="13.5" customHeight="1" thickTop="1" thickBot="1">
      <c r="C62" s="90" t="s">
        <v>443</v>
      </c>
      <c r="D62" s="235">
        <f>+D16-D35</f>
        <v>-143629091.9000001</v>
      </c>
      <c r="E62" s="288">
        <f>+D62/$D$11*100</f>
        <v>-2.981650617591499</v>
      </c>
      <c r="F62" s="235">
        <f>+F16-F35</f>
        <v>-142598064.63643956</v>
      </c>
      <c r="G62" s="293">
        <f t="shared" si="2"/>
        <v>-2.9602471328483855</v>
      </c>
      <c r="H62" s="235">
        <f t="shared" si="3"/>
        <v>-1031027.2635605335</v>
      </c>
      <c r="I62" s="179">
        <f t="shared" si="4"/>
        <v>0.72303033438019781</v>
      </c>
      <c r="J62" s="235">
        <f>+J16-J35</f>
        <v>-168900174.51999974</v>
      </c>
      <c r="K62" s="288">
        <f t="shared" si="5"/>
        <v>-3.6220344386710157</v>
      </c>
      <c r="L62" s="235">
        <f>+D62-J62</f>
        <v>25271082.619999647</v>
      </c>
      <c r="M62" s="179">
        <f t="shared" si="8"/>
        <v>-14.96214121259375</v>
      </c>
      <c r="BM62" s="130"/>
      <c r="BN62" s="130"/>
      <c r="BO62" s="116"/>
      <c r="BP62" s="116"/>
      <c r="BQ62" s="116"/>
      <c r="BR62" s="115"/>
    </row>
    <row r="63" spans="1:70" ht="13.5" customHeight="1" thickTop="1" thickBot="1">
      <c r="C63" s="90" t="s">
        <v>469</v>
      </c>
      <c r="D63" s="235">
        <f>D62-D61</f>
        <v>-143629091.9000001</v>
      </c>
      <c r="E63" s="288">
        <f>+D63/$D$11*100</f>
        <v>-2.981650617591499</v>
      </c>
      <c r="F63" s="235">
        <f>F62-F61</f>
        <v>-142598064.63643956</v>
      </c>
      <c r="G63" s="293">
        <f t="shared" si="2"/>
        <v>-2.9602471328483855</v>
      </c>
      <c r="H63" s="235">
        <f t="shared" si="3"/>
        <v>-1031027.2635605335</v>
      </c>
      <c r="I63" s="179">
        <f t="shared" si="4"/>
        <v>0.72303033438019781</v>
      </c>
      <c r="J63" s="235">
        <f>J62-J61</f>
        <v>-196997764.78999975</v>
      </c>
      <c r="K63" s="288">
        <f t="shared" si="5"/>
        <v>-4.2245823039460566</v>
      </c>
      <c r="L63" s="235">
        <f>+D63-J63</f>
        <v>53368672.889999658</v>
      </c>
      <c r="M63" s="179">
        <f t="shared" si="8"/>
        <v>-27.091004279612434</v>
      </c>
      <c r="BM63" s="130"/>
      <c r="BN63" s="130"/>
      <c r="BO63" s="116"/>
      <c r="BP63" s="116"/>
      <c r="BQ63" s="116"/>
      <c r="BR63" s="115"/>
    </row>
    <row r="64" spans="1:70" ht="13.5" customHeight="1" thickTop="1" thickBot="1">
      <c r="C64" s="90" t="s">
        <v>468</v>
      </c>
      <c r="D64" s="235">
        <f>+D62+D42</f>
        <v>-37962805.710000098</v>
      </c>
      <c r="E64" s="288">
        <f t="shared" si="1"/>
        <v>-0.78808423553590534</v>
      </c>
      <c r="F64" s="235">
        <f>+F62+F42</f>
        <v>-46845364.636439577</v>
      </c>
      <c r="G64" s="293">
        <f t="shared" si="2"/>
        <v>-0.97248063433268106</v>
      </c>
      <c r="H64" s="235">
        <f t="shared" si="3"/>
        <v>8882558.926439479</v>
      </c>
      <c r="I64" s="179">
        <f t="shared" si="4"/>
        <v>-18.961446869665323</v>
      </c>
      <c r="J64" s="235">
        <f>+J63+J42</f>
        <v>-99400455.299999774</v>
      </c>
      <c r="K64" s="288">
        <f t="shared" si="5"/>
        <v>-2.131625223830341</v>
      </c>
      <c r="L64" s="235">
        <f t="shared" si="7"/>
        <v>61437649.589999676</v>
      </c>
      <c r="M64" s="179">
        <f t="shared" si="8"/>
        <v>-61.808217482078085</v>
      </c>
      <c r="BM64" s="130"/>
      <c r="BN64" s="130"/>
      <c r="BO64" s="116"/>
      <c r="BP64" s="116"/>
      <c r="BQ64" s="116"/>
      <c r="BR64" s="115"/>
    </row>
    <row r="65" spans="2:70" ht="13.5" customHeight="1" thickTop="1" thickBot="1">
      <c r="C65" s="90" t="s">
        <v>449</v>
      </c>
      <c r="D65" s="235">
        <f>+SUM(D66:D67)</f>
        <v>507341253.08999997</v>
      </c>
      <c r="E65" s="288">
        <f t="shared" si="1"/>
        <v>10.532088872765771</v>
      </c>
      <c r="F65" s="235">
        <f>+SUM(F66:F68)</f>
        <v>373600000</v>
      </c>
      <c r="G65" s="293">
        <f t="shared" si="2"/>
        <v>7.7557036391189715</v>
      </c>
      <c r="H65" s="235">
        <f t="shared" si="3"/>
        <v>133741253.08999997</v>
      </c>
      <c r="I65" s="179">
        <f t="shared" si="4"/>
        <v>35.797979949143468</v>
      </c>
      <c r="J65" s="235">
        <f>+SUM(J66:J67)</f>
        <v>696281459.91000009</v>
      </c>
      <c r="K65" s="288">
        <f t="shared" si="5"/>
        <v>14.931633042827459</v>
      </c>
      <c r="L65" s="235">
        <f t="shared" si="7"/>
        <v>-188940206.82000011</v>
      </c>
      <c r="M65" s="179">
        <f t="shared" si="8"/>
        <v>-27.135607896901661</v>
      </c>
      <c r="BM65" s="130"/>
      <c r="BN65" s="130"/>
      <c r="BO65" s="116"/>
      <c r="BP65" s="116"/>
      <c r="BQ65" s="116"/>
      <c r="BR65" s="115"/>
    </row>
    <row r="66" spans="2:70" ht="13.5" customHeight="1" thickTop="1">
      <c r="B66" s="80">
        <v>4611</v>
      </c>
      <c r="C66" s="97" t="s">
        <v>450</v>
      </c>
      <c r="D66" s="197">
        <v>178415558.27999997</v>
      </c>
      <c r="E66" s="287">
        <f t="shared" si="1"/>
        <v>3.7037960241639154</v>
      </c>
      <c r="F66" s="197">
        <v>44100000.039999999</v>
      </c>
      <c r="G66" s="295">
        <f t="shared" si="2"/>
        <v>0.91548857279275908</v>
      </c>
      <c r="H66" s="198">
        <f t="shared" si="3"/>
        <v>134315558.23999998</v>
      </c>
      <c r="I66" s="181">
        <f t="shared" si="4"/>
        <v>304.57042657181813</v>
      </c>
      <c r="J66" s="197">
        <v>234823593.10000002</v>
      </c>
      <c r="K66" s="287">
        <f t="shared" si="5"/>
        <v>5.0357505173563677</v>
      </c>
      <c r="L66" s="198">
        <f t="shared" si="7"/>
        <v>-56408034.820000052</v>
      </c>
      <c r="M66" s="181">
        <f t="shared" si="8"/>
        <v>-24.021451198891498</v>
      </c>
      <c r="BM66" s="130"/>
      <c r="BN66" s="130"/>
      <c r="BO66" s="116"/>
      <c r="BP66" s="116"/>
      <c r="BQ66" s="116"/>
      <c r="BR66" s="115"/>
    </row>
    <row r="67" spans="2:70" ht="13.5" customHeight="1">
      <c r="B67" s="80">
        <v>4612</v>
      </c>
      <c r="C67" s="97" t="s">
        <v>451</v>
      </c>
      <c r="D67" s="197">
        <v>328925694.81</v>
      </c>
      <c r="E67" s="287">
        <f t="shared" si="1"/>
        <v>6.8282928486018566</v>
      </c>
      <c r="F67" s="197">
        <v>329499999.95999998</v>
      </c>
      <c r="G67" s="295">
        <f t="shared" si="2"/>
        <v>6.8402150663262118</v>
      </c>
      <c r="H67" s="198">
        <f t="shared" si="3"/>
        <v>-574305.14999997616</v>
      </c>
      <c r="I67" s="181">
        <f t="shared" si="4"/>
        <v>-0.17429594842782592</v>
      </c>
      <c r="J67" s="197">
        <v>461457866.81</v>
      </c>
      <c r="K67" s="287">
        <f t="shared" si="5"/>
        <v>9.8958825254710892</v>
      </c>
      <c r="L67" s="198">
        <f t="shared" si="7"/>
        <v>-132532172</v>
      </c>
      <c r="M67" s="181">
        <f t="shared" si="8"/>
        <v>-28.720319130363563</v>
      </c>
      <c r="BM67" s="130"/>
      <c r="BN67" s="130"/>
      <c r="BO67" s="116"/>
      <c r="BP67" s="116"/>
      <c r="BQ67" s="116"/>
      <c r="BR67" s="115"/>
    </row>
    <row r="68" spans="2:70" ht="13.5" customHeight="1" thickBot="1">
      <c r="B68" s="80" t="s">
        <v>448</v>
      </c>
      <c r="C68" s="97" t="s">
        <v>446</v>
      </c>
      <c r="D68" s="197">
        <v>0</v>
      </c>
      <c r="E68" s="287">
        <f t="shared" si="1"/>
        <v>0</v>
      </c>
      <c r="F68" s="244">
        <v>0</v>
      </c>
      <c r="G68" s="295">
        <f t="shared" si="2"/>
        <v>0</v>
      </c>
      <c r="H68" s="198">
        <f t="shared" si="3"/>
        <v>0</v>
      </c>
      <c r="I68" s="181" t="str">
        <f t="shared" si="4"/>
        <v>...</v>
      </c>
      <c r="J68" s="197">
        <v>0</v>
      </c>
      <c r="K68" s="287">
        <f t="shared" si="5"/>
        <v>0</v>
      </c>
      <c r="L68" s="198">
        <f t="shared" si="7"/>
        <v>0</v>
      </c>
      <c r="M68" s="181" t="str">
        <f t="shared" si="8"/>
        <v>...</v>
      </c>
      <c r="BM68" s="130"/>
      <c r="BN68" s="130"/>
      <c r="BO68" s="116"/>
      <c r="BP68" s="116"/>
      <c r="BQ68" s="116"/>
      <c r="BR68" s="115"/>
    </row>
    <row r="69" spans="2:70" ht="13.5" customHeight="1" thickTop="1" thickBot="1">
      <c r="C69" s="90" t="s">
        <v>465</v>
      </c>
      <c r="D69" s="235">
        <v>57328698.380000003</v>
      </c>
      <c r="E69" s="288">
        <f t="shared" si="1"/>
        <v>1.190108122729443</v>
      </c>
      <c r="F69" s="235">
        <v>40060000.020000003</v>
      </c>
      <c r="G69" s="293">
        <f t="shared" si="2"/>
        <v>0.83162068505947573</v>
      </c>
      <c r="H69" s="235">
        <f t="shared" si="3"/>
        <v>17268698.359999999</v>
      </c>
      <c r="I69" s="179">
        <f t="shared" si="4"/>
        <v>43.107085250570577</v>
      </c>
      <c r="J69" s="235">
        <v>69245296.659999996</v>
      </c>
      <c r="K69" s="288">
        <f t="shared" si="5"/>
        <v>1.4849531679365575</v>
      </c>
      <c r="L69" s="235">
        <f t="shared" si="7"/>
        <v>-11916598.279999994</v>
      </c>
      <c r="M69" s="179">
        <f t="shared" si="8"/>
        <v>-17.209252981486173</v>
      </c>
      <c r="BM69" s="130"/>
      <c r="BN69" s="130"/>
      <c r="BO69" s="116"/>
      <c r="BP69" s="116"/>
      <c r="BQ69" s="116"/>
      <c r="BR69" s="115"/>
    </row>
    <row r="70" spans="2:70" ht="13.5" customHeight="1" thickTop="1" thickBot="1">
      <c r="C70" s="90" t="s">
        <v>140</v>
      </c>
      <c r="D70" s="235">
        <f>+D62-D65-D69</f>
        <v>-708299043.37</v>
      </c>
      <c r="E70" s="288">
        <f t="shared" si="1"/>
        <v>-14.703847613086712</v>
      </c>
      <c r="F70" s="235">
        <f>+F62-F65-F69</f>
        <v>-556258064.65643954</v>
      </c>
      <c r="G70" s="293">
        <f t="shared" si="2"/>
        <v>-11.547571457026832</v>
      </c>
      <c r="H70" s="235">
        <f>+D70-F70</f>
        <v>-152040978.71356046</v>
      </c>
      <c r="I70" s="179">
        <f t="shared" ref="I70:I74" si="9">+IF(ISNUMBER(D70/F70*100-100),D70/F70*100-100,"...")</f>
        <v>27.33281337816922</v>
      </c>
      <c r="J70" s="235">
        <f>+J63-J65-J69</f>
        <v>-962524521.35999978</v>
      </c>
      <c r="K70" s="288">
        <f t="shared" ref="K70:K75" si="10">+J70/$J$11*100</f>
        <v>-20.641168514710074</v>
      </c>
      <c r="L70" s="235">
        <f t="shared" si="7"/>
        <v>254225477.98999977</v>
      </c>
      <c r="M70" s="179">
        <f t="shared" si="8"/>
        <v>-26.412363773422797</v>
      </c>
      <c r="BM70" s="130"/>
      <c r="BN70" s="130"/>
      <c r="BO70" s="116"/>
      <c r="BP70" s="116"/>
      <c r="BQ70" s="116"/>
      <c r="BR70" s="115"/>
    </row>
    <row r="71" spans="2:70" ht="13.5" customHeight="1" thickTop="1" thickBot="1">
      <c r="C71" s="90" t="s">
        <v>120</v>
      </c>
      <c r="D71" s="235">
        <f>+SUM(D72:D75)</f>
        <v>708299043.37</v>
      </c>
      <c r="E71" s="288">
        <f t="shared" si="1"/>
        <v>14.703847613086712</v>
      </c>
      <c r="F71" s="235">
        <f>+SUM(F72:F75)</f>
        <v>556258064.65643954</v>
      </c>
      <c r="G71" s="293">
        <f t="shared" si="2"/>
        <v>11.547571457026832</v>
      </c>
      <c r="H71" s="235">
        <f t="shared" ref="H71:H75" si="11">+D71-F71</f>
        <v>152040978.71356046</v>
      </c>
      <c r="I71" s="179">
        <f t="shared" si="9"/>
        <v>27.33281337816922</v>
      </c>
      <c r="J71" s="235">
        <f>+SUM(J72:J75)+J61</f>
        <v>962524521.35999978</v>
      </c>
      <c r="K71" s="288">
        <f t="shared" si="10"/>
        <v>20.641168514710074</v>
      </c>
      <c r="L71" s="235">
        <f t="shared" si="7"/>
        <v>-254225477.98999977</v>
      </c>
      <c r="M71" s="179">
        <f t="shared" si="8"/>
        <v>-26.412363773422797</v>
      </c>
      <c r="BM71" s="130"/>
      <c r="BN71" s="130"/>
      <c r="BO71" s="116"/>
      <c r="BP71" s="116"/>
      <c r="BQ71" s="116"/>
      <c r="BR71" s="115"/>
    </row>
    <row r="72" spans="2:70" ht="13.5" customHeight="1" thickTop="1">
      <c r="B72" s="80">
        <v>7511</v>
      </c>
      <c r="C72" s="97" t="s">
        <v>452</v>
      </c>
      <c r="D72" s="197">
        <v>363438000</v>
      </c>
      <c r="E72" s="287">
        <f t="shared" si="1"/>
        <v>7.5447468393846915</v>
      </c>
      <c r="F72" s="197">
        <v>190000000</v>
      </c>
      <c r="G72" s="295">
        <f t="shared" si="2"/>
        <v>3.9442818293163935</v>
      </c>
      <c r="H72" s="198">
        <f t="shared" si="11"/>
        <v>173438000</v>
      </c>
      <c r="I72" s="181">
        <f t="shared" si="9"/>
        <v>91.283157894736831</v>
      </c>
      <c r="J72" s="197">
        <v>213600000</v>
      </c>
      <c r="K72" s="287">
        <f t="shared" si="10"/>
        <v>4.5806143084151634</v>
      </c>
      <c r="L72" s="198">
        <f t="shared" si="7"/>
        <v>149838000</v>
      </c>
      <c r="M72" s="181">
        <f t="shared" si="8"/>
        <v>70.148876404494388</v>
      </c>
      <c r="BM72" s="130"/>
      <c r="BN72" s="130"/>
      <c r="BO72" s="116"/>
      <c r="BP72" s="116"/>
      <c r="BQ72" s="116"/>
      <c r="BR72" s="115"/>
    </row>
    <row r="73" spans="2:70" ht="13.5" customHeight="1">
      <c r="B73" s="80">
        <v>7512</v>
      </c>
      <c r="C73" s="97" t="s">
        <v>453</v>
      </c>
      <c r="D73" s="197">
        <v>651330293.42999995</v>
      </c>
      <c r="E73" s="287">
        <f t="shared" si="1"/>
        <v>13.521211796101387</v>
      </c>
      <c r="F73" s="197">
        <v>180405268.74155378</v>
      </c>
      <c r="G73" s="295">
        <f t="shared" si="2"/>
        <v>3.7451011758434278</v>
      </c>
      <c r="H73" s="198">
        <f t="shared" si="11"/>
        <v>470925024.68844616</v>
      </c>
      <c r="I73" s="181">
        <f t="shared" si="9"/>
        <v>261.03729008219108</v>
      </c>
      <c r="J73" s="197">
        <v>909773438.82000017</v>
      </c>
      <c r="K73" s="287">
        <f t="shared" si="10"/>
        <v>19.509930858028838</v>
      </c>
      <c r="L73" s="198">
        <f t="shared" si="7"/>
        <v>-258443145.39000022</v>
      </c>
      <c r="M73" s="181">
        <f t="shared" si="8"/>
        <v>-28.407418194710957</v>
      </c>
      <c r="BM73" s="130"/>
      <c r="BN73" s="130"/>
      <c r="BO73" s="116"/>
      <c r="BP73" s="116"/>
      <c r="BQ73" s="116"/>
      <c r="BR73" s="115"/>
    </row>
    <row r="74" spans="2:70" ht="13.5" customHeight="1" thickBot="1">
      <c r="B74" s="80">
        <v>72</v>
      </c>
      <c r="C74" s="103" t="s">
        <v>401</v>
      </c>
      <c r="D74" s="197">
        <v>4278082.92</v>
      </c>
      <c r="E74" s="292">
        <f t="shared" si="1"/>
        <v>8.8810340661393788E-2</v>
      </c>
      <c r="F74" s="197">
        <v>6000000</v>
      </c>
      <c r="G74" s="298">
        <f t="shared" si="2"/>
        <v>0.12455626829420191</v>
      </c>
      <c r="H74" s="198">
        <f t="shared" si="11"/>
        <v>-1721917.08</v>
      </c>
      <c r="I74" s="181">
        <f t="shared" si="9"/>
        <v>-28.698617999999996</v>
      </c>
      <c r="J74" s="197">
        <v>15749081.709999999</v>
      </c>
      <c r="K74" s="292">
        <f t="shared" si="10"/>
        <v>0.33773627820798474</v>
      </c>
      <c r="L74" s="198">
        <f t="shared" si="7"/>
        <v>-11470998.789999999</v>
      </c>
      <c r="M74" s="181">
        <f t="shared" si="8"/>
        <v>-72.835984987724089</v>
      </c>
      <c r="BM74" s="130"/>
      <c r="BN74" s="130"/>
      <c r="BO74" s="116"/>
      <c r="BP74" s="116"/>
      <c r="BQ74" s="116"/>
      <c r="BR74" s="115"/>
    </row>
    <row r="75" spans="2:70" ht="13.5" customHeight="1" thickTop="1" thickBot="1">
      <c r="C75" s="119" t="s">
        <v>454</v>
      </c>
      <c r="D75" s="204">
        <f>-D70-SUM(D72:D74)</f>
        <v>-310747332.9799999</v>
      </c>
      <c r="E75" s="290">
        <f t="shared" si="1"/>
        <v>-6.4509213630607602</v>
      </c>
      <c r="F75" s="204">
        <f>-F70-SUM(F72:F74)</f>
        <v>179852795.91488576</v>
      </c>
      <c r="G75" s="296">
        <f t="shared" si="2"/>
        <v>3.7336321835728081</v>
      </c>
      <c r="H75" s="211">
        <f t="shared" si="11"/>
        <v>-490600128.89488566</v>
      </c>
      <c r="I75" s="184" t="s">
        <v>467</v>
      </c>
      <c r="J75" s="204">
        <f>-J70-SUM(J72:J74)-J61</f>
        <v>-204695589.44000044</v>
      </c>
      <c r="K75" s="290">
        <f t="shared" si="10"/>
        <v>-4.3896607952169564</v>
      </c>
      <c r="L75" s="208">
        <f t="shared" si="7"/>
        <v>-106051743.53999946</v>
      </c>
      <c r="M75" s="184" t="s">
        <v>467</v>
      </c>
      <c r="BM75" s="130"/>
      <c r="BN75" s="130"/>
      <c r="BO75" s="116"/>
      <c r="BP75" s="116"/>
      <c r="BQ75" s="116"/>
      <c r="BR75" s="115"/>
    </row>
    <row r="76" spans="2:70" s="149" customFormat="1" ht="13.5" thickTop="1">
      <c r="C76" s="150" t="str">
        <f>IF([1]MasterSheet!$A$1=1,[1]MasterSheet!C151,[1]MasterSheet!B151)</f>
        <v>Izvor: Ministarstvo finansija Crne Gore</v>
      </c>
      <c r="D76" s="186"/>
      <c r="E76" s="186"/>
      <c r="F76" s="245"/>
      <c r="G76" s="186"/>
      <c r="H76" s="186"/>
      <c r="I76" s="186"/>
      <c r="J76" s="245"/>
      <c r="K76" s="186"/>
      <c r="L76" s="186"/>
      <c r="M76" s="186"/>
    </row>
    <row r="77" spans="2:70" s="149" customFormat="1">
      <c r="C77" s="151"/>
      <c r="D77" s="246"/>
      <c r="E77" s="187"/>
      <c r="F77" s="247"/>
      <c r="G77" s="187"/>
      <c r="H77" s="187"/>
      <c r="I77" s="187"/>
      <c r="J77" s="247"/>
      <c r="K77" s="248"/>
      <c r="L77" s="187"/>
      <c r="M77" s="187"/>
    </row>
    <row r="78" spans="2:70" s="149" customFormat="1">
      <c r="D78" s="188"/>
      <c r="E78" s="188"/>
      <c r="F78" s="187"/>
      <c r="G78" s="187"/>
      <c r="H78" s="187"/>
      <c r="I78" s="187"/>
      <c r="J78" s="187"/>
      <c r="K78" s="187"/>
      <c r="L78" s="187"/>
      <c r="M78" s="187"/>
    </row>
    <row r="79" spans="2:70" s="149" customFormat="1">
      <c r="C79" s="152"/>
      <c r="D79" s="188"/>
      <c r="E79" s="188"/>
      <c r="F79" s="188"/>
      <c r="G79" s="188"/>
      <c r="H79" s="188"/>
      <c r="I79" s="188"/>
      <c r="J79" s="188"/>
      <c r="K79" s="188"/>
      <c r="L79" s="188"/>
      <c r="M79" s="188"/>
    </row>
  </sheetData>
  <sheetProtection formatCells="0" formatColumns="0" formatRows="0" sort="0" autoFilter="0"/>
  <mergeCells count="12">
    <mergeCell ref="D14:E14"/>
    <mergeCell ref="H14:I14"/>
    <mergeCell ref="D11:G11"/>
    <mergeCell ref="C14:C15"/>
    <mergeCell ref="L11:M11"/>
    <mergeCell ref="J14:K14"/>
    <mergeCell ref="F14:G14"/>
    <mergeCell ref="J11:K11"/>
    <mergeCell ref="L14:M14"/>
    <mergeCell ref="H11:I11"/>
    <mergeCell ref="J13:K13"/>
    <mergeCell ref="D13:E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List Box 8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CD77"/>
  <sheetViews>
    <sheetView topLeftCell="B1" zoomScaleNormal="100" workbookViewId="0">
      <selection activeCell="X30" sqref="X30"/>
    </sheetView>
  </sheetViews>
  <sheetFormatPr defaultColWidth="9.140625" defaultRowHeight="12.75"/>
  <cols>
    <col min="1" max="2" width="9.140625" style="80" customWidth="1"/>
    <col min="3" max="3" width="40.42578125" style="80" customWidth="1"/>
    <col min="4" max="13" width="7.7109375" style="166" customWidth="1"/>
    <col min="14" max="14" width="6.85546875" style="80" customWidth="1"/>
    <col min="15" max="76" width="9.140625" style="80" customWidth="1"/>
    <col min="77" max="77" width="9.140625" style="80"/>
    <col min="78" max="78" width="15.42578125" style="80" customWidth="1"/>
    <col min="79" max="79" width="12.7109375" style="80" customWidth="1"/>
    <col min="80" max="80" width="11.85546875" style="80" customWidth="1"/>
    <col min="81" max="16384" width="9.140625" style="80"/>
  </cols>
  <sheetData>
    <row r="1" spans="2:76" ht="15" customHeight="1">
      <c r="C1" s="81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</row>
    <row r="2" spans="2:76" ht="15" hidden="1" customHeight="1">
      <c r="C2" s="81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</row>
    <row r="3" spans="2:76" ht="15" hidden="1" customHeight="1">
      <c r="C3" s="81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</row>
    <row r="4" spans="2:76" ht="15" hidden="1" customHeight="1">
      <c r="C4" s="81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</row>
    <row r="5" spans="2:76" ht="15" hidden="1" customHeight="1">
      <c r="C5" s="81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</row>
    <row r="6" spans="2:76" ht="15" hidden="1" customHeight="1">
      <c r="C6" s="81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</row>
    <row r="7" spans="2:76" ht="15" hidden="1" customHeight="1">
      <c r="C7" s="81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</row>
    <row r="8" spans="2:76" ht="15" hidden="1" customHeight="1">
      <c r="C8" s="81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</row>
    <row r="9" spans="2:76" ht="15" hidden="1" customHeight="1">
      <c r="C9" s="81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</row>
    <row r="10" spans="2:76" ht="15" customHeight="1" thickBot="1">
      <c r="C10" s="81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</row>
    <row r="11" spans="2:76" ht="18.75" customHeight="1" thickTop="1" thickBot="1">
      <c r="C11" s="122" t="str">
        <f>+'Cental Budget'!C11</f>
        <v>BDP (u mil. €)</v>
      </c>
      <c r="D11" s="340">
        <f>+'Cental Budget'!D11:G11</f>
        <v>4817100000</v>
      </c>
      <c r="E11" s="341"/>
      <c r="F11" s="341"/>
      <c r="G11" s="342"/>
      <c r="H11" s="335"/>
      <c r="I11" s="336"/>
      <c r="J11" s="337">
        <f>+'Cental Budget'!J11:K11</f>
        <v>4663130000</v>
      </c>
      <c r="K11" s="338" t="e">
        <f>+'Cental Budget'!#REF!</f>
        <v>#REF!</v>
      </c>
      <c r="L11" s="335"/>
      <c r="M11" s="339"/>
      <c r="N11" s="159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</row>
    <row r="12" spans="2:76" ht="19.5" customHeight="1" thickTop="1">
      <c r="C12" s="81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84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</row>
    <row r="13" spans="2:76" ht="17.25" customHeight="1" thickBot="1">
      <c r="B13" s="85"/>
      <c r="C13" s="86"/>
      <c r="D13" s="343"/>
      <c r="E13" s="343"/>
      <c r="F13" s="190"/>
      <c r="G13" s="190"/>
      <c r="H13" s="190"/>
      <c r="I13" s="190"/>
      <c r="J13" s="343"/>
      <c r="K13" s="343"/>
      <c r="L13" s="190"/>
      <c r="M13" s="190"/>
      <c r="N13" s="84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</row>
    <row r="14" spans="2:76" ht="15.75" customHeight="1" thickTop="1">
      <c r="B14" s="87"/>
      <c r="C14" s="344" t="s">
        <v>258</v>
      </c>
      <c r="D14" s="333" t="s">
        <v>470</v>
      </c>
      <c r="E14" s="334"/>
      <c r="F14" s="333" t="s">
        <v>471</v>
      </c>
      <c r="G14" s="334"/>
      <c r="H14" s="333" t="str">
        <f>+'Cental Budget'!H14:I14</f>
        <v>Odstupanje</v>
      </c>
      <c r="I14" s="334"/>
      <c r="J14" s="333" t="s">
        <v>464</v>
      </c>
      <c r="K14" s="334"/>
      <c r="L14" s="333" t="str">
        <f>+H14</f>
        <v>Odstupanje</v>
      </c>
      <c r="M14" s="334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</row>
    <row r="15" spans="2:76" ht="15" customHeight="1" thickBot="1">
      <c r="C15" s="345"/>
      <c r="D15" s="123" t="str">
        <f>IF(MasterSheet!$A$1=1,MasterSheet!C71,MasterSheet!C70)</f>
        <v>mil. €</v>
      </c>
      <c r="E15" s="128" t="str">
        <f>IF(MasterSheet!$A$1=1,MasterSheet!D71,MasterSheet!D70)</f>
        <v>% BDP</v>
      </c>
      <c r="F15" s="123" t="str">
        <f>IF(MasterSheet!$A$1=1,MasterSheet!E71,MasterSheet!E70)</f>
        <v>mil. €</v>
      </c>
      <c r="G15" s="128" t="str">
        <f>IF(MasterSheet!$A$1=1,MasterSheet!F71,MasterSheet!F70)</f>
        <v>% BDP</v>
      </c>
      <c r="H15" s="123" t="str">
        <f>IF(MasterSheet!$A$1=1,MasterSheet!G71,MasterSheet!G70)</f>
        <v>mil. €</v>
      </c>
      <c r="I15" s="128" t="s">
        <v>439</v>
      </c>
      <c r="J15" s="123" t="str">
        <f>IF(MasterSheet!$A$1=1,MasterSheet!I71,MasterSheet!I70)</f>
        <v>mil. €</v>
      </c>
      <c r="K15" s="128" t="str">
        <f>IF(MasterSheet!$A$1=1,MasterSheet!J71,MasterSheet!J70)</f>
        <v>% BDP</v>
      </c>
      <c r="L15" s="123" t="str">
        <f>IF(MasterSheet!$A$1=1,MasterSheet!K71,MasterSheet!K70)</f>
        <v>mil. €</v>
      </c>
      <c r="M15" s="128" t="s">
        <v>439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</row>
    <row r="16" spans="2:76" ht="15" customHeight="1" thickTop="1" thickBot="1">
      <c r="B16" s="80">
        <v>7</v>
      </c>
      <c r="C16" s="124" t="str">
        <f>IF(MasterSheet!$A$1=1,MasterSheet!C72,MasterSheet!B72)</f>
        <v>Izvorni prihodi</v>
      </c>
      <c r="D16" s="249">
        <f>+D17+D21+D22+D23+D24+D25</f>
        <v>265739773.69</v>
      </c>
      <c r="E16" s="299">
        <f>+D16/$D$11*100</f>
        <v>5.5165924246953564</v>
      </c>
      <c r="F16" s="249">
        <f>+F17+F21+F22+F23+F24+F25</f>
        <v>231841510.7942681</v>
      </c>
      <c r="G16" s="299">
        <f t="shared" ref="G16:G60" si="0">+F16/$D$11*100</f>
        <v>4.8128855700373272</v>
      </c>
      <c r="H16" s="249">
        <f>+D16-F16</f>
        <v>33898262.895731896</v>
      </c>
      <c r="I16" s="250">
        <f>+D16/F16*100-100</f>
        <v>14.621308660213401</v>
      </c>
      <c r="J16" s="249">
        <f>+J17+J21+J22+J23+J24+J25</f>
        <v>223433812.39000005</v>
      </c>
      <c r="K16" s="299">
        <f>+J16/$J$11*100</f>
        <v>4.7914986798566632</v>
      </c>
      <c r="L16" s="249">
        <f>+D16-J16</f>
        <v>42305961.299999952</v>
      </c>
      <c r="M16" s="250">
        <f>+D16/J16*100-100</f>
        <v>18.934449019808881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</row>
    <row r="17" spans="1:82" ht="15" customHeight="1" thickTop="1">
      <c r="B17" s="80">
        <v>711</v>
      </c>
      <c r="C17" s="93" t="str">
        <f>IF(MasterSheet!$A$1=1,MasterSheet!C73,MasterSheet!B73)</f>
        <v>Porezi</v>
      </c>
      <c r="D17" s="251">
        <f>+SUM(D18:D20)</f>
        <v>172340950.69999999</v>
      </c>
      <c r="E17" s="300">
        <f t="shared" ref="E17:E60" si="1">+D17/$D$11*100</f>
        <v>3.5776909489111706</v>
      </c>
      <c r="F17" s="251">
        <f>+SUM(F18:F20)</f>
        <v>147737756.1521101</v>
      </c>
      <c r="G17" s="300">
        <f t="shared" si="0"/>
        <v>3.0669439320776006</v>
      </c>
      <c r="H17" s="252">
        <f t="shared" ref="H17:H59" si="2">+D17-F17</f>
        <v>24603194.547889888</v>
      </c>
      <c r="I17" s="253">
        <f t="shared" ref="I17:I60" si="3">+D17/F17*100-100</f>
        <v>16.653288359516267</v>
      </c>
      <c r="J17" s="251">
        <f>+J18+J19+J20</f>
        <v>150875306.33000001</v>
      </c>
      <c r="K17" s="300">
        <f t="shared" ref="K17:K60" si="4">+J17/$J$11*100</f>
        <v>3.2354943209818297</v>
      </c>
      <c r="L17" s="252">
        <f t="shared" ref="L17:L60" si="5">+D17-J17</f>
        <v>21465644.369999975</v>
      </c>
      <c r="M17" s="253">
        <f t="shared" ref="M17:M60" si="6">+D17/J17*100-100</f>
        <v>14.227407315448644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</row>
    <row r="18" spans="1:82" ht="15" customHeight="1">
      <c r="B18" s="80">
        <v>7111</v>
      </c>
      <c r="C18" s="97" t="str">
        <f>IF(MasterSheet!$A$1=1,MasterSheet!C74,MasterSheet!B74)</f>
        <v>Porez na dohodak fizičkih lica</v>
      </c>
      <c r="D18" s="254">
        <v>55112893.480000012</v>
      </c>
      <c r="E18" s="301">
        <f t="shared" si="1"/>
        <v>1.144109391127442</v>
      </c>
      <c r="F18" s="254">
        <v>41764789.112709492</v>
      </c>
      <c r="G18" s="301">
        <f t="shared" si="0"/>
        <v>0.86701104632890114</v>
      </c>
      <c r="H18" s="255">
        <f>+D18-F18</f>
        <v>13348104.367290519</v>
      </c>
      <c r="I18" s="164">
        <f>+D18/F18*100-100</f>
        <v>31.960186201990268</v>
      </c>
      <c r="J18" s="254">
        <v>38323205.640000001</v>
      </c>
      <c r="K18" s="301">
        <f t="shared" si="4"/>
        <v>0.82183438248558371</v>
      </c>
      <c r="L18" s="255">
        <f>+D18-J18</f>
        <v>16789687.840000011</v>
      </c>
      <c r="M18" s="164">
        <f>+D18/J18*100-100</f>
        <v>43.810760502967184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</row>
    <row r="19" spans="1:82" ht="15" customHeight="1">
      <c r="B19" s="80">
        <v>7113</v>
      </c>
      <c r="C19" s="97" t="str">
        <f>IF(MasterSheet!$A$1=1,MasterSheet!C76,MasterSheet!B76)</f>
        <v>Porez na promet nepokretnosti</v>
      </c>
      <c r="D19" s="254">
        <v>22496860.130000003</v>
      </c>
      <c r="E19" s="301">
        <f t="shared" si="1"/>
        <v>0.46702082435490244</v>
      </c>
      <c r="F19" s="254">
        <v>17032471.591253597</v>
      </c>
      <c r="G19" s="301">
        <f t="shared" si="0"/>
        <v>0.3535835168722592</v>
      </c>
      <c r="H19" s="255">
        <f>+D19-F19</f>
        <v>5464388.5387464054</v>
      </c>
      <c r="I19" s="164">
        <f>+D19/F19*100-100</f>
        <v>32.082182021970567</v>
      </c>
      <c r="J19" s="254">
        <v>16516369.609999998</v>
      </c>
      <c r="K19" s="301">
        <f t="shared" si="4"/>
        <v>0.35419063182883592</v>
      </c>
      <c r="L19" s="255">
        <f>+D19-J19</f>
        <v>5980490.5200000051</v>
      </c>
      <c r="M19" s="164">
        <f>+D19/J19*100-100</f>
        <v>36.209473759772607</v>
      </c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3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</row>
    <row r="20" spans="1:82" ht="15" customHeight="1">
      <c r="B20" s="80">
        <v>7117</v>
      </c>
      <c r="C20" s="97" t="s">
        <v>11</v>
      </c>
      <c r="D20" s="254">
        <v>94731197.089999989</v>
      </c>
      <c r="E20" s="301">
        <f t="shared" si="1"/>
        <v>1.9665607334288262</v>
      </c>
      <c r="F20" s="254">
        <v>88940495.448146999</v>
      </c>
      <c r="G20" s="301">
        <f t="shared" si="0"/>
        <v>1.8463493688764401</v>
      </c>
      <c r="H20" s="255">
        <f>+D20-F20</f>
        <v>5790701.6418529898</v>
      </c>
      <c r="I20" s="164">
        <f>+D20/F20*100-100</f>
        <v>6.5107593708301437</v>
      </c>
      <c r="J20" s="254">
        <v>96035731.080000013</v>
      </c>
      <c r="K20" s="301">
        <f t="shared" si="4"/>
        <v>2.0594693066674106</v>
      </c>
      <c r="L20" s="255">
        <f>+D20-J20</f>
        <v>-1304533.9900000244</v>
      </c>
      <c r="M20" s="164">
        <f>+D20/J20*100-100</f>
        <v>-1.358383984095795</v>
      </c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3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</row>
    <row r="21" spans="1:82" ht="15" customHeight="1">
      <c r="B21" s="80">
        <v>713</v>
      </c>
      <c r="C21" s="93" t="str">
        <f>IF(MasterSheet!$A$1=1,MasterSheet!C86,MasterSheet!B86)</f>
        <v>Takse</v>
      </c>
      <c r="D21" s="201">
        <v>5473078.0999999996</v>
      </c>
      <c r="E21" s="286">
        <f t="shared" si="1"/>
        <v>0.1136176973697868</v>
      </c>
      <c r="F21" s="201">
        <v>6755642.1779159997</v>
      </c>
      <c r="G21" s="286">
        <f t="shared" si="0"/>
        <v>0.14024292993535531</v>
      </c>
      <c r="H21" s="202">
        <f t="shared" si="2"/>
        <v>-1282564.077916</v>
      </c>
      <c r="I21" s="180">
        <f t="shared" si="3"/>
        <v>-18.985080087703068</v>
      </c>
      <c r="J21" s="201">
        <v>5789035.5299999993</v>
      </c>
      <c r="K21" s="289">
        <f t="shared" si="4"/>
        <v>0.12414484541498948</v>
      </c>
      <c r="L21" s="202">
        <f t="shared" si="5"/>
        <v>-315957.4299999997</v>
      </c>
      <c r="M21" s="180">
        <f t="shared" si="6"/>
        <v>-5.4578595754446724</v>
      </c>
      <c r="BY21" s="81"/>
      <c r="BZ21" s="81"/>
      <c r="CA21" s="81"/>
    </row>
    <row r="22" spans="1:82" ht="15" customHeight="1">
      <c r="B22" s="80">
        <v>714</v>
      </c>
      <c r="C22" s="93" t="str">
        <f>IF(MasterSheet!$A$1=1,MasterSheet!C91,MasterSheet!B91)</f>
        <v>Naknade</v>
      </c>
      <c r="D22" s="201">
        <v>65191213.050000004</v>
      </c>
      <c r="E22" s="286">
        <f t="shared" si="1"/>
        <v>1.3533290371800462</v>
      </c>
      <c r="F22" s="201">
        <v>57000000</v>
      </c>
      <c r="G22" s="286">
        <f>+F22/$D$11*100</f>
        <v>1.1832845487949182</v>
      </c>
      <c r="H22" s="202">
        <f>+D22-F22</f>
        <v>8191213.0500000045</v>
      </c>
      <c r="I22" s="180">
        <f>+D22/F22*100-100</f>
        <v>14.37054921052632</v>
      </c>
      <c r="J22" s="201">
        <v>49284788.49000001</v>
      </c>
      <c r="K22" s="289">
        <f t="shared" si="4"/>
        <v>1.05690359243684</v>
      </c>
      <c r="L22" s="202">
        <f t="shared" si="5"/>
        <v>15906424.559999995</v>
      </c>
      <c r="M22" s="180">
        <f t="shared" si="6"/>
        <v>32.274511157184833</v>
      </c>
      <c r="BY22" s="114"/>
      <c r="BZ22" s="114"/>
      <c r="CA22" s="114"/>
    </row>
    <row r="23" spans="1:82" ht="15" customHeight="1">
      <c r="B23" s="80">
        <v>715</v>
      </c>
      <c r="C23" s="93" t="str">
        <f>IF(MasterSheet!$A$1=1,MasterSheet!C98,MasterSheet!B98)</f>
        <v>Ostali prihodi</v>
      </c>
      <c r="D23" s="256">
        <v>17910642.84</v>
      </c>
      <c r="E23" s="302">
        <f t="shared" si="1"/>
        <v>0.3718138058167777</v>
      </c>
      <c r="F23" s="256">
        <v>16308112.464242</v>
      </c>
      <c r="G23" s="302">
        <f>+F23/$D$11*100</f>
        <v>0.3385462719113575</v>
      </c>
      <c r="H23" s="257">
        <f>+D23-F23</f>
        <v>1602530.3757579997</v>
      </c>
      <c r="I23" s="258">
        <f>+D23/F23*100-100</f>
        <v>9.8265840346133899</v>
      </c>
      <c r="J23" s="256">
        <v>14603136.58</v>
      </c>
      <c r="K23" s="302">
        <f t="shared" si="4"/>
        <v>0.31316168710715764</v>
      </c>
      <c r="L23" s="257">
        <f t="shared" si="5"/>
        <v>3307506.26</v>
      </c>
      <c r="M23" s="258">
        <f t="shared" si="6"/>
        <v>22.649286623326233</v>
      </c>
      <c r="BY23" s="81"/>
      <c r="BZ23" s="81"/>
      <c r="CA23" s="81"/>
      <c r="CB23" s="81"/>
      <c r="CC23" s="81"/>
    </row>
    <row r="24" spans="1:82">
      <c r="B24" s="80">
        <v>73</v>
      </c>
      <c r="C24" s="101" t="str">
        <f>IF(MasterSheet!$A$1=1,MasterSheet!C103,MasterSheet!B103)</f>
        <v xml:space="preserve">Primici od otplate kredita </v>
      </c>
      <c r="D24" s="256">
        <v>0</v>
      </c>
      <c r="E24" s="302">
        <f t="shared" si="1"/>
        <v>0</v>
      </c>
      <c r="F24" s="256">
        <v>0</v>
      </c>
      <c r="G24" s="302">
        <f t="shared" si="0"/>
        <v>0</v>
      </c>
      <c r="H24" s="257">
        <f t="shared" si="2"/>
        <v>0</v>
      </c>
      <c r="I24" s="164" t="e">
        <f t="shared" si="3"/>
        <v>#DIV/0!</v>
      </c>
      <c r="J24" s="256">
        <v>0</v>
      </c>
      <c r="K24" s="302">
        <f t="shared" si="4"/>
        <v>0</v>
      </c>
      <c r="L24" s="257">
        <f t="shared" si="5"/>
        <v>0</v>
      </c>
      <c r="M24" s="258" t="e">
        <f t="shared" si="6"/>
        <v>#DIV/0!</v>
      </c>
      <c r="BX24" s="100"/>
      <c r="BY24" s="100"/>
      <c r="BZ24" s="99"/>
      <c r="CA24" s="116"/>
      <c r="CB24" s="116"/>
      <c r="CC24" s="116"/>
      <c r="CD24" s="115"/>
    </row>
    <row r="25" spans="1:82" ht="13.5" customHeight="1" thickBot="1">
      <c r="B25" s="80">
        <v>74</v>
      </c>
      <c r="C25" s="93" t="s">
        <v>122</v>
      </c>
      <c r="D25" s="256">
        <v>4823889</v>
      </c>
      <c r="E25" s="302">
        <f t="shared" si="1"/>
        <v>0.10014093541757488</v>
      </c>
      <c r="F25" s="256">
        <v>4040000</v>
      </c>
      <c r="G25" s="302">
        <f t="shared" si="0"/>
        <v>8.3867887318095954E-2</v>
      </c>
      <c r="H25" s="257">
        <f t="shared" si="2"/>
        <v>783889</v>
      </c>
      <c r="I25" s="258">
        <f t="shared" si="3"/>
        <v>19.403193069306937</v>
      </c>
      <c r="J25" s="256">
        <v>2881545.46</v>
      </c>
      <c r="K25" s="302">
        <f t="shared" si="4"/>
        <v>6.1794233915846215E-2</v>
      </c>
      <c r="L25" s="257">
        <f t="shared" si="5"/>
        <v>1942343.54</v>
      </c>
      <c r="M25" s="258">
        <f t="shared" si="6"/>
        <v>67.40631258338712</v>
      </c>
      <c r="BY25" s="117"/>
      <c r="BZ25" s="117"/>
      <c r="CA25" s="116"/>
      <c r="CB25" s="116"/>
      <c r="CC25" s="116"/>
      <c r="CD25" s="115"/>
    </row>
    <row r="26" spans="1:82" ht="15" customHeight="1" thickTop="1" thickBot="1">
      <c r="B26" s="102"/>
      <c r="C26" s="124" t="str">
        <f>IF(MasterSheet!$A$1=1,MasterSheet!C104,MasterSheet!B104)</f>
        <v>Izdaci</v>
      </c>
      <c r="D26" s="259">
        <f>+D28+D37+D39+D40+D41+D42+D43+D44</f>
        <v>219699390.02999994</v>
      </c>
      <c r="E26" s="303">
        <f t="shared" si="1"/>
        <v>4.5608226947748634</v>
      </c>
      <c r="F26" s="259">
        <f>+F28+F37+F39+F40+F41+F42+F43+F44+F45</f>
        <v>192663684.35359997</v>
      </c>
      <c r="G26" s="303">
        <f t="shared" si="0"/>
        <v>3.999578259816071</v>
      </c>
      <c r="H26" s="259">
        <f t="shared" si="2"/>
        <v>27035705.676399976</v>
      </c>
      <c r="I26" s="260">
        <f t="shared" si="3"/>
        <v>14.032590400783945</v>
      </c>
      <c r="J26" s="259">
        <f>+J28+J37+J39+J40+J41+J42+J43+J44</f>
        <v>237495978.12400001</v>
      </c>
      <c r="K26" s="308">
        <f t="shared" si="4"/>
        <v>5.0930593426303794</v>
      </c>
      <c r="L26" s="259">
        <f t="shared" si="5"/>
        <v>-17796588.094000071</v>
      </c>
      <c r="M26" s="260">
        <f t="shared" si="6"/>
        <v>-7.4934271454096972</v>
      </c>
      <c r="BY26" s="81"/>
      <c r="BZ26" s="81"/>
      <c r="CA26" s="116"/>
      <c r="CB26" s="116"/>
      <c r="CC26" s="116"/>
      <c r="CD26" s="115"/>
    </row>
    <row r="27" spans="1:82" ht="13.5" customHeight="1" thickTop="1" thickBot="1">
      <c r="C27" s="124" t="str">
        <f>IF(MasterSheet!$A$1=1,MasterSheet!C105,MasterSheet!B105)</f>
        <v>Tekuća budžetska potrošnja</v>
      </c>
      <c r="D27" s="259">
        <f>+D26-D40</f>
        <v>153287198.55999994</v>
      </c>
      <c r="E27" s="303">
        <f t="shared" si="1"/>
        <v>3.1821469049843252</v>
      </c>
      <c r="F27" s="259">
        <f>+F26-F40</f>
        <v>141078609.88249996</v>
      </c>
      <c r="G27" s="303">
        <f t="shared" si="0"/>
        <v>2.9287041971829515</v>
      </c>
      <c r="H27" s="259">
        <f t="shared" si="2"/>
        <v>12208588.67749998</v>
      </c>
      <c r="I27" s="260">
        <f t="shared" si="3"/>
        <v>8.6537489188957437</v>
      </c>
      <c r="J27" s="259">
        <f>+J26-J40</f>
        <v>184153170.604</v>
      </c>
      <c r="K27" s="308">
        <f t="shared" si="4"/>
        <v>3.949132248168076</v>
      </c>
      <c r="L27" s="259">
        <f t="shared" si="5"/>
        <v>-30865972.044000059</v>
      </c>
      <c r="M27" s="260">
        <f t="shared" si="6"/>
        <v>-16.7610321032016</v>
      </c>
      <c r="BY27" s="117"/>
      <c r="BZ27" s="117"/>
      <c r="CA27" s="116"/>
      <c r="CB27" s="116"/>
      <c r="CC27" s="116"/>
      <c r="CD27" s="115"/>
    </row>
    <row r="28" spans="1:82" ht="13.5" customHeight="1" thickTop="1">
      <c r="A28" s="80">
        <v>41</v>
      </c>
      <c r="C28" s="93" t="str">
        <f>+'Cental Budget'!C37</f>
        <v>Tekući izdaci</v>
      </c>
      <c r="D28" s="201">
        <f>+SUM(D29:D36)</f>
        <v>91705918.37999998</v>
      </c>
      <c r="E28" s="286">
        <f t="shared" si="1"/>
        <v>1.9037578289842432</v>
      </c>
      <c r="F28" s="201">
        <f>+SUM(F29:F36)</f>
        <v>89361518.836147979</v>
      </c>
      <c r="G28" s="286">
        <f t="shared" si="0"/>
        <v>1.8550895525554376</v>
      </c>
      <c r="H28" s="202">
        <f t="shared" si="2"/>
        <v>2344399.5438520014</v>
      </c>
      <c r="I28" s="180">
        <f t="shared" si="3"/>
        <v>2.6235001087556071</v>
      </c>
      <c r="J28" s="201">
        <f>+SUM(J29:J36)</f>
        <v>81865991.943999991</v>
      </c>
      <c r="K28" s="289">
        <f t="shared" si="4"/>
        <v>1.7556017512700695</v>
      </c>
      <c r="L28" s="202">
        <f t="shared" si="5"/>
        <v>9839926.4359999895</v>
      </c>
      <c r="M28" s="180">
        <f t="shared" si="6"/>
        <v>12.019553177503724</v>
      </c>
      <c r="BY28" s="117"/>
      <c r="BZ28" s="117"/>
      <c r="CA28" s="116"/>
      <c r="CB28" s="116"/>
      <c r="CC28" s="116"/>
      <c r="CD28" s="115"/>
    </row>
    <row r="29" spans="1:82" ht="13.5" customHeight="1">
      <c r="B29" s="80">
        <v>411</v>
      </c>
      <c r="C29" s="93" t="str">
        <f>+'Cental Budget'!C38</f>
        <v>Bruto zarade i doprinosi na teret poslodavca</v>
      </c>
      <c r="D29" s="256">
        <v>51695571.279999994</v>
      </c>
      <c r="E29" s="302">
        <f t="shared" si="1"/>
        <v>1.0731679076622864</v>
      </c>
      <c r="F29" s="256">
        <v>51633288.692327991</v>
      </c>
      <c r="G29" s="302">
        <f t="shared" si="0"/>
        <v>1.0718749598789312</v>
      </c>
      <c r="H29" s="257">
        <f t="shared" si="2"/>
        <v>62282.587672002614</v>
      </c>
      <c r="I29" s="258">
        <f t="shared" si="3"/>
        <v>0.12062487060069316</v>
      </c>
      <c r="J29" s="256">
        <v>47719620.219999999</v>
      </c>
      <c r="K29" s="302">
        <f t="shared" si="4"/>
        <v>1.0233388350742956</v>
      </c>
      <c r="L29" s="257">
        <f t="shared" si="5"/>
        <v>3975951.0599999949</v>
      </c>
      <c r="M29" s="258">
        <f t="shared" si="6"/>
        <v>8.3319000479673093</v>
      </c>
      <c r="BY29" s="117"/>
      <c r="BZ29" s="117"/>
      <c r="CA29" s="116"/>
      <c r="CB29" s="116"/>
      <c r="CC29" s="116"/>
      <c r="CD29" s="115"/>
    </row>
    <row r="30" spans="1:82" ht="13.5" customHeight="1">
      <c r="B30" s="80">
        <v>412</v>
      </c>
      <c r="C30" s="93" t="str">
        <f>+'Cental Budget'!C39</f>
        <v>Ostala lična primanja</v>
      </c>
      <c r="D30" s="256">
        <v>4321575.09</v>
      </c>
      <c r="E30" s="302">
        <f t="shared" si="1"/>
        <v>8.9713211060596626E-2</v>
      </c>
      <c r="F30" s="256">
        <v>4191121.3849760005</v>
      </c>
      <c r="G30" s="302">
        <f t="shared" si="0"/>
        <v>8.7005073280106301E-2</v>
      </c>
      <c r="H30" s="257">
        <f t="shared" si="2"/>
        <v>130453.70502399933</v>
      </c>
      <c r="I30" s="258">
        <f t="shared" si="3"/>
        <v>3.1126205385422452</v>
      </c>
      <c r="J30" s="256">
        <v>3542549.6899999995</v>
      </c>
      <c r="K30" s="302">
        <f t="shared" si="4"/>
        <v>7.5969352988228933E-2</v>
      </c>
      <c r="L30" s="257">
        <f t="shared" si="5"/>
        <v>779025.40000000037</v>
      </c>
      <c r="M30" s="258">
        <f t="shared" si="6"/>
        <v>21.990528522410102</v>
      </c>
      <c r="BY30" s="117"/>
      <c r="BZ30" s="117"/>
      <c r="CA30" s="116"/>
      <c r="CB30" s="116"/>
      <c r="CC30" s="116"/>
      <c r="CD30" s="115"/>
    </row>
    <row r="31" spans="1:82" ht="13.5" customHeight="1">
      <c r="B31" s="80">
        <v>413</v>
      </c>
      <c r="C31" s="93" t="str">
        <f>+'Cental Budget'!C40</f>
        <v>Rashodi za materijal i usluge</v>
      </c>
      <c r="D31" s="256">
        <v>17347471.16</v>
      </c>
      <c r="E31" s="302">
        <f t="shared" si="1"/>
        <v>0.36012271200514834</v>
      </c>
      <c r="F31" s="256">
        <v>16052646.754708</v>
      </c>
      <c r="G31" s="302">
        <f t="shared" si="0"/>
        <v>0.33324296266857656</v>
      </c>
      <c r="H31" s="257">
        <f t="shared" si="2"/>
        <v>1294824.4052920006</v>
      </c>
      <c r="I31" s="258">
        <f t="shared" si="3"/>
        <v>8.0661116205789938</v>
      </c>
      <c r="J31" s="256">
        <v>15668020.629999999</v>
      </c>
      <c r="K31" s="302">
        <f t="shared" si="4"/>
        <v>0.33599793765132002</v>
      </c>
      <c r="L31" s="257">
        <f t="shared" si="5"/>
        <v>1679450.5300000012</v>
      </c>
      <c r="M31" s="258">
        <f t="shared" si="6"/>
        <v>10.718970632348473</v>
      </c>
      <c r="BY31" s="117"/>
      <c r="BZ31" s="117"/>
      <c r="CA31" s="116"/>
      <c r="CB31" s="116"/>
      <c r="CC31" s="116"/>
      <c r="CD31" s="115"/>
    </row>
    <row r="32" spans="1:82" ht="13.5" customHeight="1">
      <c r="B32" s="80">
        <v>415</v>
      </c>
      <c r="C32" s="93" t="str">
        <f>+'Cental Budget'!C41</f>
        <v>Rashodi za tekuće održavanje</v>
      </c>
      <c r="D32" s="256">
        <v>5980597.3899999997</v>
      </c>
      <c r="E32" s="302">
        <f t="shared" si="1"/>
        <v>0.12415348217807394</v>
      </c>
      <c r="F32" s="256">
        <v>6857638.5834680023</v>
      </c>
      <c r="G32" s="302">
        <f t="shared" si="0"/>
        <v>0.14236031187785186</v>
      </c>
      <c r="H32" s="257">
        <f t="shared" si="2"/>
        <v>-877041.1934680026</v>
      </c>
      <c r="I32" s="258">
        <f t="shared" si="3"/>
        <v>-12.789259492069519</v>
      </c>
      <c r="J32" s="256">
        <v>5293071.7440000009</v>
      </c>
      <c r="K32" s="302">
        <f t="shared" si="4"/>
        <v>0.11350898954135959</v>
      </c>
      <c r="L32" s="257">
        <f t="shared" si="5"/>
        <v>687525.64599999879</v>
      </c>
      <c r="M32" s="258">
        <f t="shared" si="6"/>
        <v>12.989161667407004</v>
      </c>
      <c r="BY32" s="117"/>
      <c r="BZ32" s="117"/>
      <c r="CA32" s="116"/>
      <c r="CB32" s="116"/>
      <c r="CC32" s="116"/>
      <c r="CD32" s="115"/>
    </row>
    <row r="33" spans="1:82" ht="13.5" customHeight="1">
      <c r="B33" s="80">
        <v>416</v>
      </c>
      <c r="C33" s="93" t="str">
        <f>+'Cental Budget'!C42</f>
        <v>Kamate</v>
      </c>
      <c r="D33" s="256">
        <v>3758759.5300000003</v>
      </c>
      <c r="E33" s="302">
        <f t="shared" si="1"/>
        <v>7.8029510078678047E-2</v>
      </c>
      <c r="F33" s="256">
        <v>4473332.5309400009</v>
      </c>
      <c r="G33" s="302">
        <f t="shared" si="0"/>
        <v>9.2863601148823999E-2</v>
      </c>
      <c r="H33" s="257">
        <f t="shared" si="2"/>
        <v>-714573.00094000064</v>
      </c>
      <c r="I33" s="258">
        <f t="shared" si="3"/>
        <v>-15.974063989154061</v>
      </c>
      <c r="J33" s="256">
        <v>3332013.5500000003</v>
      </c>
      <c r="K33" s="302">
        <f t="shared" si="4"/>
        <v>7.1454442616868938E-2</v>
      </c>
      <c r="L33" s="257">
        <f t="shared" si="5"/>
        <v>426745.98</v>
      </c>
      <c r="M33" s="258">
        <f t="shared" si="6"/>
        <v>12.807450317841585</v>
      </c>
      <c r="BY33" s="117"/>
      <c r="BZ33" s="117"/>
      <c r="CA33" s="116"/>
      <c r="CB33" s="116"/>
      <c r="CC33" s="116"/>
      <c r="CD33" s="115"/>
    </row>
    <row r="34" spans="1:82" ht="13.5" customHeight="1">
      <c r="B34" s="80">
        <v>417</v>
      </c>
      <c r="C34" s="93" t="str">
        <f>+'Cental Budget'!C43</f>
        <v>Renta</v>
      </c>
      <c r="D34" s="256">
        <v>682514.94000000006</v>
      </c>
      <c r="E34" s="302">
        <f t="shared" si="1"/>
        <v>1.416858566357352E-2</v>
      </c>
      <c r="F34" s="256">
        <v>607501.59742799995</v>
      </c>
      <c r="G34" s="302">
        <f t="shared" si="0"/>
        <v>1.26113553263997E-2</v>
      </c>
      <c r="H34" s="257">
        <f t="shared" si="2"/>
        <v>75013.342572000111</v>
      </c>
      <c r="I34" s="258">
        <f t="shared" si="3"/>
        <v>12.347842851703874</v>
      </c>
      <c r="J34" s="256">
        <v>623559.5</v>
      </c>
      <c r="K34" s="302">
        <f t="shared" si="4"/>
        <v>1.3372123444982233E-2</v>
      </c>
      <c r="L34" s="257">
        <f t="shared" si="5"/>
        <v>58955.440000000061</v>
      </c>
      <c r="M34" s="258">
        <f t="shared" si="6"/>
        <v>9.4546615038340462</v>
      </c>
      <c r="BY34" s="117"/>
      <c r="BZ34" s="117"/>
      <c r="CA34" s="116"/>
      <c r="CB34" s="116"/>
      <c r="CC34" s="116"/>
      <c r="CD34" s="115"/>
    </row>
    <row r="35" spans="1:82" ht="13.5" customHeight="1">
      <c r="B35" s="80">
        <v>418</v>
      </c>
      <c r="C35" s="93" t="str">
        <f>+'Cental Budget'!C44</f>
        <v>Subvencije</v>
      </c>
      <c r="D35" s="256">
        <v>1809516.2400000002</v>
      </c>
      <c r="E35" s="302">
        <f t="shared" si="1"/>
        <v>3.7564431712025913E-2</v>
      </c>
      <c r="F35" s="256">
        <v>1262221.2806759998</v>
      </c>
      <c r="G35" s="302">
        <f t="shared" si="0"/>
        <v>2.6202928747088492E-2</v>
      </c>
      <c r="H35" s="257">
        <f t="shared" si="2"/>
        <v>547294.9593240004</v>
      </c>
      <c r="I35" s="258">
        <f t="shared" si="3"/>
        <v>43.359668205791081</v>
      </c>
      <c r="J35" s="256">
        <v>1519123.88</v>
      </c>
      <c r="K35" s="302">
        <f t="shared" si="4"/>
        <v>3.2577343543928647E-2</v>
      </c>
      <c r="L35" s="257">
        <f t="shared" si="5"/>
        <v>290392.36000000034</v>
      </c>
      <c r="M35" s="258">
        <f t="shared" si="6"/>
        <v>19.11577876058405</v>
      </c>
      <c r="BY35" s="117"/>
      <c r="BZ35" s="117"/>
      <c r="CA35" s="116"/>
      <c r="CB35" s="116"/>
      <c r="CC35" s="116"/>
      <c r="CD35" s="115"/>
    </row>
    <row r="36" spans="1:82" ht="13.5" customHeight="1">
      <c r="B36" s="80">
        <v>419</v>
      </c>
      <c r="C36" s="93" t="str">
        <f>+'Cental Budget'!C45</f>
        <v>Ostali izdaci</v>
      </c>
      <c r="D36" s="256">
        <v>6109912.75</v>
      </c>
      <c r="E36" s="302">
        <f t="shared" si="1"/>
        <v>0.12683798862386084</v>
      </c>
      <c r="F36" s="256">
        <v>4283768.0116239991</v>
      </c>
      <c r="G36" s="302">
        <f t="shared" si="0"/>
        <v>8.8928359627659784E-2</v>
      </c>
      <c r="H36" s="257">
        <f t="shared" si="2"/>
        <v>1826144.7383760009</v>
      </c>
      <c r="I36" s="258">
        <f t="shared" si="3"/>
        <v>42.629403212796745</v>
      </c>
      <c r="J36" s="256">
        <v>4168032.7299999995</v>
      </c>
      <c r="K36" s="302">
        <f t="shared" si="4"/>
        <v>8.9382726409085733E-2</v>
      </c>
      <c r="L36" s="257">
        <f t="shared" si="5"/>
        <v>1941880.0200000005</v>
      </c>
      <c r="M36" s="258">
        <f t="shared" si="6"/>
        <v>46.589845756801452</v>
      </c>
      <c r="BY36" s="117"/>
      <c r="BZ36" s="117"/>
      <c r="CA36" s="116"/>
      <c r="CB36" s="116"/>
      <c r="CC36" s="116"/>
      <c r="CD36" s="115"/>
    </row>
    <row r="37" spans="1:82" ht="13.5" customHeight="1">
      <c r="A37" s="80">
        <v>42</v>
      </c>
      <c r="B37" s="80" t="s">
        <v>427</v>
      </c>
      <c r="C37" s="93" t="str">
        <f>+'Cental Budget'!C47</f>
        <v>Transferi za socijalnu zaštitu</v>
      </c>
      <c r="D37" s="256">
        <f>+D38</f>
        <v>465880.51999999996</v>
      </c>
      <c r="E37" s="302">
        <f t="shared" si="1"/>
        <v>9.6713898403603827E-3</v>
      </c>
      <c r="F37" s="256">
        <f>+F38</f>
        <v>845347.63910400006</v>
      </c>
      <c r="G37" s="302">
        <f t="shared" si="0"/>
        <v>1.7548891223018E-2</v>
      </c>
      <c r="H37" s="257">
        <f t="shared" si="2"/>
        <v>-379467.1191040001</v>
      </c>
      <c r="I37" s="258">
        <f t="shared" si="3"/>
        <v>-44.888883762212252</v>
      </c>
      <c r="J37" s="256">
        <f>+J38</f>
        <v>410356.91</v>
      </c>
      <c r="K37" s="302">
        <f t="shared" si="4"/>
        <v>8.8000315238906043E-3</v>
      </c>
      <c r="L37" s="257">
        <f t="shared" si="5"/>
        <v>55523.609999999986</v>
      </c>
      <c r="M37" s="258">
        <f t="shared" si="6"/>
        <v>13.530565380268598</v>
      </c>
      <c r="BY37" s="117"/>
      <c r="BZ37" s="117"/>
      <c r="CA37" s="116"/>
      <c r="CB37" s="116"/>
      <c r="CC37" s="116"/>
      <c r="CD37" s="115"/>
    </row>
    <row r="38" spans="1:82" ht="13.5" customHeight="1">
      <c r="B38" s="80">
        <v>421</v>
      </c>
      <c r="C38" s="97" t="s">
        <v>88</v>
      </c>
      <c r="D38" s="254">
        <v>465880.51999999996</v>
      </c>
      <c r="E38" s="301">
        <f>+D38/$D$11*100</f>
        <v>9.6713898403603827E-3</v>
      </c>
      <c r="F38" s="254">
        <v>845347.63910400006</v>
      </c>
      <c r="G38" s="301">
        <f t="shared" si="0"/>
        <v>1.7548891223018E-2</v>
      </c>
      <c r="H38" s="255">
        <f>+D38-F38</f>
        <v>-379467.1191040001</v>
      </c>
      <c r="I38" s="164">
        <f>+D38/F38*100-100</f>
        <v>-44.888883762212252</v>
      </c>
      <c r="J38" s="254">
        <v>410356.91</v>
      </c>
      <c r="K38" s="301">
        <f t="shared" si="4"/>
        <v>8.8000315238906043E-3</v>
      </c>
      <c r="L38" s="255">
        <f>+D38-J38</f>
        <v>55523.609999999986</v>
      </c>
      <c r="M38" s="164">
        <f>+D38/J38*100-100</f>
        <v>13.530565380268598</v>
      </c>
      <c r="BY38" s="117"/>
      <c r="BZ38" s="117"/>
      <c r="CA38" s="116"/>
      <c r="CB38" s="116"/>
      <c r="CC38" s="116"/>
      <c r="CD38" s="115"/>
    </row>
    <row r="39" spans="1:82" ht="13.5" customHeight="1" thickBot="1">
      <c r="A39" s="80">
        <v>43</v>
      </c>
      <c r="C39" s="93" t="str">
        <f>+'Cental Budget'!C53</f>
        <v xml:space="preserve">Transferi institucijama, pojedincima, nevladinom i javnom sektoru </v>
      </c>
      <c r="D39" s="201">
        <v>55332678.769999996</v>
      </c>
      <c r="E39" s="286">
        <f t="shared" si="1"/>
        <v>1.1486719970521682</v>
      </c>
      <c r="F39" s="201">
        <v>47264890.195859998</v>
      </c>
      <c r="G39" s="286">
        <f t="shared" si="0"/>
        <v>0.98118972402192195</v>
      </c>
      <c r="H39" s="202">
        <f t="shared" si="2"/>
        <v>8067788.5741399974</v>
      </c>
      <c r="I39" s="180">
        <f t="shared" si="3"/>
        <v>17.069305653113886</v>
      </c>
      <c r="J39" s="193">
        <v>52633005.979999997</v>
      </c>
      <c r="K39" s="289">
        <f t="shared" si="4"/>
        <v>1.1287055256876817</v>
      </c>
      <c r="L39" s="202">
        <f t="shared" si="5"/>
        <v>2699672.7899999991</v>
      </c>
      <c r="M39" s="180">
        <f t="shared" si="6"/>
        <v>5.1292392287566599</v>
      </c>
      <c r="BY39" s="117"/>
      <c r="BZ39" s="117"/>
      <c r="CA39" s="116"/>
      <c r="CB39" s="116"/>
      <c r="CC39" s="116"/>
      <c r="CD39" s="115"/>
    </row>
    <row r="40" spans="1:82" ht="13.5" customHeight="1" thickTop="1" thickBot="1">
      <c r="B40" s="80">
        <v>44</v>
      </c>
      <c r="C40" s="124" t="str">
        <f>+'Cental Budget'!C56</f>
        <v>Kapitalni budžet</v>
      </c>
      <c r="D40" s="259">
        <v>66412191.469999999</v>
      </c>
      <c r="E40" s="303">
        <f t="shared" si="1"/>
        <v>1.378675789790538</v>
      </c>
      <c r="F40" s="261">
        <v>51585074.471100003</v>
      </c>
      <c r="G40" s="303">
        <f t="shared" si="0"/>
        <v>1.0708740626331195</v>
      </c>
      <c r="H40" s="259">
        <f t="shared" si="2"/>
        <v>14827116.998899996</v>
      </c>
      <c r="I40" s="260">
        <f t="shared" si="3"/>
        <v>28.743036917018969</v>
      </c>
      <c r="J40" s="261">
        <v>53342807.520000011</v>
      </c>
      <c r="K40" s="308">
        <f t="shared" si="4"/>
        <v>1.1439270944623035</v>
      </c>
      <c r="L40" s="259">
        <f t="shared" si="5"/>
        <v>13069383.949999988</v>
      </c>
      <c r="M40" s="260">
        <f t="shared" si="6"/>
        <v>24.500742569839119</v>
      </c>
      <c r="BY40" s="117"/>
      <c r="BZ40" s="117"/>
      <c r="CA40" s="116"/>
      <c r="CB40" s="116"/>
      <c r="CC40" s="116"/>
      <c r="CD40" s="115"/>
    </row>
    <row r="41" spans="1:82" ht="13.5" customHeight="1" thickTop="1">
      <c r="B41" s="80">
        <v>451</v>
      </c>
      <c r="C41" s="93" t="str">
        <f>+'Cental Budget'!C57</f>
        <v>Pozajmice i krediti</v>
      </c>
      <c r="D41" s="256">
        <v>2585155.19</v>
      </c>
      <c r="E41" s="302">
        <f t="shared" si="1"/>
        <v>5.3666213904631423E-2</v>
      </c>
      <c r="F41" s="256">
        <v>1530000</v>
      </c>
      <c r="G41" s="302">
        <f t="shared" si="0"/>
        <v>3.1761848415021485E-2</v>
      </c>
      <c r="H41" s="257">
        <f t="shared" si="2"/>
        <v>1055155.19</v>
      </c>
      <c r="I41" s="258">
        <f t="shared" si="3"/>
        <v>68.964391503267962</v>
      </c>
      <c r="J41" s="256">
        <v>1554090.59</v>
      </c>
      <c r="K41" s="302">
        <f t="shared" si="4"/>
        <v>3.3327198469697394E-2</v>
      </c>
      <c r="L41" s="257">
        <f t="shared" si="5"/>
        <v>1031064.5999999999</v>
      </c>
      <c r="M41" s="258">
        <f t="shared" si="6"/>
        <v>66.345205783660248</v>
      </c>
      <c r="BY41" s="117"/>
      <c r="BZ41" s="117"/>
      <c r="CA41" s="116"/>
      <c r="CB41" s="116"/>
      <c r="CC41" s="116"/>
      <c r="CD41" s="115"/>
    </row>
    <row r="42" spans="1:82" ht="13.5" customHeight="1" thickBot="1">
      <c r="B42" s="80">
        <v>47</v>
      </c>
      <c r="C42" s="93" t="str">
        <f>+'Cental Budget'!C58</f>
        <v>Rezerve</v>
      </c>
      <c r="D42" s="262">
        <v>3197565.7</v>
      </c>
      <c r="E42" s="304">
        <f t="shared" si="1"/>
        <v>6.6379475202922922E-2</v>
      </c>
      <c r="F42" s="262">
        <v>2076853.2113879998</v>
      </c>
      <c r="G42" s="304">
        <f t="shared" si="0"/>
        <v>4.3114180967553088E-2</v>
      </c>
      <c r="H42" s="263">
        <f t="shared" si="2"/>
        <v>1120712.4886120004</v>
      </c>
      <c r="I42" s="264">
        <f t="shared" si="3"/>
        <v>53.962046160354646</v>
      </c>
      <c r="J42" s="262">
        <v>3287121.29</v>
      </c>
      <c r="K42" s="304">
        <f t="shared" si="4"/>
        <v>7.0491736022800136E-2</v>
      </c>
      <c r="L42" s="263">
        <f t="shared" si="5"/>
        <v>-89555.589999999851</v>
      </c>
      <c r="M42" s="264">
        <f t="shared" si="6"/>
        <v>-2.7244382576463977</v>
      </c>
      <c r="BY42" s="117"/>
      <c r="BZ42" s="117"/>
      <c r="CA42" s="116"/>
      <c r="CB42" s="116"/>
      <c r="CC42" s="116"/>
      <c r="CD42" s="115"/>
    </row>
    <row r="43" spans="1:82" ht="13.5" customHeight="1" thickTop="1" thickBot="1">
      <c r="B43" s="80">
        <v>462</v>
      </c>
      <c r="C43" s="153" t="s">
        <v>112</v>
      </c>
      <c r="D43" s="265">
        <v>0</v>
      </c>
      <c r="E43" s="305">
        <f t="shared" si="1"/>
        <v>0</v>
      </c>
      <c r="F43" s="265">
        <v>0</v>
      </c>
      <c r="G43" s="305">
        <f t="shared" si="0"/>
        <v>0</v>
      </c>
      <c r="H43" s="266">
        <f t="shared" si="2"/>
        <v>0</v>
      </c>
      <c r="I43" s="264" t="e">
        <f t="shared" si="3"/>
        <v>#DIV/0!</v>
      </c>
      <c r="J43" s="265">
        <v>0</v>
      </c>
      <c r="K43" s="305">
        <f t="shared" si="4"/>
        <v>0</v>
      </c>
      <c r="L43" s="266">
        <f t="shared" si="5"/>
        <v>0</v>
      </c>
      <c r="M43" s="267" t="e">
        <f t="shared" si="6"/>
        <v>#DIV/0!</v>
      </c>
      <c r="BY43" s="117"/>
      <c r="BZ43" s="117"/>
      <c r="CA43" s="116"/>
      <c r="CB43" s="116"/>
      <c r="CC43" s="116"/>
      <c r="CD43" s="115"/>
    </row>
    <row r="44" spans="1:82" ht="13.5" customHeight="1" thickTop="1" thickBot="1">
      <c r="B44" s="80" t="s">
        <v>448</v>
      </c>
      <c r="C44" s="153" t="s">
        <v>446</v>
      </c>
      <c r="D44" s="256">
        <v>0</v>
      </c>
      <c r="E44" s="305">
        <f>+D44/$D$11*100</f>
        <v>0</v>
      </c>
      <c r="F44" s="268">
        <v>0</v>
      </c>
      <c r="G44" s="305">
        <f t="shared" si="0"/>
        <v>0</v>
      </c>
      <c r="H44" s="266">
        <f>+D44-F44</f>
        <v>0</v>
      </c>
      <c r="I44" s="264" t="e">
        <f>+D44/F44*100-100</f>
        <v>#DIV/0!</v>
      </c>
      <c r="J44" s="256">
        <v>44402603.890000008</v>
      </c>
      <c r="K44" s="305">
        <f t="shared" si="4"/>
        <v>0.9522060051939365</v>
      </c>
      <c r="L44" s="266">
        <f>+D44-J44</f>
        <v>-44402603.890000008</v>
      </c>
      <c r="M44" s="267">
        <f>+D44/J44*100-100</f>
        <v>-100</v>
      </c>
      <c r="BY44" s="117"/>
      <c r="BZ44" s="117"/>
      <c r="CA44" s="116"/>
      <c r="CB44" s="116"/>
      <c r="CC44" s="116"/>
      <c r="CD44" s="115"/>
    </row>
    <row r="45" spans="1:82" ht="13.5" customHeight="1" thickTop="1" thickBot="1">
      <c r="B45" s="80">
        <v>990</v>
      </c>
      <c r="C45" s="154" t="s">
        <v>151</v>
      </c>
      <c r="D45" s="269">
        <v>0</v>
      </c>
      <c r="E45" s="306">
        <f t="shared" si="1"/>
        <v>0</v>
      </c>
      <c r="F45" s="269">
        <v>0</v>
      </c>
      <c r="G45" s="306">
        <f t="shared" si="0"/>
        <v>0</v>
      </c>
      <c r="H45" s="270">
        <f t="shared" si="2"/>
        <v>0</v>
      </c>
      <c r="I45" s="264" t="e">
        <f t="shared" si="3"/>
        <v>#DIV/0!</v>
      </c>
      <c r="J45" s="269">
        <v>2245606.09</v>
      </c>
      <c r="K45" s="306">
        <f t="shared" si="4"/>
        <v>4.8156626343250131E-2</v>
      </c>
      <c r="L45" s="270">
        <f t="shared" si="5"/>
        <v>-2245606.09</v>
      </c>
      <c r="M45" s="267">
        <f t="shared" si="6"/>
        <v>-100</v>
      </c>
      <c r="BY45" s="117"/>
      <c r="BZ45" s="117"/>
      <c r="CA45" s="116"/>
      <c r="CB45" s="116"/>
      <c r="CC45" s="116"/>
      <c r="CD45" s="115"/>
    </row>
    <row r="46" spans="1:82" ht="13.5" customHeight="1" thickTop="1" thickBot="1">
      <c r="C46" s="124" t="str">
        <f>+'Cental Budget'!C62</f>
        <v>Suficit / deficit</v>
      </c>
      <c r="D46" s="259">
        <f>+D16-D26</f>
        <v>46040383.660000056</v>
      </c>
      <c r="E46" s="303">
        <f t="shared" si="1"/>
        <v>0.95576972992049269</v>
      </c>
      <c r="F46" s="259">
        <f>+F16-F26</f>
        <v>39177826.440668136</v>
      </c>
      <c r="G46" s="303">
        <f t="shared" si="0"/>
        <v>0.81330731022125624</v>
      </c>
      <c r="H46" s="259">
        <f>+D46-F46</f>
        <v>6862557.2193319201</v>
      </c>
      <c r="I46" s="260">
        <f t="shared" si="3"/>
        <v>17.516431723757691</v>
      </c>
      <c r="J46" s="259">
        <f>+J16-J26</f>
        <v>-14062165.733999968</v>
      </c>
      <c r="K46" s="308">
        <f t="shared" si="4"/>
        <v>-0.30156066277371568</v>
      </c>
      <c r="L46" s="259">
        <f t="shared" si="5"/>
        <v>60102549.394000024</v>
      </c>
      <c r="M46" s="260">
        <f t="shared" si="6"/>
        <v>-427.40606625537134</v>
      </c>
      <c r="BY46" s="117"/>
      <c r="BZ46" s="117"/>
      <c r="CA46" s="116"/>
      <c r="CB46" s="116"/>
      <c r="CC46" s="116"/>
      <c r="CD46" s="115"/>
    </row>
    <row r="47" spans="1:82" ht="13.5" customHeight="1" thickTop="1" thickBot="1">
      <c r="C47" s="124" t="s">
        <v>469</v>
      </c>
      <c r="D47" s="259">
        <f>D46-D45</f>
        <v>46040383.660000056</v>
      </c>
      <c r="E47" s="303">
        <f t="shared" si="1"/>
        <v>0.95576972992049269</v>
      </c>
      <c r="F47" s="259">
        <f>F46-F45</f>
        <v>39177826.440668136</v>
      </c>
      <c r="G47" s="303">
        <f t="shared" si="0"/>
        <v>0.81330731022125624</v>
      </c>
      <c r="H47" s="259">
        <f>+D47-F47</f>
        <v>6862557.2193319201</v>
      </c>
      <c r="I47" s="260">
        <f t="shared" si="3"/>
        <v>17.516431723757691</v>
      </c>
      <c r="J47" s="259">
        <f>J46-J45</f>
        <v>-16307771.823999967</v>
      </c>
      <c r="K47" s="308">
        <f t="shared" si="4"/>
        <v>-0.34971728911696576</v>
      </c>
      <c r="L47" s="259">
        <f t="shared" ref="L47" si="7">+D47-J47</f>
        <v>62348155.484000027</v>
      </c>
      <c r="M47" s="260">
        <f t="shared" ref="M47" si="8">+D47/J47*100-100</f>
        <v>-382.32173074829836</v>
      </c>
      <c r="BY47" s="117"/>
      <c r="BZ47" s="117"/>
      <c r="CA47" s="116"/>
      <c r="CB47" s="116"/>
      <c r="CC47" s="116"/>
      <c r="CD47" s="115"/>
    </row>
    <row r="48" spans="1:82" ht="13.5" customHeight="1" thickTop="1" thickBot="1">
      <c r="C48" s="124" t="str">
        <f>+'Cental Budget'!C64</f>
        <v>Primarni suficit/deficit</v>
      </c>
      <c r="D48" s="259">
        <f>+D46+D33</f>
        <v>49799143.190000057</v>
      </c>
      <c r="E48" s="303">
        <f t="shared" si="1"/>
        <v>1.0337992399991709</v>
      </c>
      <c r="F48" s="259">
        <f>+F46+F33</f>
        <v>43651158.97160814</v>
      </c>
      <c r="G48" s="303">
        <f t="shared" si="0"/>
        <v>0.90617091137008032</v>
      </c>
      <c r="H48" s="259">
        <f t="shared" si="2"/>
        <v>6147984.2183919176</v>
      </c>
      <c r="I48" s="260">
        <f t="shared" si="3"/>
        <v>14.084355062349502</v>
      </c>
      <c r="J48" s="259">
        <f>+J47+J33</f>
        <v>-12975758.273999967</v>
      </c>
      <c r="K48" s="308">
        <f t="shared" si="4"/>
        <v>-0.27826284650009686</v>
      </c>
      <c r="L48" s="259">
        <f t="shared" si="5"/>
        <v>62774901.464000024</v>
      </c>
      <c r="M48" s="260">
        <f t="shared" si="6"/>
        <v>-483.78599645913982</v>
      </c>
      <c r="BY48" s="117"/>
      <c r="BZ48" s="117"/>
      <c r="CA48" s="116"/>
      <c r="CB48" s="116"/>
      <c r="CC48" s="116"/>
      <c r="CD48" s="115"/>
    </row>
    <row r="49" spans="2:82" ht="13.5" customHeight="1" thickTop="1" thickBot="1">
      <c r="C49" s="124" t="str">
        <f>+'Cental Budget'!C65</f>
        <v>Otplata dugova</v>
      </c>
      <c r="D49" s="259">
        <f>+SUM(D50:D52)</f>
        <v>66445660.920000009</v>
      </c>
      <c r="E49" s="303">
        <f t="shared" si="1"/>
        <v>1.3793705947561814</v>
      </c>
      <c r="F49" s="259">
        <f>+SUM(F50:F52)</f>
        <v>57000000</v>
      </c>
      <c r="G49" s="303">
        <f t="shared" si="0"/>
        <v>1.1832845487949182</v>
      </c>
      <c r="H49" s="259">
        <f t="shared" si="2"/>
        <v>9445660.9200000092</v>
      </c>
      <c r="I49" s="260">
        <f t="shared" si="3"/>
        <v>16.571334947368442</v>
      </c>
      <c r="J49" s="259">
        <f>+SUM(J50:J51)</f>
        <v>16319516.270000001</v>
      </c>
      <c r="K49" s="308">
        <f t="shared" si="4"/>
        <v>0.34996914668902646</v>
      </c>
      <c r="L49" s="259">
        <f t="shared" si="5"/>
        <v>50126144.650000006</v>
      </c>
      <c r="M49" s="260">
        <f t="shared" si="6"/>
        <v>307.1545983390842</v>
      </c>
      <c r="BY49" s="117"/>
      <c r="BZ49" s="117"/>
      <c r="CA49" s="116"/>
      <c r="CB49" s="116"/>
      <c r="CC49" s="116"/>
      <c r="CD49" s="115"/>
    </row>
    <row r="50" spans="2:82" ht="13.5" customHeight="1" thickTop="1">
      <c r="B50" s="80">
        <v>4611</v>
      </c>
      <c r="C50" s="97" t="str">
        <f>+'Cental Budget'!C66</f>
        <v>Otplata hartija od vrijednosti i kredita rezidentima</v>
      </c>
      <c r="D50" s="271">
        <v>15211583</v>
      </c>
      <c r="E50" s="307">
        <f t="shared" si="1"/>
        <v>0.31578300222125349</v>
      </c>
      <c r="F50" s="271">
        <v>13000000</v>
      </c>
      <c r="G50" s="307">
        <f t="shared" si="0"/>
        <v>0.26987191463743743</v>
      </c>
      <c r="H50" s="272">
        <f t="shared" si="2"/>
        <v>2211583</v>
      </c>
      <c r="I50" s="273">
        <f t="shared" si="3"/>
        <v>17.012176923076922</v>
      </c>
      <c r="J50" s="271">
        <v>13871931.370000001</v>
      </c>
      <c r="K50" s="307">
        <f t="shared" si="4"/>
        <v>0.2974811204062508</v>
      </c>
      <c r="L50" s="272">
        <f t="shared" si="5"/>
        <v>1339651.629999999</v>
      </c>
      <c r="M50" s="273">
        <f t="shared" si="6"/>
        <v>9.6572827118881435</v>
      </c>
      <c r="BY50" s="117"/>
      <c r="BZ50" s="117"/>
      <c r="CA50" s="116"/>
      <c r="CB50" s="116"/>
      <c r="CC50" s="116"/>
      <c r="CD50" s="115"/>
    </row>
    <row r="51" spans="2:82" ht="13.5" customHeight="1">
      <c r="B51" s="80">
        <v>4612</v>
      </c>
      <c r="C51" s="97" t="str">
        <f>+'Cental Budget'!C67</f>
        <v>Otplata hartija od vrijednosti i kredita nerezidentima</v>
      </c>
      <c r="D51" s="268">
        <v>2138427.67</v>
      </c>
      <c r="E51" s="301">
        <f t="shared" si="1"/>
        <v>4.4392428432044176E-2</v>
      </c>
      <c r="F51" s="268">
        <v>4000000</v>
      </c>
      <c r="G51" s="301">
        <f t="shared" si="0"/>
        <v>8.3037512196134602E-2</v>
      </c>
      <c r="H51" s="255">
        <f t="shared" si="2"/>
        <v>-1861572.33</v>
      </c>
      <c r="I51" s="164">
        <f t="shared" si="3"/>
        <v>-46.539308249999998</v>
      </c>
      <c r="J51" s="268">
        <v>2447584.9</v>
      </c>
      <c r="K51" s="301">
        <f t="shared" si="4"/>
        <v>5.2488026282775734E-2</v>
      </c>
      <c r="L51" s="255">
        <f t="shared" si="5"/>
        <v>-309157.23</v>
      </c>
      <c r="M51" s="164">
        <f t="shared" si="6"/>
        <v>-12.631113633688457</v>
      </c>
      <c r="BY51" s="117"/>
      <c r="BZ51" s="117"/>
      <c r="CA51" s="116"/>
      <c r="CB51" s="116"/>
      <c r="CC51" s="116"/>
      <c r="CD51" s="115"/>
    </row>
    <row r="52" spans="2:82" ht="13.5" customHeight="1" thickBot="1">
      <c r="B52" s="80" t="s">
        <v>448</v>
      </c>
      <c r="C52" s="97" t="s">
        <v>446</v>
      </c>
      <c r="D52" s="254">
        <v>49095650.250000007</v>
      </c>
      <c r="E52" s="301">
        <f>+D52/$D$11*100</f>
        <v>1.0191951641028838</v>
      </c>
      <c r="F52" s="268">
        <v>40000000</v>
      </c>
      <c r="G52" s="301">
        <f t="shared" si="0"/>
        <v>0.83037512196134611</v>
      </c>
      <c r="H52" s="255">
        <f>+D52-F52</f>
        <v>9095650.2500000075</v>
      </c>
      <c r="I52" s="164">
        <f>+D52/F52*100-100</f>
        <v>22.739125625000028</v>
      </c>
      <c r="J52" s="268">
        <v>0</v>
      </c>
      <c r="K52" s="301">
        <f t="shared" si="4"/>
        <v>0</v>
      </c>
      <c r="L52" s="255">
        <f>+D52-J52</f>
        <v>49095650.250000007</v>
      </c>
      <c r="M52" s="164" t="e">
        <f>+D52/J52*100-100</f>
        <v>#DIV/0!</v>
      </c>
      <c r="BY52" s="117"/>
      <c r="BZ52" s="117"/>
      <c r="CA52" s="116"/>
      <c r="CB52" s="116"/>
      <c r="CC52" s="116"/>
      <c r="CD52" s="115"/>
    </row>
    <row r="53" spans="2:82" ht="13.5" customHeight="1" thickTop="1" thickBot="1">
      <c r="C53" s="124" t="s">
        <v>466</v>
      </c>
      <c r="D53" s="259">
        <v>0</v>
      </c>
      <c r="E53" s="303">
        <f t="shared" si="1"/>
        <v>0</v>
      </c>
      <c r="F53" s="259">
        <v>0</v>
      </c>
      <c r="G53" s="303">
        <f t="shared" si="0"/>
        <v>0</v>
      </c>
      <c r="H53" s="259">
        <f t="shared" si="2"/>
        <v>0</v>
      </c>
      <c r="I53" s="260" t="e">
        <f t="shared" si="3"/>
        <v>#DIV/0!</v>
      </c>
      <c r="J53" s="259">
        <v>0</v>
      </c>
      <c r="K53" s="308">
        <f t="shared" si="4"/>
        <v>0</v>
      </c>
      <c r="L53" s="259">
        <f t="shared" si="5"/>
        <v>0</v>
      </c>
      <c r="M53" s="260" t="e">
        <f t="shared" si="6"/>
        <v>#DIV/0!</v>
      </c>
      <c r="BY53" s="117"/>
      <c r="BZ53" s="117"/>
      <c r="CA53" s="116"/>
      <c r="CB53" s="116"/>
      <c r="CC53" s="116"/>
      <c r="CD53" s="115"/>
    </row>
    <row r="54" spans="2:82" ht="13.5" customHeight="1" thickTop="1" thickBot="1">
      <c r="C54" s="124" t="str">
        <f>+'Cental Budget'!C70</f>
        <v>Nedostajuća sredstva</v>
      </c>
      <c r="D54" s="259">
        <f>+D46-D49-D53</f>
        <v>-20405277.259999953</v>
      </c>
      <c r="E54" s="303">
        <f t="shared" si="1"/>
        <v>-0.4236008648356886</v>
      </c>
      <c r="F54" s="259">
        <f>+F46-F49-F53</f>
        <v>-17822173.559331864</v>
      </c>
      <c r="G54" s="303">
        <f t="shared" si="0"/>
        <v>-0.36997723857366183</v>
      </c>
      <c r="H54" s="259">
        <f t="shared" si="2"/>
        <v>-2583103.7006680891</v>
      </c>
      <c r="I54" s="260">
        <f t="shared" si="3"/>
        <v>14.493763580904812</v>
      </c>
      <c r="J54" s="259">
        <f>+J47-J49-J53</f>
        <v>-32627288.093999967</v>
      </c>
      <c r="K54" s="308">
        <f t="shared" si="4"/>
        <v>-0.69968643580599221</v>
      </c>
      <c r="L54" s="259">
        <f t="shared" si="5"/>
        <v>12222010.834000014</v>
      </c>
      <c r="M54" s="260">
        <f t="shared" si="6"/>
        <v>-37.459475022221035</v>
      </c>
      <c r="BY54" s="117"/>
      <c r="BZ54" s="117"/>
      <c r="CA54" s="116"/>
      <c r="CB54" s="116"/>
      <c r="CC54" s="116"/>
      <c r="CD54" s="115"/>
    </row>
    <row r="55" spans="2:82" ht="13.5" customHeight="1" thickTop="1" thickBot="1">
      <c r="C55" s="124" t="str">
        <f>+'Cental Budget'!C71</f>
        <v>Finansiranje</v>
      </c>
      <c r="D55" s="259">
        <f>+SUM(D56:D60)</f>
        <v>20405277.259999953</v>
      </c>
      <c r="E55" s="303">
        <f t="shared" si="1"/>
        <v>0.4236008648356886</v>
      </c>
      <c r="F55" s="259">
        <f>+SUM(F56:F60)</f>
        <v>17822173.559331864</v>
      </c>
      <c r="G55" s="303">
        <f t="shared" si="0"/>
        <v>0.36997723857366183</v>
      </c>
      <c r="H55" s="259">
        <f t="shared" si="2"/>
        <v>2583103.7006680891</v>
      </c>
      <c r="I55" s="260">
        <f t="shared" si="3"/>
        <v>14.493763580904812</v>
      </c>
      <c r="J55" s="259">
        <f>+SUM(J56:J60)+J45</f>
        <v>32627288.093999963</v>
      </c>
      <c r="K55" s="308">
        <f t="shared" si="4"/>
        <v>0.69968643580599221</v>
      </c>
      <c r="L55" s="259">
        <f t="shared" si="5"/>
        <v>-12222010.83400001</v>
      </c>
      <c r="M55" s="260">
        <f t="shared" si="6"/>
        <v>-37.459475022221021</v>
      </c>
      <c r="BY55" s="117"/>
      <c r="BZ55" s="117"/>
      <c r="CA55" s="116"/>
      <c r="CB55" s="116"/>
      <c r="CC55" s="116"/>
      <c r="CD55" s="115"/>
    </row>
    <row r="56" spans="2:82" ht="13.5" customHeight="1" thickTop="1">
      <c r="B56" s="80">
        <v>7511</v>
      </c>
      <c r="C56" s="97" t="str">
        <f>+'Cental Budget'!C72</f>
        <v>Pozajmice i krediti od domaćih izvora</v>
      </c>
      <c r="D56" s="271">
        <v>11839970.32</v>
      </c>
      <c r="E56" s="307">
        <f t="shared" si="1"/>
        <v>0.24579041996221793</v>
      </c>
      <c r="F56" s="271">
        <v>8000000</v>
      </c>
      <c r="G56" s="307">
        <f t="shared" si="0"/>
        <v>0.1660750243922692</v>
      </c>
      <c r="H56" s="272">
        <f t="shared" si="2"/>
        <v>3839970.3200000003</v>
      </c>
      <c r="I56" s="273">
        <f t="shared" si="3"/>
        <v>47.999628999999999</v>
      </c>
      <c r="J56" s="271">
        <v>8774382.1899999995</v>
      </c>
      <c r="K56" s="307">
        <f t="shared" si="4"/>
        <v>0.18816507774820773</v>
      </c>
      <c r="L56" s="272">
        <f t="shared" si="5"/>
        <v>3065588.1300000008</v>
      </c>
      <c r="M56" s="273">
        <f t="shared" si="6"/>
        <v>34.937937094805307</v>
      </c>
      <c r="BY56" s="117"/>
      <c r="BZ56" s="117"/>
      <c r="CA56" s="116"/>
      <c r="CB56" s="116"/>
      <c r="CC56" s="116"/>
      <c r="CD56" s="115"/>
    </row>
    <row r="57" spans="2:82" ht="13.5" customHeight="1">
      <c r="B57" s="80">
        <v>7512</v>
      </c>
      <c r="C57" s="97" t="str">
        <f>+'Cental Budget'!C73</f>
        <v>Pozajmice i krediti od inostranih izvora</v>
      </c>
      <c r="D57" s="268">
        <v>6173603.1899999995</v>
      </c>
      <c r="E57" s="301">
        <f t="shared" si="1"/>
        <v>0.12816016254593013</v>
      </c>
      <c r="F57" s="268">
        <v>6000000</v>
      </c>
      <c r="G57" s="301">
        <f t="shared" si="0"/>
        <v>0.12455626829420191</v>
      </c>
      <c r="H57" s="255">
        <f t="shared" si="2"/>
        <v>173603.18999999948</v>
      </c>
      <c r="I57" s="164">
        <f t="shared" si="3"/>
        <v>2.8933864999999912</v>
      </c>
      <c r="J57" s="268">
        <v>3364200.89</v>
      </c>
      <c r="K57" s="301">
        <f t="shared" si="4"/>
        <v>7.2144694443431773E-2</v>
      </c>
      <c r="L57" s="255">
        <f t="shared" si="5"/>
        <v>2809402.2999999993</v>
      </c>
      <c r="M57" s="164">
        <f t="shared" si="6"/>
        <v>83.508755626064868</v>
      </c>
      <c r="BY57" s="117"/>
      <c r="BZ57" s="117"/>
      <c r="CA57" s="116"/>
      <c r="CB57" s="116"/>
      <c r="CC57" s="116"/>
      <c r="CD57" s="115"/>
    </row>
    <row r="58" spans="2:82" ht="13.5" customHeight="1" thickBot="1">
      <c r="B58" s="80">
        <v>72</v>
      </c>
      <c r="C58" s="103" t="str">
        <f>+'Cental Budget'!C74</f>
        <v>Primici od prodaje imovine</v>
      </c>
      <c r="D58" s="268">
        <v>12970994.25</v>
      </c>
      <c r="E58" s="301">
        <f t="shared" si="1"/>
        <v>0.26926977330759172</v>
      </c>
      <c r="F58" s="268">
        <v>5000000</v>
      </c>
      <c r="G58" s="301">
        <f t="shared" si="0"/>
        <v>0.10379689024516826</v>
      </c>
      <c r="H58" s="255">
        <f t="shared" si="2"/>
        <v>7970994.25</v>
      </c>
      <c r="I58" s="164">
        <f t="shared" si="3"/>
        <v>159.41988500000002</v>
      </c>
      <c r="J58" s="268">
        <v>8168667.8499999996</v>
      </c>
      <c r="K58" s="301">
        <f t="shared" si="4"/>
        <v>0.17517564061049123</v>
      </c>
      <c r="L58" s="255">
        <f t="shared" si="5"/>
        <v>4802326.4000000004</v>
      </c>
      <c r="M58" s="164">
        <f t="shared" si="6"/>
        <v>58.789590765402465</v>
      </c>
      <c r="BY58" s="117"/>
      <c r="BZ58" s="117"/>
      <c r="CA58" s="116"/>
      <c r="CB58" s="116"/>
      <c r="CC58" s="116"/>
      <c r="CD58" s="115"/>
    </row>
    <row r="59" spans="2:82" ht="13.5" customHeight="1" thickTop="1" thickBot="1">
      <c r="C59" s="119" t="str">
        <f>+'Cental Budget'!C75</f>
        <v>Povećanje / smanjenje depozita</v>
      </c>
      <c r="D59" s="210">
        <f>-D54-SUM(D56:D58)-D60</f>
        <v>-20637359.150000043</v>
      </c>
      <c r="E59" s="290">
        <f t="shared" si="1"/>
        <v>-0.42841874052853468</v>
      </c>
      <c r="F59" s="210">
        <f>-F54-SUM(F56:F58)-F60</f>
        <v>-6177826.4406681359</v>
      </c>
      <c r="G59" s="290">
        <f t="shared" si="0"/>
        <v>-0.12824783460314579</v>
      </c>
      <c r="H59" s="211">
        <f t="shared" si="2"/>
        <v>-14459532.709331907</v>
      </c>
      <c r="I59" s="184">
        <f t="shared" si="3"/>
        <v>234.05534046968307</v>
      </c>
      <c r="J59" s="210">
        <f>-J54-SUM(J56:J58)-J60-J45</f>
        <v>1451764.1039999668</v>
      </c>
      <c r="K59" s="309">
        <f t="shared" si="4"/>
        <v>3.1132825033828498E-2</v>
      </c>
      <c r="L59" s="211">
        <f t="shared" si="5"/>
        <v>-22089123.254000008</v>
      </c>
      <c r="M59" s="184">
        <f t="shared" si="6"/>
        <v>-1521.536673426423</v>
      </c>
      <c r="BY59" s="117"/>
      <c r="BZ59" s="117"/>
      <c r="CA59" s="116"/>
      <c r="CB59" s="116"/>
      <c r="CC59" s="116"/>
      <c r="CD59" s="115"/>
    </row>
    <row r="60" spans="2:82" ht="13.5" customHeight="1" thickTop="1" thickBot="1">
      <c r="B60" s="80">
        <v>999</v>
      </c>
      <c r="C60" s="124" t="s">
        <v>455</v>
      </c>
      <c r="D60" s="261">
        <v>10058068.65</v>
      </c>
      <c r="E60" s="303">
        <f t="shared" si="1"/>
        <v>0.20879924954848353</v>
      </c>
      <c r="F60" s="261">
        <v>5000000</v>
      </c>
      <c r="G60" s="303">
        <f t="shared" si="0"/>
        <v>0.10379689024516826</v>
      </c>
      <c r="H60" s="259">
        <f>+D60-F60</f>
        <v>5058068.6500000004</v>
      </c>
      <c r="I60" s="260">
        <f t="shared" si="3"/>
        <v>101.161373</v>
      </c>
      <c r="J60" s="261">
        <v>8622666.9700000007</v>
      </c>
      <c r="K60" s="308">
        <f t="shared" si="4"/>
        <v>0.18491157162678287</v>
      </c>
      <c r="L60" s="259">
        <f t="shared" si="5"/>
        <v>1435401.6799999997</v>
      </c>
      <c r="M60" s="260">
        <f t="shared" si="6"/>
        <v>16.64684122666516</v>
      </c>
      <c r="N60" s="160"/>
      <c r="BY60" s="117"/>
      <c r="BZ60" s="117"/>
      <c r="CA60" s="116"/>
      <c r="CB60" s="116"/>
      <c r="CC60" s="116"/>
      <c r="CD60" s="115"/>
    </row>
    <row r="61" spans="2:82" ht="13.5" thickTop="1">
      <c r="C61" s="106" t="str">
        <f>IF(MasterSheet!$A$1=1,MasterSheet!C151,MasterSheet!B151)</f>
        <v>Izvor: Ministarstvo finansija Crne Gore</v>
      </c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O61" s="81"/>
    </row>
    <row r="62" spans="2:82">
      <c r="C62" s="105"/>
      <c r="D62" s="274"/>
      <c r="E62" s="274"/>
      <c r="F62" s="274"/>
      <c r="G62" s="274"/>
      <c r="H62" s="274"/>
      <c r="I62" s="274"/>
      <c r="J62" s="274"/>
      <c r="K62" s="275"/>
      <c r="L62" s="274"/>
      <c r="M62" s="274"/>
      <c r="O62" s="81"/>
    </row>
    <row r="63" spans="2:82">
      <c r="D63" s="276"/>
      <c r="E63" s="277"/>
      <c r="F63" s="277"/>
      <c r="G63" s="277"/>
      <c r="H63" s="277"/>
      <c r="I63" s="277"/>
      <c r="J63" s="277"/>
      <c r="K63" s="284"/>
      <c r="L63" s="277"/>
      <c r="M63" s="277"/>
    </row>
    <row r="64" spans="2:82">
      <c r="D64" s="276"/>
      <c r="E64" s="277"/>
      <c r="F64" s="277"/>
      <c r="G64" s="277"/>
      <c r="H64" s="277"/>
      <c r="I64" s="277"/>
      <c r="J64" s="277"/>
      <c r="K64" s="277"/>
      <c r="L64" s="277"/>
      <c r="M64" s="277"/>
    </row>
    <row r="65" spans="3:13">
      <c r="C65" s="110"/>
      <c r="D65" s="277"/>
      <c r="E65" s="277"/>
      <c r="F65" s="277"/>
      <c r="G65" s="277"/>
      <c r="H65" s="277"/>
      <c r="I65" s="277"/>
      <c r="J65" s="277"/>
      <c r="K65" s="277"/>
      <c r="L65" s="277"/>
      <c r="M65" s="277"/>
    </row>
    <row r="66" spans="3:13" ht="15">
      <c r="E66" s="277"/>
      <c r="F66" s="277"/>
      <c r="G66" s="277"/>
      <c r="H66" s="277"/>
      <c r="I66" s="277"/>
      <c r="J66" s="277"/>
      <c r="K66" s="278"/>
      <c r="L66" s="277"/>
      <c r="M66" s="277"/>
    </row>
    <row r="67" spans="3:13">
      <c r="E67" s="277"/>
      <c r="F67" s="277"/>
      <c r="G67" s="277"/>
      <c r="H67" s="277"/>
      <c r="I67" s="277"/>
      <c r="J67" s="277"/>
      <c r="K67" s="277"/>
      <c r="L67" s="277"/>
      <c r="M67" s="277"/>
    </row>
    <row r="68" spans="3:13">
      <c r="E68" s="277"/>
      <c r="F68" s="277"/>
      <c r="G68" s="277"/>
      <c r="H68" s="277"/>
      <c r="I68" s="277"/>
      <c r="J68" s="277"/>
      <c r="K68" s="277"/>
      <c r="L68" s="277"/>
      <c r="M68" s="277"/>
    </row>
    <row r="69" spans="3:13">
      <c r="E69" s="277"/>
      <c r="F69" s="277"/>
      <c r="G69" s="277"/>
      <c r="H69" s="277"/>
      <c r="I69" s="277"/>
      <c r="J69" s="277"/>
      <c r="K69" s="277"/>
      <c r="L69" s="277"/>
      <c r="M69" s="277"/>
    </row>
    <row r="70" spans="3:13">
      <c r="E70" s="277"/>
      <c r="F70" s="277"/>
      <c r="G70" s="277"/>
      <c r="H70" s="277"/>
      <c r="I70" s="277"/>
      <c r="J70" s="277"/>
      <c r="K70" s="277"/>
      <c r="L70" s="277"/>
      <c r="M70" s="277"/>
    </row>
    <row r="71" spans="3:13">
      <c r="E71" s="277"/>
      <c r="F71" s="277"/>
      <c r="G71" s="277"/>
      <c r="H71" s="277"/>
      <c r="I71" s="277"/>
      <c r="J71" s="277"/>
      <c r="K71" s="277"/>
      <c r="L71" s="277"/>
      <c r="M71" s="277"/>
    </row>
    <row r="72" spans="3:13">
      <c r="E72" s="277"/>
      <c r="F72" s="277"/>
      <c r="G72" s="277"/>
      <c r="H72" s="277"/>
      <c r="I72" s="277"/>
      <c r="J72" s="277"/>
      <c r="K72" s="277"/>
      <c r="L72" s="277"/>
      <c r="M72" s="277"/>
    </row>
    <row r="73" spans="3:13">
      <c r="E73" s="277"/>
      <c r="F73" s="277"/>
      <c r="G73" s="277"/>
      <c r="H73" s="277"/>
      <c r="I73" s="277"/>
      <c r="J73" s="277"/>
      <c r="K73" s="277"/>
      <c r="L73" s="277"/>
      <c r="M73" s="277"/>
    </row>
    <row r="74" spans="3:13">
      <c r="E74" s="277"/>
      <c r="F74" s="277"/>
      <c r="G74" s="277"/>
      <c r="H74" s="277"/>
      <c r="I74" s="277"/>
      <c r="J74" s="277"/>
      <c r="K74" s="277"/>
      <c r="L74" s="277"/>
      <c r="M74" s="277"/>
    </row>
    <row r="75" spans="3:13">
      <c r="E75" s="277"/>
      <c r="F75" s="277"/>
      <c r="G75" s="277"/>
      <c r="H75" s="277"/>
      <c r="I75" s="277"/>
      <c r="J75" s="277"/>
      <c r="K75" s="277"/>
      <c r="L75" s="277"/>
      <c r="M75" s="277"/>
    </row>
    <row r="76" spans="3:13">
      <c r="E76" s="277"/>
      <c r="F76" s="277"/>
      <c r="G76" s="277"/>
      <c r="H76" s="277"/>
      <c r="I76" s="277"/>
      <c r="J76" s="277"/>
      <c r="K76" s="277"/>
      <c r="L76" s="277"/>
      <c r="M76" s="277"/>
    </row>
    <row r="77" spans="3:13">
      <c r="E77" s="277"/>
      <c r="F77" s="277"/>
      <c r="G77" s="277"/>
      <c r="H77" s="277"/>
      <c r="I77" s="277"/>
      <c r="J77" s="277"/>
      <c r="K77" s="277"/>
      <c r="L77" s="277"/>
      <c r="M77" s="277"/>
    </row>
  </sheetData>
  <sheetProtection formatCells="0" formatColumns="0" formatRows="0" sort="0" autoFilter="0"/>
  <mergeCells count="12">
    <mergeCell ref="C14:C15"/>
    <mergeCell ref="D14:E14"/>
    <mergeCell ref="F14:G14"/>
    <mergeCell ref="H14:I14"/>
    <mergeCell ref="J14:K14"/>
    <mergeCell ref="L14:M14"/>
    <mergeCell ref="H11:I11"/>
    <mergeCell ref="J11:K11"/>
    <mergeCell ref="L11:M11"/>
    <mergeCell ref="D11:G11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BJ80"/>
  <sheetViews>
    <sheetView topLeftCell="B1" zoomScaleNormal="100" workbookViewId="0">
      <selection activeCell="P21" sqref="P21"/>
    </sheetView>
  </sheetViews>
  <sheetFormatPr defaultColWidth="9.140625" defaultRowHeight="12.75"/>
  <cols>
    <col min="1" max="2" width="9.140625" style="80" customWidth="1"/>
    <col min="3" max="3" width="38.140625" style="80" customWidth="1"/>
    <col min="4" max="13" width="7.7109375" style="166" customWidth="1"/>
    <col min="14" max="14" width="15.42578125" style="80" customWidth="1"/>
    <col min="15" max="54" width="9.140625" style="80" customWidth="1"/>
    <col min="55" max="55" width="9.140625" style="80"/>
    <col min="56" max="56" width="15.42578125" style="80" customWidth="1"/>
    <col min="57" max="57" width="12.7109375" style="80" customWidth="1"/>
    <col min="58" max="58" width="11.85546875" style="80" customWidth="1"/>
    <col min="59" max="16384" width="9.140625" style="80"/>
  </cols>
  <sheetData>
    <row r="1" spans="2:54" s="111" customFormat="1" ht="15" customHeight="1">
      <c r="C1" s="109"/>
      <c r="D1" s="189">
        <v>3</v>
      </c>
      <c r="E1" s="189">
        <v>4</v>
      </c>
      <c r="F1" s="189">
        <v>5</v>
      </c>
      <c r="G1" s="189">
        <v>6</v>
      </c>
      <c r="H1" s="189">
        <v>7</v>
      </c>
      <c r="I1" s="189">
        <v>8</v>
      </c>
      <c r="J1" s="189">
        <v>9</v>
      </c>
      <c r="K1" s="189">
        <v>10</v>
      </c>
      <c r="L1" s="189">
        <v>11</v>
      </c>
      <c r="M1" s="189">
        <v>12</v>
      </c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</row>
    <row r="2" spans="2:54" ht="15" hidden="1" customHeight="1">
      <c r="C2" s="81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</row>
    <row r="3" spans="2:54" ht="15" hidden="1" customHeight="1">
      <c r="C3" s="81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</row>
    <row r="4" spans="2:54" ht="15" hidden="1" customHeight="1">
      <c r="C4" s="81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</row>
    <row r="5" spans="2:54" ht="15" hidden="1" customHeight="1">
      <c r="C5" s="81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</row>
    <row r="6" spans="2:54" ht="15" hidden="1" customHeight="1">
      <c r="C6" s="81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</row>
    <row r="7" spans="2:54" ht="15" hidden="1" customHeight="1">
      <c r="C7" s="81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</row>
    <row r="8" spans="2:54" ht="15" hidden="1" customHeight="1">
      <c r="C8" s="81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</row>
    <row r="9" spans="2:54" ht="15" hidden="1" customHeight="1">
      <c r="C9" s="81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</row>
    <row r="10" spans="2:54" ht="15" customHeight="1" thickBot="1">
      <c r="C10" s="81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</row>
    <row r="11" spans="2:54" ht="18.75" customHeight="1" thickTop="1" thickBot="1">
      <c r="C11" s="136" t="str">
        <f>IF(MasterSheet!$A$1=1,MasterSheet!B67,MasterSheet!B66)</f>
        <v>BDP (u mil. €)</v>
      </c>
      <c r="D11" s="348">
        <f>+'Cental Budget'!D11:G11</f>
        <v>4817100000</v>
      </c>
      <c r="E11" s="349"/>
      <c r="F11" s="349"/>
      <c r="G11" s="350"/>
      <c r="H11" s="335"/>
      <c r="I11" s="336"/>
      <c r="J11" s="346">
        <f>+'Cental Budget'!J11:K11</f>
        <v>4663130000</v>
      </c>
      <c r="K11" s="347"/>
      <c r="L11" s="335"/>
      <c r="M11" s="339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</row>
    <row r="12" spans="2:54" ht="27" customHeight="1" thickTop="1" thickBot="1">
      <c r="B12" s="85"/>
      <c r="C12" s="137"/>
      <c r="D12" s="343"/>
      <c r="E12" s="343"/>
      <c r="F12" s="190"/>
      <c r="G12" s="190"/>
      <c r="H12" s="190"/>
      <c r="I12" s="190"/>
      <c r="J12" s="355"/>
      <c r="K12" s="355"/>
      <c r="L12" s="190"/>
      <c r="M12" s="190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</row>
    <row r="13" spans="2:54" ht="15.75" customHeight="1" thickTop="1">
      <c r="B13" s="87"/>
      <c r="C13" s="351" t="s">
        <v>234</v>
      </c>
      <c r="D13" s="353" t="s">
        <v>470</v>
      </c>
      <c r="E13" s="354"/>
      <c r="F13" s="353" t="s">
        <v>471</v>
      </c>
      <c r="G13" s="354"/>
      <c r="H13" s="353" t="str">
        <f>+'Cental Budget'!H14:I14</f>
        <v>Odstupanje</v>
      </c>
      <c r="I13" s="354"/>
      <c r="J13" s="353" t="s">
        <v>464</v>
      </c>
      <c r="K13" s="354"/>
      <c r="L13" s="353" t="str">
        <f>+H13</f>
        <v>Odstupanje</v>
      </c>
      <c r="M13" s="354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</row>
    <row r="14" spans="2:54" ht="15" customHeight="1" thickBot="1">
      <c r="C14" s="352" t="str">
        <f>IF(MasterSheet!$A$1=1,MasterSheet!B71,MasterSheet!B70)</f>
        <v>Budžet Crne Gore</v>
      </c>
      <c r="D14" s="279" t="str">
        <f>IF(MasterSheet!$A$1=1,MasterSheet!C71,MasterSheet!C70)</f>
        <v>mil. €</v>
      </c>
      <c r="E14" s="280" t="str">
        <f>IF(MasterSheet!$A$1=1,MasterSheet!D71,MasterSheet!D70)</f>
        <v>% BDP</v>
      </c>
      <c r="F14" s="281" t="str">
        <f>IF(MasterSheet!$A$1=1,MasterSheet!E71,MasterSheet!E70)</f>
        <v>mil. €</v>
      </c>
      <c r="G14" s="282" t="str">
        <f>IF(MasterSheet!$A$1=1,MasterSheet!F71,MasterSheet!F70)</f>
        <v>% BDP</v>
      </c>
      <c r="H14" s="283" t="str">
        <f>IF(MasterSheet!$A$1=1,MasterSheet!G71,MasterSheet!G70)</f>
        <v>mil. €</v>
      </c>
      <c r="I14" s="282" t="s">
        <v>439</v>
      </c>
      <c r="J14" s="279" t="str">
        <f>IF(MasterSheet!$A$1=1,MasterSheet!I71,MasterSheet!I70)</f>
        <v>mil. €</v>
      </c>
      <c r="K14" s="281" t="str">
        <f>IF(MasterSheet!$A$1=1,MasterSheet!J71,MasterSheet!J70)</f>
        <v>% BDP</v>
      </c>
      <c r="L14" s="279" t="str">
        <f>IF(MasterSheet!$A$1=1,MasterSheet!K71,MasterSheet!K70)</f>
        <v>mil. €</v>
      </c>
      <c r="M14" s="280" t="s">
        <v>439</v>
      </c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</row>
    <row r="15" spans="2:54" ht="15" customHeight="1" thickTop="1" thickBot="1">
      <c r="C15" s="138" t="str">
        <f>IF(MasterSheet!$A$1=1,MasterSheet!C72,MasterSheet!B72)</f>
        <v>Izvorni prihodi</v>
      </c>
      <c r="D15" s="191">
        <f>D16+D25+D30+D31+D32+D33+D34</f>
        <v>2150870317.2599998</v>
      </c>
      <c r="E15" s="310">
        <f t="shared" ref="E15:E74" si="0">D15/D$11*100</f>
        <v>44.650730050445283</v>
      </c>
      <c r="F15" s="191">
        <f>F16+F25+F30+F31+F32+F33+F34</f>
        <v>2065874424.5578287</v>
      </c>
      <c r="G15" s="310">
        <f>F15/D$11*100</f>
        <v>42.886268181225809</v>
      </c>
      <c r="H15" s="191">
        <f>+D15-F15</f>
        <v>84995892.702171087</v>
      </c>
      <c r="I15" s="192">
        <f>+D15/F15*100-100</f>
        <v>4.1142816664843167</v>
      </c>
      <c r="J15" s="191">
        <f>J16+J25+J30+J31+J32+J33+J34</f>
        <v>1969452099.5300002</v>
      </c>
      <c r="K15" s="310">
        <f t="shared" ref="K15:K74" si="1">J15/J$11*100</f>
        <v>42.234552747403569</v>
      </c>
      <c r="L15" s="191">
        <f>+D15-J15</f>
        <v>181418217.72999954</v>
      </c>
      <c r="M15" s="192">
        <f>+D15/J15*100-100</f>
        <v>9.2116085368765255</v>
      </c>
      <c r="N15" s="168"/>
      <c r="O15" s="168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</row>
    <row r="16" spans="2:54" ht="15" customHeight="1" thickTop="1">
      <c r="B16" s="80">
        <v>711</v>
      </c>
      <c r="C16" s="93" t="str">
        <f>IF(MasterSheet!$A$1=1,MasterSheet!C73,MasterSheet!B73)</f>
        <v>Porezi</v>
      </c>
      <c r="D16" s="193">
        <f>SUM(D17:D24)</f>
        <v>1345089603.8199997</v>
      </c>
      <c r="E16" s="311">
        <f t="shared" si="0"/>
        <v>27.92322359552427</v>
      </c>
      <c r="F16" s="193">
        <f>SUM(F17:F24)</f>
        <v>1270407707.1388402</v>
      </c>
      <c r="G16" s="311">
        <f t="shared" ref="G16:G74" si="2">F16/D$11*100</f>
        <v>26.372873868901209</v>
      </c>
      <c r="H16" s="194">
        <f t="shared" ref="H16:H74" si="3">+D16-F16</f>
        <v>74681896.681159496</v>
      </c>
      <c r="I16" s="195">
        <f t="shared" ref="I16:I74" si="4">+D16/F16*100-100</f>
        <v>5.8785771104423503</v>
      </c>
      <c r="J16" s="193">
        <f>SUM(J17:J24)</f>
        <v>1219822507.6300001</v>
      </c>
      <c r="K16" s="311">
        <f t="shared" si="1"/>
        <v>26.158878427794207</v>
      </c>
      <c r="L16" s="194">
        <f t="shared" ref="L16:L74" si="5">+D16-J16</f>
        <v>125267096.18999958</v>
      </c>
      <c r="M16" s="196">
        <f t="shared" ref="M16:M73" si="6">+D16/J16*100-100</f>
        <v>10.269288802793255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</row>
    <row r="17" spans="2:61" ht="15" customHeight="1">
      <c r="B17" s="80">
        <v>7111</v>
      </c>
      <c r="C17" s="97" t="str">
        <f>IF(MasterSheet!$A$1=1,MasterSheet!C74,MasterSheet!B74)</f>
        <v>Porez na dohodak fizičkih lica</v>
      </c>
      <c r="D17" s="197">
        <f>'Cental Budget'!D18+'Local Government'!D18</f>
        <v>180113820.64000002</v>
      </c>
      <c r="E17" s="312">
        <f t="shared" si="0"/>
        <v>3.7390508945216006</v>
      </c>
      <c r="F17" s="197">
        <f>+IF(ISNUMBER(VLOOKUP($B17,'Cental Budget'!$B$16:$K$77,'Public Expenditure'!F$1,FALSE)),VLOOKUP($B17,'Cental Budget'!$B$16:$K$77,'Public Expenditure'!F$1,FALSE),0)+IF(ISNUMBER(VLOOKUP('Public Expenditure'!$B17,'Local Government'!$B$16:$M$60,'Public Expenditure'!F$1,FALSE)),VLOOKUP('Public Expenditure'!$B17,'Local Government'!$B$16:$M$60,'Public Expenditure'!F$1,FALSE),0)</f>
        <v>162002307.15767953</v>
      </c>
      <c r="G17" s="312">
        <f t="shared" si="2"/>
        <v>3.3630671391019398</v>
      </c>
      <c r="H17" s="198">
        <f t="shared" si="3"/>
        <v>18111513.482320487</v>
      </c>
      <c r="I17" s="199">
        <f t="shared" si="4"/>
        <v>11.179787374689838</v>
      </c>
      <c r="J17" s="197">
        <f>+IF(ISNUMBER(VLOOKUP($B17,'Cental Budget'!$B$16:$K$77,'Public Expenditure'!J$1,FALSE)),VLOOKUP($B17,'Cental Budget'!$B$16:$K$77,'Public Expenditure'!J$1,FALSE),0)+IF(ISNUMBER(VLOOKUP('Public Expenditure'!$B17,'Local Government'!$B$16:$M$60,'Public Expenditure'!J$1,FALSE)),VLOOKUP('Public Expenditure'!$B17,'Local Government'!$B$16:$M$60,'Public Expenditure'!J$1,FALSE),0)</f>
        <v>163221587.70000002</v>
      </c>
      <c r="K17" s="312">
        <f t="shared" si="1"/>
        <v>3.5002581463523432</v>
      </c>
      <c r="L17" s="198">
        <f t="shared" si="5"/>
        <v>16892232.939999998</v>
      </c>
      <c r="M17" s="199">
        <f t="shared" si="6"/>
        <v>10.349263953397994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</row>
    <row r="18" spans="2:61" ht="15" customHeight="1">
      <c r="B18" s="80">
        <v>7112</v>
      </c>
      <c r="C18" s="97" t="str">
        <f>IF(MasterSheet!$A$1=1,MasterSheet!C75,MasterSheet!B75)</f>
        <v>Porez na dobit pravnih lica</v>
      </c>
      <c r="D18" s="197">
        <f>'Cental Budget'!D19</f>
        <v>72815973.079999998</v>
      </c>
      <c r="E18" s="312">
        <f t="shared" si="0"/>
        <v>1.5116143131759772</v>
      </c>
      <c r="F18" s="197">
        <f>+IF(ISNUMBER(VLOOKUP($B18,'Cental Budget'!$B$16:$K$77,'Public Expenditure'!F$1,FALSE)),VLOOKUP($B18,'Cental Budget'!$B$16:$K$77,'Public Expenditure'!F$1,FALSE),0)+IF(ISNUMBER(VLOOKUP('Public Expenditure'!$B18,'Local Government'!$B$16:$M$60,'Public Expenditure'!F$1,FALSE)),VLOOKUP('Public Expenditure'!$B18,'Local Government'!$B$16:$M$60,'Public Expenditure'!F$1,FALSE),0)</f>
        <v>71194860.131909981</v>
      </c>
      <c r="G18" s="312">
        <f t="shared" si="2"/>
        <v>1.477961016626393</v>
      </c>
      <c r="H18" s="198">
        <f t="shared" si="3"/>
        <v>1621112.9480900168</v>
      </c>
      <c r="I18" s="199">
        <f t="shared" si="4"/>
        <v>2.2770084035370246</v>
      </c>
      <c r="J18" s="197">
        <f>+IF(ISNUMBER(VLOOKUP($B18,'Cental Budget'!$B$16:$K$77,'Public Expenditure'!J$1,FALSE)),VLOOKUP($B18,'Cental Budget'!$B$16:$K$77,'Public Expenditure'!J$1,FALSE),0)+IF(ISNUMBER(VLOOKUP('Public Expenditure'!$B18,'Local Government'!$B$16:$M$60,'Public Expenditure'!J$1,FALSE)),VLOOKUP('Public Expenditure'!$B18,'Local Government'!$B$16:$M$60,'Public Expenditure'!J$1,FALSE),0)</f>
        <v>68172478.429999992</v>
      </c>
      <c r="K18" s="312">
        <f t="shared" si="1"/>
        <v>1.4619467703023505</v>
      </c>
      <c r="L18" s="198">
        <f t="shared" si="5"/>
        <v>4643494.650000006</v>
      </c>
      <c r="M18" s="199">
        <f t="shared" si="6"/>
        <v>6.8113918650734888</v>
      </c>
      <c r="N18" s="107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D18" s="81"/>
    </row>
    <row r="19" spans="2:61" ht="15" customHeight="1">
      <c r="B19" s="80">
        <v>7113</v>
      </c>
      <c r="C19" s="97" t="str">
        <f>IF(MasterSheet!$A$1=1,MasterSheet!C76,MasterSheet!B76)</f>
        <v>Porez na promet nepokretnosti</v>
      </c>
      <c r="D19" s="197">
        <f>'Cental Budget'!D20+'Local Government'!D19</f>
        <v>24534113.900000002</v>
      </c>
      <c r="E19" s="312">
        <f t="shared" si="0"/>
        <v>0.50931294554815143</v>
      </c>
      <c r="F19" s="197">
        <f>+IF(ISNUMBER(VLOOKUP($B19,'Cental Budget'!$B$16:$K$77,'Public Expenditure'!F$1,FALSE)),VLOOKUP($B19,'Cental Budget'!$B$16:$K$77,'Public Expenditure'!F$1,FALSE),0)+IF(ISNUMBER(VLOOKUP('Public Expenditure'!$B19,'Local Government'!$B$16:$M$60,'Public Expenditure'!F$1,FALSE)),VLOOKUP('Public Expenditure'!$B19,'Local Government'!$B$16:$M$60,'Public Expenditure'!F$1,FALSE),0)</f>
        <v>18895288.001653597</v>
      </c>
      <c r="G19" s="312">
        <f t="shared" si="2"/>
        <v>0.3922544269716966</v>
      </c>
      <c r="H19" s="198">
        <f t="shared" si="3"/>
        <v>5638825.8983464055</v>
      </c>
      <c r="I19" s="199">
        <f t="shared" si="4"/>
        <v>29.842497758451373</v>
      </c>
      <c r="J19" s="197">
        <f>+IF(ISNUMBER(VLOOKUP($B19,'Cental Budget'!$B$16:$K$77,'Public Expenditure'!J$1,FALSE)),VLOOKUP($B19,'Cental Budget'!$B$16:$K$77,'Public Expenditure'!J$1,FALSE),0)+IF(ISNUMBER(VLOOKUP('Public Expenditure'!$B19,'Local Government'!$B$16:$M$60,'Public Expenditure'!J$1,FALSE)),VLOOKUP('Public Expenditure'!$B19,'Local Government'!$B$16:$M$60,'Public Expenditure'!J$1,FALSE),0)</f>
        <v>18352464.129999999</v>
      </c>
      <c r="K19" s="312">
        <f t="shared" si="1"/>
        <v>0.39356535481532789</v>
      </c>
      <c r="L19" s="198">
        <f t="shared" si="5"/>
        <v>6181649.7700000033</v>
      </c>
      <c r="M19" s="199">
        <f t="shared" si="6"/>
        <v>33.682941572380599</v>
      </c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</row>
    <row r="20" spans="2:61" ht="15" customHeight="1">
      <c r="B20" s="80">
        <v>7114</v>
      </c>
      <c r="C20" s="97" t="str">
        <f>IF(MasterSheet!$A$1=1,MasterSheet!C77,MasterSheet!B77)</f>
        <v>Porez na dodatu vrijednost</v>
      </c>
      <c r="D20" s="197">
        <f>'Cental Budget'!D21</f>
        <v>695728953.52999997</v>
      </c>
      <c r="E20" s="312">
        <f t="shared" si="0"/>
        <v>14.442900365987835</v>
      </c>
      <c r="F20" s="197">
        <f>+IF(ISNUMBER(VLOOKUP($B20,'Cental Budget'!$B$16:$K$77,'Public Expenditure'!F$1,FALSE)),VLOOKUP($B20,'Cental Budget'!$B$16:$K$77,'Public Expenditure'!F$1,FALSE),0)+IF(ISNUMBER(VLOOKUP('Public Expenditure'!$B20,'Local Government'!$B$16:$M$60,'Public Expenditure'!F$1,FALSE)),VLOOKUP('Public Expenditure'!$B20,'Local Government'!$B$16:$M$60,'Public Expenditure'!F$1,FALSE),0)</f>
        <v>657905657.67184997</v>
      </c>
      <c r="G20" s="312">
        <f t="shared" si="2"/>
        <v>13.65771226820805</v>
      </c>
      <c r="H20" s="198">
        <f t="shared" si="3"/>
        <v>37823295.858150005</v>
      </c>
      <c r="I20" s="199">
        <f t="shared" si="4"/>
        <v>5.7490455382305754</v>
      </c>
      <c r="J20" s="197">
        <f>+IF(ISNUMBER(VLOOKUP($B20,'Cental Budget'!$B$16:$K$77,'Public Expenditure'!J$1,FALSE)),VLOOKUP($B20,'Cental Budget'!$B$16:$K$77,'Public Expenditure'!J$1,FALSE),0)+IF(ISNUMBER(VLOOKUP('Public Expenditure'!$B20,'Local Government'!$B$16:$M$60,'Public Expenditure'!J$1,FALSE)),VLOOKUP('Public Expenditure'!$B20,'Local Government'!$B$16:$M$60,'Public Expenditure'!J$1,FALSE),0)</f>
        <v>616913678.91000009</v>
      </c>
      <c r="K20" s="312">
        <f t="shared" si="1"/>
        <v>13.229604984420337</v>
      </c>
      <c r="L20" s="198">
        <f t="shared" si="5"/>
        <v>78815274.619999886</v>
      </c>
      <c r="M20" s="199">
        <f t="shared" si="6"/>
        <v>12.775737889173627</v>
      </c>
    </row>
    <row r="21" spans="2:61" ht="15" customHeight="1">
      <c r="B21" s="80">
        <v>7115</v>
      </c>
      <c r="C21" s="97" t="str">
        <f>IF(MasterSheet!$A$1=1,MasterSheet!C78,MasterSheet!B78)</f>
        <v>Akcize</v>
      </c>
      <c r="D21" s="197">
        <f>'Cental Budget'!D22</f>
        <v>235518297.74000001</v>
      </c>
      <c r="E21" s="312">
        <f t="shared" si="0"/>
        <v>4.8892133802495277</v>
      </c>
      <c r="F21" s="197">
        <f>+IF(ISNUMBER(VLOOKUP($B21,'Cental Budget'!$B$16:$K$77,'Public Expenditure'!F$1,FALSE)),VLOOKUP($B21,'Cental Budget'!$B$16:$K$77,'Public Expenditure'!F$1,FALSE),0)+IF(ISNUMBER(VLOOKUP('Public Expenditure'!$B21,'Local Government'!$B$16:$M$60,'Public Expenditure'!F$1,FALSE)),VLOOKUP('Public Expenditure'!$B21,'Local Government'!$B$16:$M$60,'Public Expenditure'!F$1,FALSE),0)</f>
        <v>234801605.29820004</v>
      </c>
      <c r="G21" s="312">
        <f t="shared" si="2"/>
        <v>4.8743352909053179</v>
      </c>
      <c r="H21" s="198">
        <f t="shared" si="3"/>
        <v>716692.44179996848</v>
      </c>
      <c r="I21" s="199">
        <f t="shared" si="4"/>
        <v>0.3052331950157452</v>
      </c>
      <c r="J21" s="197">
        <f>+IF(ISNUMBER(VLOOKUP($B21,'Cental Budget'!$B$16:$K$77,'Public Expenditure'!J$1,FALSE)),VLOOKUP($B21,'Cental Budget'!$B$16:$K$77,'Public Expenditure'!J$1,FALSE),0)+IF(ISNUMBER(VLOOKUP('Public Expenditure'!$B21,'Local Government'!$B$16:$M$60,'Public Expenditure'!J$1,FALSE)),VLOOKUP('Public Expenditure'!$B21,'Local Government'!$B$16:$M$60,'Public Expenditure'!J$1,FALSE),0)</f>
        <v>221178044.41</v>
      </c>
      <c r="K21" s="312">
        <f t="shared" si="1"/>
        <v>4.7431241335755168</v>
      </c>
      <c r="L21" s="198">
        <f t="shared" si="5"/>
        <v>14340253.330000013</v>
      </c>
      <c r="M21" s="199">
        <f t="shared" si="6"/>
        <v>6.4835790407014002</v>
      </c>
    </row>
    <row r="22" spans="2:61" ht="15" customHeight="1">
      <c r="B22" s="80">
        <v>7116</v>
      </c>
      <c r="C22" s="97" t="str">
        <f>IF(MasterSheet!$A$1=1,MasterSheet!C79,MasterSheet!B79)</f>
        <v>Porez na međunarodnu trgovinu i transakcije</v>
      </c>
      <c r="D22" s="197">
        <f>'Cental Budget'!D23</f>
        <v>28526540.740000002</v>
      </c>
      <c r="E22" s="312">
        <f t="shared" si="0"/>
        <v>0.59219324365282022</v>
      </c>
      <c r="F22" s="197">
        <f>+IF(ISNUMBER(VLOOKUP($B22,'Cental Budget'!$B$16:$K$77,'Public Expenditure'!F$1,FALSE)),VLOOKUP($B22,'Cental Budget'!$B$16:$K$77,'Public Expenditure'!F$1,FALSE),0)+IF(ISNUMBER(VLOOKUP('Public Expenditure'!$B22,'Local Government'!$B$16:$M$60,'Public Expenditure'!F$1,FALSE)),VLOOKUP('Public Expenditure'!$B22,'Local Government'!$B$16:$M$60,'Public Expenditure'!F$1,FALSE),0)</f>
        <v>27167589.829800002</v>
      </c>
      <c r="G22" s="312">
        <f t="shared" si="2"/>
        <v>0.56398226795789996</v>
      </c>
      <c r="H22" s="198">
        <f t="shared" si="3"/>
        <v>1358950.9101999998</v>
      </c>
      <c r="I22" s="199">
        <f t="shared" si="4"/>
        <v>5.0021033102810293</v>
      </c>
      <c r="J22" s="197">
        <f>+IF(ISNUMBER(VLOOKUP($B22,'Cental Budget'!$B$16:$K$77,'Public Expenditure'!J$1,FALSE)),VLOOKUP($B22,'Cental Budget'!$B$16:$K$77,'Public Expenditure'!J$1,FALSE),0)+IF(ISNUMBER(VLOOKUP('Public Expenditure'!$B22,'Local Government'!$B$16:$M$60,'Public Expenditure'!J$1,FALSE)),VLOOKUP('Public Expenditure'!$B22,'Local Government'!$B$16:$M$60,'Public Expenditure'!J$1,FALSE),0)</f>
        <v>26634891.989999998</v>
      </c>
      <c r="K22" s="312">
        <f t="shared" si="1"/>
        <v>0.57118055876632212</v>
      </c>
      <c r="L22" s="198">
        <f t="shared" si="5"/>
        <v>1891648.7500000037</v>
      </c>
      <c r="M22" s="199">
        <f t="shared" si="6"/>
        <v>7.1021453764866749</v>
      </c>
      <c r="BE22" s="114"/>
      <c r="BF22" s="114"/>
      <c r="BG22" s="81"/>
    </row>
    <row r="23" spans="2:61" ht="15" customHeight="1">
      <c r="B23" s="80">
        <v>7117</v>
      </c>
      <c r="C23" s="97" t="s">
        <v>11</v>
      </c>
      <c r="D23" s="197">
        <f>'Local Government'!D20</f>
        <v>94731197.089999989</v>
      </c>
      <c r="E23" s="312">
        <f t="shared" si="0"/>
        <v>1.9665607334288262</v>
      </c>
      <c r="F23" s="197">
        <f>+IF(ISNUMBER(VLOOKUP($B23,'Cental Budget'!$B$16:$K$77,'Public Expenditure'!F$1,FALSE)),VLOOKUP($B23,'Cental Budget'!$B$16:$K$77,'Public Expenditure'!F$1,FALSE),0)+IF(ISNUMBER(VLOOKUP('Public Expenditure'!$B23,'Local Government'!$B$16:$M$60,'Public Expenditure'!F$1,FALSE)),VLOOKUP('Public Expenditure'!$B23,'Local Government'!$B$16:$M$60,'Public Expenditure'!F$1,FALSE),0)</f>
        <v>88940495.448146999</v>
      </c>
      <c r="G23" s="312">
        <f t="shared" si="2"/>
        <v>1.8463493688764401</v>
      </c>
      <c r="H23" s="198">
        <f t="shared" si="3"/>
        <v>5790701.6418529898</v>
      </c>
      <c r="I23" s="199">
        <f t="shared" si="4"/>
        <v>6.5107593708301437</v>
      </c>
      <c r="J23" s="197">
        <f>+IF(ISNUMBER(VLOOKUP($B23,'Cental Budget'!$B$16:$K$77,'Public Expenditure'!J$1,FALSE)),VLOOKUP($B23,'Cental Budget'!$B$16:$K$77,'Public Expenditure'!J$1,FALSE),0)+IF(ISNUMBER(VLOOKUP('Public Expenditure'!$B23,'Local Government'!$B$16:$M$60,'Public Expenditure'!J$1,FALSE)),VLOOKUP('Public Expenditure'!$B23,'Local Government'!$B$16:$M$60,'Public Expenditure'!J$1,FALSE),0)</f>
        <v>96035731.080000013</v>
      </c>
      <c r="K23" s="312">
        <f t="shared" si="1"/>
        <v>2.0594693066674106</v>
      </c>
      <c r="L23" s="198">
        <f t="shared" si="5"/>
        <v>-1304533.9900000244</v>
      </c>
      <c r="M23" s="199">
        <f t="shared" si="6"/>
        <v>-1.358383984095795</v>
      </c>
      <c r="BE23" s="114"/>
      <c r="BF23" s="114"/>
      <c r="BG23" s="81"/>
    </row>
    <row r="24" spans="2:61" ht="15" customHeight="1">
      <c r="B24" s="80">
        <v>7118</v>
      </c>
      <c r="C24" s="97" t="s">
        <v>457</v>
      </c>
      <c r="D24" s="197">
        <f>'Cental Budget'!D24</f>
        <v>13120707.100000001</v>
      </c>
      <c r="E24" s="312">
        <f t="shared" si="0"/>
        <v>0.27237771895953999</v>
      </c>
      <c r="F24" s="197">
        <f>+IF(ISNUMBER(VLOOKUP($B24,'Cental Budget'!$B$16:$K$77,'Public Expenditure'!F$1,FALSE)),VLOOKUP($B24,'Cental Budget'!$B$16:$K$77,'Public Expenditure'!F$1,FALSE),0)+IF(ISNUMBER(VLOOKUP('Public Expenditure'!$B24,'Local Government'!$B$16:$M$60,'Public Expenditure'!F$1,FALSE)),VLOOKUP('Public Expenditure'!$B24,'Local Government'!$B$16:$M$60,'Public Expenditure'!F$1,FALSE),0)</f>
        <v>9499903.5996000003</v>
      </c>
      <c r="G24" s="312">
        <f t="shared" si="2"/>
        <v>0.197212090253472</v>
      </c>
      <c r="H24" s="198">
        <f t="shared" si="3"/>
        <v>3620803.5004000012</v>
      </c>
      <c r="I24" s="199">
        <f t="shared" si="4"/>
        <v>38.114107816340976</v>
      </c>
      <c r="J24" s="197">
        <f>+IF(ISNUMBER(VLOOKUP($B24,'Cental Budget'!$B$16:$K$77,'Public Expenditure'!J$1,FALSE)),VLOOKUP($B24,'Cental Budget'!$B$16:$K$77,'Public Expenditure'!J$1,FALSE),0)+IF(ISNUMBER(VLOOKUP('Public Expenditure'!$B24,'Local Government'!$B$16:$M$60,'Public Expenditure'!J$1,FALSE)),VLOOKUP('Public Expenditure'!$B24,'Local Government'!$B$16:$M$60,'Public Expenditure'!J$1,FALSE),0)</f>
        <v>9313630.9799999986</v>
      </c>
      <c r="K24" s="312">
        <f t="shared" si="1"/>
        <v>0.19972917289460082</v>
      </c>
      <c r="L24" s="198">
        <f t="shared" si="5"/>
        <v>3807076.1200000029</v>
      </c>
      <c r="M24" s="199">
        <f t="shared" si="6"/>
        <v>40.876389972667823</v>
      </c>
      <c r="BE24" s="114"/>
      <c r="BF24" s="114"/>
      <c r="BG24" s="81"/>
    </row>
    <row r="25" spans="2:61" ht="15" customHeight="1">
      <c r="B25" s="80">
        <v>712</v>
      </c>
      <c r="C25" s="93" t="str">
        <f>IF(MasterSheet!$A$1=1,MasterSheet!C81,MasterSheet!B81)</f>
        <v>Doprinosi</v>
      </c>
      <c r="D25" s="193">
        <f>'Cental Budget'!D25</f>
        <v>546265768.94000006</v>
      </c>
      <c r="E25" s="313">
        <f t="shared" si="0"/>
        <v>11.340137612671526</v>
      </c>
      <c r="F25" s="193">
        <f>SUM(F26:F29)</f>
        <v>534213514.07533056</v>
      </c>
      <c r="G25" s="313">
        <f t="shared" si="2"/>
        <v>11.089940297592547</v>
      </c>
      <c r="H25" s="194">
        <f t="shared" si="3"/>
        <v>12052254.864669502</v>
      </c>
      <c r="I25" s="196">
        <f t="shared" si="4"/>
        <v>2.2560744996372222</v>
      </c>
      <c r="J25" s="193">
        <f>SUM(J26:J29)</f>
        <v>524440114.39999998</v>
      </c>
      <c r="K25" s="313">
        <f t="shared" si="1"/>
        <v>11.246525711271184</v>
      </c>
      <c r="L25" s="194">
        <f t="shared" si="5"/>
        <v>21825654.540000081</v>
      </c>
      <c r="M25" s="196">
        <f t="shared" si="6"/>
        <v>4.1617057774023181</v>
      </c>
      <c r="BE25" s="114"/>
      <c r="BF25" s="114"/>
      <c r="BG25" s="81"/>
    </row>
    <row r="26" spans="2:61" ht="15" hidden="1" customHeight="1">
      <c r="B26" s="80">
        <v>7121</v>
      </c>
      <c r="C26" s="97" t="str">
        <f>IF(MasterSheet!$A$1=1,MasterSheet!C82,MasterSheet!B82)</f>
        <v>Doprinosi za penzijsko i invalidsko osiguranje</v>
      </c>
      <c r="D26" s="197">
        <f>+IF(ISNUMBER(VLOOKUP($B26,'Cental Budget'!$B$16:$K$77,'Public Expenditure'!D$1,FALSE)),VLOOKUP($B26,'Cental Budget'!$B$16:$K$77,'Public Expenditure'!D$1,FALSE),0)+IF(ISNUMBER(VLOOKUP('Public Expenditure'!$B26,'Local Government'!$B$16:$M$60,'Public Expenditure'!D$1,FALSE)),VLOOKUP('Public Expenditure'!$B26,'Local Government'!$B$16:$M$60,'Public Expenditure'!D$1,FALSE),0)</f>
        <v>329181424.36000001</v>
      </c>
      <c r="E26" s="312">
        <f t="shared" si="0"/>
        <v>6.8336016350086153</v>
      </c>
      <c r="F26" s="197">
        <f>+IF(ISNUMBER(VLOOKUP($B26,'Cental Budget'!$B$16:$K$77,'Public Expenditure'!F$1,FALSE)),VLOOKUP($B26,'Cental Budget'!$B$16:$K$77,'Public Expenditure'!F$1,FALSE),0)+IF(ISNUMBER(VLOOKUP('Public Expenditure'!$B26,'Local Government'!$B$16:$M$60,'Public Expenditure'!F$1,FALSE)),VLOOKUP('Public Expenditure'!$B26,'Local Government'!$B$16:$M$60,'Public Expenditure'!F$1,FALSE),0)</f>
        <v>327876749.17454183</v>
      </c>
      <c r="G26" s="312">
        <f t="shared" si="2"/>
        <v>6.8065173896024955</v>
      </c>
      <c r="H26" s="198">
        <f t="shared" si="3"/>
        <v>1304675.1854581833</v>
      </c>
      <c r="I26" s="199">
        <f t="shared" si="4"/>
        <v>0.39791634775652085</v>
      </c>
      <c r="J26" s="197">
        <f>+IF(ISNUMBER(VLOOKUP($B26,'Cental Budget'!$B$16:$K$77,'Public Expenditure'!J$1,FALSE)),VLOOKUP($B26,'Cental Budget'!$B$16:$K$77,'Public Expenditure'!J$1,FALSE),0)+IF(ISNUMBER(VLOOKUP('Public Expenditure'!$B26,'Local Government'!$B$16:$M$60,'Public Expenditure'!J$1,FALSE)),VLOOKUP('Public Expenditure'!$B26,'Local Government'!$B$16:$M$60,'Public Expenditure'!J$1,FALSE),0)</f>
        <v>316982958.28000003</v>
      </c>
      <c r="K26" s="312">
        <f t="shared" si="1"/>
        <v>6.7976436059041898</v>
      </c>
      <c r="L26" s="198">
        <f t="shared" si="5"/>
        <v>12198466.079999983</v>
      </c>
      <c r="M26" s="199">
        <f t="shared" si="6"/>
        <v>3.8483034375698963</v>
      </c>
      <c r="BE26" s="114"/>
      <c r="BF26" s="114"/>
      <c r="BG26" s="81"/>
    </row>
    <row r="27" spans="2:61" ht="15" hidden="1" customHeight="1">
      <c r="B27" s="80">
        <v>7122</v>
      </c>
      <c r="C27" s="97" t="str">
        <f>IF(MasterSheet!$A$1=1,MasterSheet!C83,MasterSheet!B83)</f>
        <v>Doprinosi za zdravstveno osiguranje</v>
      </c>
      <c r="D27" s="197">
        <f>+IF(ISNUMBER(VLOOKUP($B27,'Cental Budget'!$B$16:$K$77,'Public Expenditure'!D$1,FALSE)),VLOOKUP($B27,'Cental Budget'!$B$16:$K$77,'Public Expenditure'!D$1,FALSE),0)+IF(ISNUMBER(VLOOKUP('Public Expenditure'!$B27,'Local Government'!$B$16:$M$60,'Public Expenditure'!D$1,FALSE)),VLOOKUP('Public Expenditure'!$B27,'Local Government'!$B$16:$M$60,'Public Expenditure'!D$1,FALSE),0)</f>
        <v>187748508.43000001</v>
      </c>
      <c r="E27" s="312">
        <f t="shared" si="0"/>
        <v>3.8975422646405513</v>
      </c>
      <c r="F27" s="197">
        <f>+IF(ISNUMBER(VLOOKUP($B27,'Cental Budget'!$B$16:$K$77,'Public Expenditure'!F$1,FALSE)),VLOOKUP($B27,'Cental Budget'!$B$16:$K$77,'Public Expenditure'!F$1,FALSE),0)+IF(ISNUMBER(VLOOKUP('Public Expenditure'!$B27,'Local Government'!$B$16:$M$60,'Public Expenditure'!F$1,FALSE)),VLOOKUP('Public Expenditure'!$B27,'Local Government'!$B$16:$M$60,'Public Expenditure'!F$1,FALSE),0)</f>
        <v>178851341.72447601</v>
      </c>
      <c r="G27" s="312">
        <f t="shared" si="2"/>
        <v>3.712842617435304</v>
      </c>
      <c r="H27" s="198">
        <f t="shared" si="3"/>
        <v>8897166.7055239975</v>
      </c>
      <c r="I27" s="199">
        <f t="shared" si="4"/>
        <v>4.9746155772374578</v>
      </c>
      <c r="J27" s="197">
        <f>+IF(ISNUMBER(VLOOKUP($B27,'Cental Budget'!$B$16:$K$77,'Public Expenditure'!J$1,FALSE)),VLOOKUP($B27,'Cental Budget'!$B$16:$K$77,'Public Expenditure'!J$1,FALSE),0)+IF(ISNUMBER(VLOOKUP('Public Expenditure'!$B27,'Local Government'!$B$16:$M$60,'Public Expenditure'!J$1,FALSE)),VLOOKUP('Public Expenditure'!$B27,'Local Government'!$B$16:$M$60,'Public Expenditure'!J$1,FALSE),0)</f>
        <v>182045765.34999999</v>
      </c>
      <c r="K27" s="312">
        <f t="shared" si="1"/>
        <v>3.9039393143661019</v>
      </c>
      <c r="L27" s="198">
        <f t="shared" si="5"/>
        <v>5702743.0800000131</v>
      </c>
      <c r="M27" s="199">
        <f t="shared" si="6"/>
        <v>3.1325876045707304</v>
      </c>
      <c r="BE27" s="114"/>
      <c r="BF27" s="114"/>
      <c r="BG27" s="81"/>
    </row>
    <row r="28" spans="2:61" ht="15" hidden="1" customHeight="1">
      <c r="B28" s="80">
        <v>7123</v>
      </c>
      <c r="C28" s="97" t="str">
        <f>IF(MasterSheet!$A$1=1,MasterSheet!C84,MasterSheet!B84)</f>
        <v>Doprinosi za osiguranje od nezaposlenosti</v>
      </c>
      <c r="D28" s="197">
        <f>+IF(ISNUMBER(VLOOKUP($B28,'Cental Budget'!$B$16:$K$77,'Public Expenditure'!D$1,FALSE)),VLOOKUP($B28,'Cental Budget'!$B$16:$K$77,'Public Expenditure'!D$1,FALSE),0)+IF(ISNUMBER(VLOOKUP('Public Expenditure'!$B28,'Local Government'!$B$16:$M$60,'Public Expenditure'!D$1,FALSE)),VLOOKUP('Public Expenditure'!$B28,'Local Government'!$B$16:$M$60,'Public Expenditure'!D$1,FALSE),0)</f>
        <v>15122153.449999999</v>
      </c>
      <c r="E28" s="312">
        <f t="shared" si="0"/>
        <v>0.31392650038404846</v>
      </c>
      <c r="F28" s="197">
        <f>+IF(ISNUMBER(VLOOKUP($B28,'Cental Budget'!$B$16:$K$77,'Public Expenditure'!F$1,FALSE)),VLOOKUP($B28,'Cental Budget'!$B$16:$K$77,'Public Expenditure'!F$1,FALSE),0)+IF(ISNUMBER(VLOOKUP('Public Expenditure'!$B28,'Local Government'!$B$16:$M$60,'Public Expenditure'!F$1,FALSE)),VLOOKUP('Public Expenditure'!$B28,'Local Government'!$B$16:$M$60,'Public Expenditure'!F$1,FALSE),0)</f>
        <v>14950709.439620741</v>
      </c>
      <c r="G28" s="312">
        <f t="shared" si="2"/>
        <v>0.31036742935834299</v>
      </c>
      <c r="H28" s="198">
        <f t="shared" si="3"/>
        <v>171444.01037925854</v>
      </c>
      <c r="I28" s="199">
        <f t="shared" si="4"/>
        <v>1.1467282611012308</v>
      </c>
      <c r="J28" s="197">
        <f>+IF(ISNUMBER(VLOOKUP($B28,'Cental Budget'!$B$16:$K$77,'Public Expenditure'!J$1,FALSE)),VLOOKUP($B28,'Cental Budget'!$B$16:$K$77,'Public Expenditure'!J$1,FALSE),0)+IF(ISNUMBER(VLOOKUP('Public Expenditure'!$B28,'Local Government'!$B$16:$M$60,'Public Expenditure'!J$1,FALSE)),VLOOKUP('Public Expenditure'!$B28,'Local Government'!$B$16:$M$60,'Public Expenditure'!J$1,FALSE),0)</f>
        <v>13590597.370000001</v>
      </c>
      <c r="K28" s="312">
        <f t="shared" si="1"/>
        <v>0.29144796242009124</v>
      </c>
      <c r="L28" s="198">
        <f t="shared" si="5"/>
        <v>1531556.0799999982</v>
      </c>
      <c r="M28" s="199">
        <f t="shared" si="6"/>
        <v>11.269232972648922</v>
      </c>
      <c r="BE28" s="114"/>
      <c r="BF28" s="114"/>
      <c r="BG28" s="81"/>
    </row>
    <row r="29" spans="2:61" ht="15" hidden="1" customHeight="1">
      <c r="B29" s="80">
        <v>7124</v>
      </c>
      <c r="C29" s="97" t="str">
        <f>IF(MasterSheet!$A$1=1,MasterSheet!C85,MasterSheet!B85)</f>
        <v>Ostali doprinosi</v>
      </c>
      <c r="D29" s="197">
        <f>+IF(ISNUMBER(VLOOKUP($B29,'Cental Budget'!$B$16:$K$77,'Public Expenditure'!D$1,FALSE)),VLOOKUP($B29,'Cental Budget'!$B$16:$K$77,'Public Expenditure'!D$1,FALSE),0)+IF(ISNUMBER(VLOOKUP('Public Expenditure'!$B29,'Local Government'!$B$16:$M$60,'Public Expenditure'!D$1,FALSE)),VLOOKUP('Public Expenditure'!$B29,'Local Government'!$B$16:$M$60,'Public Expenditure'!D$1,FALSE),0)</f>
        <v>14213682.699999999</v>
      </c>
      <c r="E29" s="312">
        <f t="shared" si="0"/>
        <v>0.29506721263830932</v>
      </c>
      <c r="F29" s="197">
        <f>+IF(ISNUMBER(VLOOKUP($B29,'Cental Budget'!$B$16:$K$77,'Public Expenditure'!F$1,FALSE)),VLOOKUP($B29,'Cental Budget'!$B$16:$K$77,'Public Expenditure'!F$1,FALSE),0)+IF(ISNUMBER(VLOOKUP('Public Expenditure'!$B29,'Local Government'!$B$16:$M$60,'Public Expenditure'!F$1,FALSE)),VLOOKUP('Public Expenditure'!$B29,'Local Government'!$B$16:$M$60,'Public Expenditure'!F$1,FALSE),0)</f>
        <v>12534713.736692008</v>
      </c>
      <c r="G29" s="312">
        <f t="shared" si="2"/>
        <v>0.26021286119640463</v>
      </c>
      <c r="H29" s="198">
        <f t="shared" si="3"/>
        <v>1678968.9633079916</v>
      </c>
      <c r="I29" s="199">
        <f t="shared" si="4"/>
        <v>13.394553705628411</v>
      </c>
      <c r="J29" s="197">
        <f>+IF(ISNUMBER(VLOOKUP($B29,'Cental Budget'!$B$16:$K$77,'Public Expenditure'!J$1,FALSE)),VLOOKUP($B29,'Cental Budget'!$B$16:$K$77,'Public Expenditure'!J$1,FALSE),0)+IF(ISNUMBER(VLOOKUP('Public Expenditure'!$B29,'Local Government'!$B$16:$M$60,'Public Expenditure'!J$1,FALSE)),VLOOKUP('Public Expenditure'!$B29,'Local Government'!$B$16:$M$60,'Public Expenditure'!J$1,FALSE),0)</f>
        <v>11820793.4</v>
      </c>
      <c r="K29" s="312">
        <f t="shared" si="1"/>
        <v>0.25349482858080302</v>
      </c>
      <c r="L29" s="198">
        <f t="shared" si="5"/>
        <v>2392889.2999999989</v>
      </c>
      <c r="M29" s="199">
        <f t="shared" si="6"/>
        <v>20.243051536625273</v>
      </c>
      <c r="BE29" s="81"/>
      <c r="BF29" s="81"/>
      <c r="BG29" s="81"/>
    </row>
    <row r="30" spans="2:61" ht="15" customHeight="1">
      <c r="B30" s="80">
        <v>713</v>
      </c>
      <c r="C30" s="93" t="str">
        <f>IF(MasterSheet!$A$1=1,MasterSheet!C86,MasterSheet!B86)</f>
        <v>Takse</v>
      </c>
      <c r="D30" s="193">
        <f>'Cental Budget'!D30+'Local Government'!D21</f>
        <v>21079487.519999996</v>
      </c>
      <c r="E30" s="313">
        <f t="shared" si="0"/>
        <v>0.4375970505075667</v>
      </c>
      <c r="F30" s="193">
        <f>+IF(ISNUMBER(VLOOKUP($B30,'Cental Budget'!$B$16:$K$77,'Public Expenditure'!F$1,FALSE)),VLOOKUP($B30,'Cental Budget'!$B$16:$K$77,'Public Expenditure'!F$1,FALSE),0)+IF(ISNUMBER(VLOOKUP('Public Expenditure'!$B30,'Local Government'!$B$16:$M$60,'Public Expenditure'!F$1,FALSE)),VLOOKUP('Public Expenditure'!$B30,'Local Government'!$B$16:$M$60,'Public Expenditure'!F$1,FALSE),0)</f>
        <v>22074131.103416003</v>
      </c>
      <c r="G30" s="313">
        <f t="shared" si="2"/>
        <v>0.45824523267974521</v>
      </c>
      <c r="H30" s="194">
        <f t="shared" si="3"/>
        <v>-994643.58341600746</v>
      </c>
      <c r="I30" s="196">
        <f t="shared" si="4"/>
        <v>-4.5059240554301283</v>
      </c>
      <c r="J30" s="193">
        <f>+IF(ISNUMBER(VLOOKUP($B30,'Cental Budget'!$B$16:$K$77,'Public Expenditure'!J$1,FALSE)),VLOOKUP($B30,'Cental Budget'!$B$16:$K$77,'Public Expenditure'!J$1,FALSE),0)+IF(ISNUMBER(VLOOKUP('Public Expenditure'!$B30,'Local Government'!$B$16:$M$60,'Public Expenditure'!J$1,FALSE)),VLOOKUP('Public Expenditure'!$B30,'Local Government'!$B$16:$M$60,'Public Expenditure'!J$1,FALSE),0)</f>
        <v>22690043.18</v>
      </c>
      <c r="K30" s="313">
        <f t="shared" si="1"/>
        <v>0.48658397213888527</v>
      </c>
      <c r="L30" s="194">
        <f t="shared" si="5"/>
        <v>-1610555.6600000039</v>
      </c>
      <c r="M30" s="196">
        <f t="shared" si="6"/>
        <v>-7.0980722567316121</v>
      </c>
      <c r="BE30" s="81"/>
      <c r="BF30" s="81"/>
      <c r="BG30" s="81"/>
    </row>
    <row r="31" spans="2:61" ht="15" customHeight="1">
      <c r="B31" s="80">
        <v>714</v>
      </c>
      <c r="C31" s="93" t="str">
        <f>IF(MasterSheet!$A$1=1,MasterSheet!C91,MasterSheet!B91)</f>
        <v>Naknade</v>
      </c>
      <c r="D31" s="193">
        <f>'Cental Budget'!D31+'Local Government'!D22</f>
        <v>93428968</v>
      </c>
      <c r="E31" s="313">
        <f t="shared" si="0"/>
        <v>1.9395272674430672</v>
      </c>
      <c r="F31" s="193">
        <f>+IF(ISNUMBER(VLOOKUP($B31,'Cental Budget'!$B$16:$K$77,'Public Expenditure'!F$1,FALSE)),VLOOKUP($B31,'Cental Budget'!$B$16:$K$77,'Public Expenditure'!F$1,FALSE),0)+IF(ISNUMBER(VLOOKUP('Public Expenditure'!$B31,'Local Government'!$B$16:$M$60,'Public Expenditure'!F$1,FALSE)),VLOOKUP('Public Expenditure'!$B31,'Local Government'!$B$16:$M$60,'Public Expenditure'!F$1,FALSE),0)</f>
        <v>88390844.861600012</v>
      </c>
      <c r="G31" s="313">
        <f t="shared" si="2"/>
        <v>1.8349389645554381</v>
      </c>
      <c r="H31" s="194">
        <f t="shared" si="3"/>
        <v>5038123.1383999884</v>
      </c>
      <c r="I31" s="196">
        <f t="shared" si="4"/>
        <v>5.6998246213038755</v>
      </c>
      <c r="J31" s="193">
        <f>+IF(ISNUMBER(VLOOKUP($B31,'Cental Budget'!$B$16:$K$77,'Public Expenditure'!J$1,FALSE)),VLOOKUP($B31,'Cental Budget'!$B$16:$K$77,'Public Expenditure'!J$1,FALSE),0)+IF(ISNUMBER(VLOOKUP('Public Expenditure'!$B31,'Local Government'!$B$16:$M$60,'Public Expenditure'!J$1,FALSE)),VLOOKUP('Public Expenditure'!$B31,'Local Government'!$B$16:$M$60,'Public Expenditure'!J$1,FALSE),0)</f>
        <v>75704327.570000008</v>
      </c>
      <c r="K31" s="313">
        <f t="shared" si="1"/>
        <v>1.623465946049113</v>
      </c>
      <c r="L31" s="194">
        <f t="shared" si="5"/>
        <v>17724640.429999992</v>
      </c>
      <c r="M31" s="196">
        <f t="shared" si="6"/>
        <v>23.412981792369663</v>
      </c>
      <c r="BE31" s="114"/>
      <c r="BF31" s="114"/>
      <c r="BG31" s="114"/>
    </row>
    <row r="32" spans="2:61" ht="15" customHeight="1">
      <c r="B32" s="80">
        <v>715</v>
      </c>
      <c r="C32" s="93" t="str">
        <f>IF(MasterSheet!$A$1=1,MasterSheet!C98,MasterSheet!B98)</f>
        <v>Ostali prihodi</v>
      </c>
      <c r="D32" s="193">
        <f>'Cental Budget'!D32+'Local Government'!D23</f>
        <v>93702239.170000017</v>
      </c>
      <c r="E32" s="313">
        <f t="shared" si="0"/>
        <v>1.9452002069709995</v>
      </c>
      <c r="F32" s="193">
        <f>+IF(ISNUMBER(VLOOKUP($B32,'Cental Budget'!$B$16:$K$77,'Public Expenditure'!F$1,FALSE)),VLOOKUP($B32,'Cental Budget'!$B$16:$K$77,'Public Expenditure'!F$1,FALSE),0)+IF(ISNUMBER(VLOOKUP('Public Expenditure'!$B32,'Local Government'!$B$16:$M$60,'Public Expenditure'!F$1,FALSE)),VLOOKUP('Public Expenditure'!$B32,'Local Government'!$B$16:$M$60,'Public Expenditure'!F$1,FALSE),0)</f>
        <v>93756563.376641959</v>
      </c>
      <c r="G32" s="313">
        <f t="shared" si="2"/>
        <v>1.9463279437138932</v>
      </c>
      <c r="H32" s="194">
        <f t="shared" si="3"/>
        <v>-54324.206641942263</v>
      </c>
      <c r="I32" s="196">
        <f t="shared" si="4"/>
        <v>-5.7941763952797487E-2</v>
      </c>
      <c r="J32" s="193">
        <f>+IF(ISNUMBER(VLOOKUP($B32,'Cental Budget'!$B$16:$K$77,'Public Expenditure'!J$1,FALSE)),VLOOKUP($B32,'Cental Budget'!$B$16:$K$77,'Public Expenditure'!J$1,FALSE),0)+IF(ISNUMBER(VLOOKUP('Public Expenditure'!$B32,'Local Government'!$B$16:$M$60,'Public Expenditure'!J$1,FALSE)),VLOOKUP('Public Expenditure'!$B32,'Local Government'!$B$16:$M$60,'Public Expenditure'!J$1,FALSE),0)</f>
        <v>85918201.200000003</v>
      </c>
      <c r="K32" s="313">
        <f t="shared" si="1"/>
        <v>1.8425006637172887</v>
      </c>
      <c r="L32" s="194">
        <f t="shared" si="5"/>
        <v>7784037.9700000137</v>
      </c>
      <c r="M32" s="196">
        <f t="shared" si="6"/>
        <v>9.059824183097561</v>
      </c>
      <c r="BE32" s="81"/>
      <c r="BF32" s="81"/>
      <c r="BG32" s="81"/>
      <c r="BH32" s="81"/>
      <c r="BI32" s="81"/>
    </row>
    <row r="33" spans="1:62">
      <c r="B33" s="80">
        <v>73</v>
      </c>
      <c r="C33" s="101" t="str">
        <f>IF(MasterSheet!$A$1=1,MasterSheet!C103,MasterSheet!B103)</f>
        <v xml:space="preserve">Primici od otplate kredita </v>
      </c>
      <c r="D33" s="193">
        <f>'Cental Budget'!D33+'Local Government'!D24</f>
        <v>8112872.4399999995</v>
      </c>
      <c r="E33" s="313">
        <f t="shared" si="0"/>
        <v>0.16841818604554606</v>
      </c>
      <c r="F33" s="193">
        <f>+IF(ISNUMBER(VLOOKUP($B33,'Cental Budget'!$B$16:$K$77,'Public Expenditure'!F$1,FALSE)),VLOOKUP($B33,'Cental Budget'!$B$16:$K$77,'Public Expenditure'!F$1,FALSE),0)+IF(ISNUMBER(VLOOKUP('Public Expenditure'!$B33,'Local Government'!$B$16:$M$60,'Public Expenditure'!F$1,FALSE)),VLOOKUP('Public Expenditure'!$B33,'Local Government'!$B$16:$M$60,'Public Expenditure'!F$1,FALSE),0)</f>
        <v>8511664.0019999985</v>
      </c>
      <c r="G33" s="313">
        <f t="shared" si="2"/>
        <v>0.17669685084386869</v>
      </c>
      <c r="H33" s="194">
        <f t="shared" si="3"/>
        <v>-398791.56199999899</v>
      </c>
      <c r="I33" s="196">
        <f t="shared" si="4"/>
        <v>-4.6852361877336079</v>
      </c>
      <c r="J33" s="193">
        <f>+IF(ISNUMBER(VLOOKUP($B33,'Cental Budget'!$B$16:$K$77,'Public Expenditure'!J$1,FALSE)),VLOOKUP($B33,'Cental Budget'!$B$16:$K$77,'Public Expenditure'!J$1,FALSE),0)+IF(ISNUMBER(VLOOKUP('Public Expenditure'!$B33,'Local Government'!$B$16:$M$60,'Public Expenditure'!J$1,FALSE)),VLOOKUP('Public Expenditure'!$B33,'Local Government'!$B$16:$M$60,'Public Expenditure'!J$1,FALSE),0)</f>
        <v>11285945.1</v>
      </c>
      <c r="K33" s="313">
        <f t="shared" si="1"/>
        <v>0.24202510116595505</v>
      </c>
      <c r="L33" s="194">
        <f t="shared" si="5"/>
        <v>-3173072.66</v>
      </c>
      <c r="M33" s="196">
        <f t="shared" si="6"/>
        <v>-28.115258685779011</v>
      </c>
      <c r="BD33" s="100"/>
      <c r="BE33" s="100"/>
      <c r="BF33" s="99"/>
      <c r="BG33" s="116"/>
      <c r="BH33" s="116"/>
      <c r="BI33" s="116"/>
      <c r="BJ33" s="115"/>
    </row>
    <row r="34" spans="1:62" ht="13.5" customHeight="1" thickBot="1">
      <c r="B34" s="80">
        <v>74</v>
      </c>
      <c r="C34" s="93" t="s">
        <v>122</v>
      </c>
      <c r="D34" s="193">
        <f>'Cental Budget'!D34+'Local Government'!D25</f>
        <v>43191377.369999997</v>
      </c>
      <c r="E34" s="313">
        <f>D34/D$11*100</f>
        <v>0.89662613128230673</v>
      </c>
      <c r="F34" s="193">
        <f>+IF(ISNUMBER(VLOOKUP($B34,'Cental Budget'!$B$16:$K$77,'Public Expenditure'!F$1,FALSE)),VLOOKUP($B34,'Cental Budget'!$B$16:$K$77,'Public Expenditure'!F$1,FALSE),0)+IF(ISNUMBER(VLOOKUP('Public Expenditure'!$B34,'Local Government'!$B$16:$M$60,'Public Expenditure'!F$1,FALSE)),VLOOKUP('Public Expenditure'!$B34,'Local Government'!$B$16:$M$60,'Public Expenditure'!F$1,FALSE),0)</f>
        <v>48520000</v>
      </c>
      <c r="G34" s="313">
        <f t="shared" si="2"/>
        <v>1.0072450229391128</v>
      </c>
      <c r="H34" s="194">
        <f t="shared" si="3"/>
        <v>-5328622.6300000027</v>
      </c>
      <c r="I34" s="196">
        <f t="shared" si="4"/>
        <v>-10.982321990931581</v>
      </c>
      <c r="J34" s="193">
        <f>+IF(ISNUMBER(VLOOKUP($B34,'Cental Budget'!$B$16:$K$77,'Public Expenditure'!J$1,FALSE)),VLOOKUP($B34,'Cental Budget'!$B$16:$K$77,'Public Expenditure'!J$1,FALSE),0)+IF(ISNUMBER(VLOOKUP('Public Expenditure'!$B34,'Local Government'!$B$16:$M$60,'Public Expenditure'!J$1,FALSE)),VLOOKUP('Public Expenditure'!$B34,'Local Government'!$B$16:$M$60,'Public Expenditure'!J$1,FALSE),0)</f>
        <v>29590960.450000007</v>
      </c>
      <c r="K34" s="313">
        <f>J34/J$11*100</f>
        <v>0.63457292526693465</v>
      </c>
      <c r="L34" s="194">
        <f t="shared" si="5"/>
        <v>13600416.919999991</v>
      </c>
      <c r="M34" s="196">
        <f t="shared" si="6"/>
        <v>45.961390617856722</v>
      </c>
      <c r="BE34" s="130"/>
      <c r="BF34" s="130"/>
      <c r="BG34" s="116"/>
      <c r="BH34" s="116"/>
      <c r="BI34" s="116"/>
      <c r="BJ34" s="115"/>
    </row>
    <row r="35" spans="1:62" ht="15" customHeight="1" thickTop="1" thickBot="1">
      <c r="B35" s="102"/>
      <c r="C35" s="138" t="s">
        <v>234</v>
      </c>
      <c r="D35" s="200">
        <f>+D37+D47+D53+SUM(D54:D58)</f>
        <v>2248459025.5</v>
      </c>
      <c r="E35" s="310">
        <f t="shared" si="0"/>
        <v>46.676610938116291</v>
      </c>
      <c r="F35" s="200">
        <f>+F37+F47+F53+SUM(F54:F59)</f>
        <v>2169294662.7535996</v>
      </c>
      <c r="G35" s="310">
        <f t="shared" si="2"/>
        <v>45.033208003852934</v>
      </c>
      <c r="H35" s="200">
        <f t="shared" si="3"/>
        <v>79164362.746400356</v>
      </c>
      <c r="I35" s="192">
        <f t="shared" si="4"/>
        <v>3.6493134891095309</v>
      </c>
      <c r="J35" s="200">
        <f>+J37+J47+J53+SUM(J54:J58)</f>
        <v>2152414439.7839999</v>
      </c>
      <c r="K35" s="310">
        <f t="shared" si="1"/>
        <v>46.158147848848301</v>
      </c>
      <c r="L35" s="200">
        <f t="shared" si="5"/>
        <v>96044585.71600008</v>
      </c>
      <c r="M35" s="192">
        <f t="shared" si="6"/>
        <v>4.4621790274571111</v>
      </c>
      <c r="N35" s="168"/>
      <c r="O35" s="168"/>
      <c r="BE35" s="81"/>
      <c r="BF35" s="81"/>
      <c r="BG35" s="116"/>
      <c r="BH35" s="116"/>
      <c r="BI35" s="116"/>
      <c r="BJ35" s="115"/>
    </row>
    <row r="36" spans="1:62" ht="13.5" customHeight="1" thickTop="1" thickBot="1">
      <c r="C36" s="138" t="s">
        <v>279</v>
      </c>
      <c r="D36" s="200">
        <f>+D35-D54</f>
        <v>1909664112.1399999</v>
      </c>
      <c r="E36" s="310">
        <f t="shared" si="0"/>
        <v>39.643439250586447</v>
      </c>
      <c r="F36" s="200">
        <f>+F35-F54</f>
        <v>1821784588.2824998</v>
      </c>
      <c r="G36" s="310">
        <f t="shared" si="2"/>
        <v>37.819114992059532</v>
      </c>
      <c r="H36" s="200">
        <f t="shared" si="3"/>
        <v>87879523.857500076</v>
      </c>
      <c r="I36" s="192">
        <f t="shared" si="4"/>
        <v>4.8238153085019349</v>
      </c>
      <c r="J36" s="200">
        <f>+J35-J54</f>
        <v>1855709182.0839999</v>
      </c>
      <c r="K36" s="310">
        <f t="shared" si="1"/>
        <v>39.795355953704913</v>
      </c>
      <c r="L36" s="200">
        <f t="shared" si="5"/>
        <v>53954930.055999994</v>
      </c>
      <c r="M36" s="192">
        <f t="shared" si="6"/>
        <v>2.9075100008616488</v>
      </c>
      <c r="BE36" s="130"/>
      <c r="BF36" s="130"/>
      <c r="BG36" s="116"/>
      <c r="BH36" s="116"/>
      <c r="BI36" s="116"/>
      <c r="BJ36" s="115"/>
    </row>
    <row r="37" spans="1:62" ht="13.5" customHeight="1" thickTop="1">
      <c r="A37" s="80">
        <v>41</v>
      </c>
      <c r="B37" s="80">
        <v>41</v>
      </c>
      <c r="C37" s="93" t="s">
        <v>62</v>
      </c>
      <c r="D37" s="201">
        <f>+SUM(D38:D46)</f>
        <v>987150579.22000015</v>
      </c>
      <c r="E37" s="313">
        <f t="shared" si="0"/>
        <v>20.492632065350524</v>
      </c>
      <c r="F37" s="201">
        <f>+SUM(F38:F46)</f>
        <v>936032453.4461478</v>
      </c>
      <c r="G37" s="313">
        <f t="shared" si="2"/>
        <v>19.431451567253074</v>
      </c>
      <c r="H37" s="202">
        <f t="shared" si="3"/>
        <v>51118125.773852348</v>
      </c>
      <c r="I37" s="196">
        <f t="shared" si="4"/>
        <v>5.4611488720987182</v>
      </c>
      <c r="J37" s="201">
        <f>+SUM(J38:J46)</f>
        <v>948497484.52399993</v>
      </c>
      <c r="K37" s="313">
        <f t="shared" si="1"/>
        <v>20.340361184955171</v>
      </c>
      <c r="L37" s="202">
        <f t="shared" si="5"/>
        <v>38653094.696000218</v>
      </c>
      <c r="M37" s="196">
        <f t="shared" si="6"/>
        <v>4.0751921145471641</v>
      </c>
      <c r="BE37" s="130"/>
      <c r="BF37" s="130"/>
      <c r="BG37" s="116"/>
      <c r="BH37" s="116"/>
      <c r="BI37" s="116"/>
      <c r="BJ37" s="115"/>
    </row>
    <row r="38" spans="1:62" ht="13.5" customHeight="1">
      <c r="B38" s="80">
        <v>411</v>
      </c>
      <c r="C38" s="93" t="s">
        <v>63</v>
      </c>
      <c r="D38" s="193">
        <f>'Cental Budget'!D38+'Local Government'!D29</f>
        <v>524553833.29000002</v>
      </c>
      <c r="E38" s="313">
        <f t="shared" si="0"/>
        <v>10.889411332336882</v>
      </c>
      <c r="F38" s="193">
        <f>'Cental Budget'!F38+'Local Government'!F29</f>
        <v>523687535.84232807</v>
      </c>
      <c r="G38" s="313">
        <f t="shared" si="2"/>
        <v>10.871427536117748</v>
      </c>
      <c r="H38" s="194">
        <f t="shared" si="3"/>
        <v>866297.44767194986</v>
      </c>
      <c r="I38" s="196">
        <f t="shared" si="4"/>
        <v>0.16542258281526756</v>
      </c>
      <c r="J38" s="193">
        <f>+IF(ISNUMBER(VLOOKUP($B38,'Cental Budget'!$B$16:$K$77,'Public Expenditure'!J$1,FALSE)),VLOOKUP($B38,'Cental Budget'!$B$16:$K$77,'Public Expenditure'!J$1,FALSE),0)+IF(ISNUMBER(VLOOKUP('Public Expenditure'!$B38,'Local Government'!$B$16:$M$60,'Public Expenditure'!J$1,FALSE)),VLOOKUP('Public Expenditure'!$B38,'Local Government'!$B$16:$M$60,'Public Expenditure'!J$1,FALSE),0)</f>
        <v>507515854.76999998</v>
      </c>
      <c r="K38" s="313">
        <f t="shared" si="1"/>
        <v>10.883587949939203</v>
      </c>
      <c r="L38" s="194">
        <f t="shared" si="5"/>
        <v>17037978.520000041</v>
      </c>
      <c r="M38" s="196">
        <f t="shared" si="6"/>
        <v>3.3571322668769454</v>
      </c>
      <c r="BE38" s="130"/>
      <c r="BF38" s="130"/>
      <c r="BG38" s="116"/>
      <c r="BH38" s="116"/>
      <c r="BI38" s="116"/>
      <c r="BJ38" s="115"/>
    </row>
    <row r="39" spans="1:62" ht="13.5" customHeight="1">
      <c r="B39" s="80">
        <v>412</v>
      </c>
      <c r="C39" s="93" t="s">
        <v>74</v>
      </c>
      <c r="D39" s="193">
        <f>'Cental Budget'!D39+'Local Government'!D30</f>
        <v>19504884.68</v>
      </c>
      <c r="E39" s="313">
        <f t="shared" si="0"/>
        <v>0.40490927487492473</v>
      </c>
      <c r="F39" s="193">
        <f>+IF(ISNUMBER(VLOOKUP($B39,'Cental Budget'!$B$16:$K$77,'Public Expenditure'!F$1,FALSE)),VLOOKUP($B39,'Cental Budget'!$B$16:$K$77,'Public Expenditure'!F$1,FALSE),0)+IF(ISNUMBER(VLOOKUP('Public Expenditure'!$B39,'Local Government'!$B$16:$M$60,'Public Expenditure'!F$1,FALSE)),VLOOKUP('Public Expenditure'!$B39,'Local Government'!$B$16:$M$60,'Public Expenditure'!F$1,FALSE),0)</f>
        <v>19268246.834975995</v>
      </c>
      <c r="G39" s="313">
        <f t="shared" si="2"/>
        <v>0.39999682038936279</v>
      </c>
      <c r="H39" s="194">
        <f t="shared" si="3"/>
        <v>236637.84502400458</v>
      </c>
      <c r="I39" s="196">
        <f t="shared" si="4"/>
        <v>1.2281233837759089</v>
      </c>
      <c r="J39" s="193">
        <f>+IF(ISNUMBER(VLOOKUP($B39,'Cental Budget'!$B$16:$K$77,'Public Expenditure'!J$1,FALSE)),VLOOKUP($B39,'Cental Budget'!$B$16:$K$77,'Public Expenditure'!J$1,FALSE),0)+IF(ISNUMBER(VLOOKUP('Public Expenditure'!$B39,'Local Government'!$B$16:$M$60,'Public Expenditure'!J$1,FALSE)),VLOOKUP('Public Expenditure'!$B39,'Local Government'!$B$16:$M$60,'Public Expenditure'!J$1,FALSE),0)</f>
        <v>16755489.899999999</v>
      </c>
      <c r="K39" s="313">
        <f t="shared" si="1"/>
        <v>0.35931852425302319</v>
      </c>
      <c r="L39" s="194">
        <f>+D39-J39</f>
        <v>2749394.7800000012</v>
      </c>
      <c r="M39" s="196">
        <f t="shared" si="6"/>
        <v>16.408919085081493</v>
      </c>
      <c r="BE39" s="130"/>
      <c r="BF39" s="130"/>
      <c r="BG39" s="116"/>
      <c r="BH39" s="116"/>
      <c r="BI39" s="116"/>
      <c r="BJ39" s="115"/>
    </row>
    <row r="40" spans="1:62" ht="13.5" customHeight="1">
      <c r="B40" s="80">
        <v>413</v>
      </c>
      <c r="C40" s="93" t="s">
        <v>76</v>
      </c>
      <c r="D40" s="193">
        <f>'Cental Budget'!D40+'Local Government'!D31</f>
        <v>119962032.86999999</v>
      </c>
      <c r="E40" s="313">
        <f t="shared" si="0"/>
        <v>2.4903371918789312</v>
      </c>
      <c r="F40" s="193">
        <f>+IF(ISNUMBER(VLOOKUP($B40,'Cental Budget'!$B$16:$K$77,'Public Expenditure'!F$1,FALSE)),VLOOKUP($B40,'Cental Budget'!$B$16:$K$77,'Public Expenditure'!F$1,FALSE),0)+IF(ISNUMBER(VLOOKUP('Public Expenditure'!$B40,'Local Government'!$B$16:$M$60,'Public Expenditure'!F$1,FALSE)),VLOOKUP('Public Expenditure'!$B40,'Local Government'!$B$16:$M$60,'Public Expenditure'!F$1,FALSE),0)</f>
        <v>115832520.38470799</v>
      </c>
      <c r="G40" s="313">
        <f t="shared" si="2"/>
        <v>2.4046110810385497</v>
      </c>
      <c r="H40" s="194">
        <f t="shared" si="3"/>
        <v>4129512.4852920026</v>
      </c>
      <c r="I40" s="196">
        <f t="shared" si="4"/>
        <v>3.5650717704983776</v>
      </c>
      <c r="J40" s="193">
        <f>+IF(ISNUMBER(VLOOKUP($B40,'Cental Budget'!$B$16:$K$77,'Public Expenditure'!J$1,FALSE)),VLOOKUP($B40,'Cental Budget'!$B$16:$K$77,'Public Expenditure'!J$1,FALSE),0)+IF(ISNUMBER(VLOOKUP('Public Expenditure'!$B40,'Local Government'!$B$16:$M$60,'Public Expenditure'!J$1,FALSE)),VLOOKUP('Public Expenditure'!$B40,'Local Government'!$B$16:$M$60,'Public Expenditure'!J$1,FALSE),0)</f>
        <v>127538078.03999999</v>
      </c>
      <c r="K40" s="313">
        <f t="shared" si="1"/>
        <v>2.7350315783604575</v>
      </c>
      <c r="L40" s="194">
        <f t="shared" si="5"/>
        <v>-7576045.1700000018</v>
      </c>
      <c r="M40" s="196">
        <f t="shared" si="6"/>
        <v>-5.9402221567302576</v>
      </c>
      <c r="BE40" s="130"/>
      <c r="BF40" s="130"/>
      <c r="BG40" s="116"/>
      <c r="BH40" s="116"/>
      <c r="BI40" s="116"/>
      <c r="BJ40" s="115"/>
    </row>
    <row r="41" spans="1:62" ht="13.5" customHeight="1">
      <c r="B41" s="80">
        <v>415</v>
      </c>
      <c r="C41" s="93" t="s">
        <v>430</v>
      </c>
      <c r="D41" s="193">
        <f>'Cental Budget'!D41+'Local Government'!D32</f>
        <v>28499668.100000001</v>
      </c>
      <c r="E41" s="313">
        <f t="shared" si="0"/>
        <v>0.59163538435988461</v>
      </c>
      <c r="F41" s="193">
        <f>+IF(ISNUMBER(VLOOKUP($B41,'Cental Budget'!$B$16:$K$77,'Public Expenditure'!F$1,FALSE)),VLOOKUP($B41,'Cental Budget'!$B$16:$K$77,'Public Expenditure'!F$1,FALSE),0)+IF(ISNUMBER(VLOOKUP('Public Expenditure'!$B41,'Local Government'!$B$16:$M$60,'Public Expenditure'!F$1,FALSE)),VLOOKUP('Public Expenditure'!$B41,'Local Government'!$B$16:$M$60,'Public Expenditure'!F$1,FALSE),0)</f>
        <v>29975542.183468003</v>
      </c>
      <c r="G41" s="313">
        <f t="shared" si="2"/>
        <v>0.62227361241136792</v>
      </c>
      <c r="H41" s="194">
        <f t="shared" si="3"/>
        <v>-1475874.0834680013</v>
      </c>
      <c r="I41" s="196">
        <f t="shared" si="4"/>
        <v>-4.9235942904211072</v>
      </c>
      <c r="J41" s="193">
        <f>+IF(ISNUMBER(VLOOKUP($B41,'Cental Budget'!$B$16:$K$77,'Public Expenditure'!J$1,FALSE)),VLOOKUP($B41,'Cental Budget'!$B$16:$K$77,'Public Expenditure'!J$1,FALSE),0)+IF(ISNUMBER(VLOOKUP('Public Expenditure'!$B41,'Local Government'!$B$16:$M$60,'Public Expenditure'!J$1,FALSE)),VLOOKUP('Public Expenditure'!$B41,'Local Government'!$B$16:$M$60,'Public Expenditure'!J$1,FALSE),0)</f>
        <v>26266304.513999999</v>
      </c>
      <c r="K41" s="313">
        <f t="shared" si="1"/>
        <v>0.56327626538398035</v>
      </c>
      <c r="L41" s="194">
        <f t="shared" si="5"/>
        <v>2233363.5860000029</v>
      </c>
      <c r="M41" s="196">
        <f t="shared" si="6"/>
        <v>8.5027704784645977</v>
      </c>
      <c r="BE41" s="130"/>
      <c r="BF41" s="130"/>
      <c r="BG41" s="116"/>
      <c r="BH41" s="116"/>
      <c r="BI41" s="116"/>
      <c r="BJ41" s="115"/>
    </row>
    <row r="42" spans="1:62" ht="13.5" customHeight="1">
      <c r="B42" s="80">
        <v>416</v>
      </c>
      <c r="C42" s="93" t="s">
        <v>79</v>
      </c>
      <c r="D42" s="193">
        <f>'Cental Budget'!D42+'Local Government'!D33</f>
        <v>109425045.72</v>
      </c>
      <c r="E42" s="313">
        <f t="shared" si="0"/>
        <v>2.2715958921342714</v>
      </c>
      <c r="F42" s="193">
        <f>+IF(ISNUMBER(VLOOKUP($B42,'Cental Budget'!$B$16:$K$77,'Public Expenditure'!F$1,FALSE)),VLOOKUP($B42,'Cental Budget'!$B$16:$K$77,'Public Expenditure'!F$1,FALSE),0)+IF(ISNUMBER(VLOOKUP('Public Expenditure'!$B42,'Local Government'!$B$16:$M$60,'Public Expenditure'!F$1,FALSE)),VLOOKUP('Public Expenditure'!$B42,'Local Government'!$B$16:$M$60,'Public Expenditure'!F$1,FALSE),0)</f>
        <v>100226032.53093998</v>
      </c>
      <c r="G42" s="313">
        <f t="shared" si="2"/>
        <v>2.0806300996645279</v>
      </c>
      <c r="H42" s="194">
        <f t="shared" si="3"/>
        <v>9199013.1890600175</v>
      </c>
      <c r="I42" s="196">
        <f t="shared" si="4"/>
        <v>9.1782673191421367</v>
      </c>
      <c r="J42" s="193">
        <f>+IF(ISNUMBER(VLOOKUP($B42,'Cental Budget'!$B$16:$K$77,'Public Expenditure'!J$1,FALSE)),VLOOKUP($B42,'Cental Budget'!$B$16:$K$77,'Public Expenditure'!J$1,FALSE),0)+IF(ISNUMBER(VLOOKUP('Public Expenditure'!$B42,'Local Government'!$B$16:$M$60,'Public Expenditure'!J$1,FALSE)),VLOOKUP('Public Expenditure'!$B42,'Local Government'!$B$16:$M$60,'Public Expenditure'!J$1,FALSE),0)</f>
        <v>100929323.03999998</v>
      </c>
      <c r="K42" s="313">
        <f t="shared" si="1"/>
        <v>2.1644115227325846</v>
      </c>
      <c r="L42" s="194">
        <f t="shared" si="5"/>
        <v>8495722.6800000221</v>
      </c>
      <c r="M42" s="196">
        <f t="shared" si="6"/>
        <v>8.4174969415310841</v>
      </c>
      <c r="BE42" s="130"/>
      <c r="BF42" s="130"/>
      <c r="BG42" s="116"/>
      <c r="BH42" s="116"/>
      <c r="BI42" s="116"/>
      <c r="BJ42" s="115"/>
    </row>
    <row r="43" spans="1:62" ht="13.5" customHeight="1">
      <c r="B43" s="80">
        <v>417</v>
      </c>
      <c r="C43" s="93" t="s">
        <v>81</v>
      </c>
      <c r="D43" s="193">
        <f>'Cental Budget'!D43+'Local Government'!D34</f>
        <v>11718242.1</v>
      </c>
      <c r="E43" s="313">
        <f t="shared" si="0"/>
        <v>0.24326341782400199</v>
      </c>
      <c r="F43" s="193">
        <f>+IF(ISNUMBER(VLOOKUP($B43,'Cental Budget'!$B$16:$K$77,'Public Expenditure'!F$1,FALSE)),VLOOKUP($B43,'Cental Budget'!$B$16:$K$77,'Public Expenditure'!F$1,FALSE),0)+IF(ISNUMBER(VLOOKUP('Public Expenditure'!$B43,'Local Government'!$B$16:$M$60,'Public Expenditure'!F$1,FALSE)),VLOOKUP('Public Expenditure'!$B43,'Local Government'!$B$16:$M$60,'Public Expenditure'!F$1,FALSE),0)</f>
        <v>10428603.357427999</v>
      </c>
      <c r="G43" s="313">
        <f t="shared" si="2"/>
        <v>0.21649131962026943</v>
      </c>
      <c r="H43" s="194">
        <f t="shared" si="3"/>
        <v>1289638.7425720003</v>
      </c>
      <c r="I43" s="196">
        <f t="shared" si="4"/>
        <v>12.366361039644175</v>
      </c>
      <c r="J43" s="193">
        <f>+IF(ISNUMBER(VLOOKUP($B43,'Cental Budget'!$B$16:$K$77,'Public Expenditure'!J$1,FALSE)),VLOOKUP($B43,'Cental Budget'!$B$16:$K$77,'Public Expenditure'!J$1,FALSE),0)+IF(ISNUMBER(VLOOKUP('Public Expenditure'!$B43,'Local Government'!$B$16:$M$60,'Public Expenditure'!J$1,FALSE)),VLOOKUP('Public Expenditure'!$B43,'Local Government'!$B$16:$M$60,'Public Expenditure'!J$1,FALSE),0)</f>
        <v>11316688.050000001</v>
      </c>
      <c r="K43" s="313">
        <f t="shared" si="1"/>
        <v>0.24268437830384315</v>
      </c>
      <c r="L43" s="194">
        <f t="shared" si="5"/>
        <v>401554.04999999888</v>
      </c>
      <c r="M43" s="196">
        <f t="shared" si="6"/>
        <v>3.5483354160319038</v>
      </c>
      <c r="BE43" s="130"/>
      <c r="BF43" s="130"/>
      <c r="BG43" s="116"/>
      <c r="BH43" s="116"/>
      <c r="BI43" s="116"/>
      <c r="BJ43" s="115"/>
    </row>
    <row r="44" spans="1:62" ht="13.5" customHeight="1">
      <c r="B44" s="80">
        <v>418</v>
      </c>
      <c r="C44" s="93" t="s">
        <v>83</v>
      </c>
      <c r="D44" s="193">
        <f>'Cental Budget'!D44+'Local Government'!D35</f>
        <v>36349261.880000003</v>
      </c>
      <c r="E44" s="313">
        <f t="shared" si="0"/>
        <v>0.75458806917024768</v>
      </c>
      <c r="F44" s="193">
        <f>+IF(ISNUMBER(VLOOKUP($B44,'Cental Budget'!$B$16:$K$77,'Public Expenditure'!F$1,FALSE)),VLOOKUP($B44,'Cental Budget'!$B$16:$K$77,'Public Expenditure'!F$1,FALSE),0)+IF(ISNUMBER(VLOOKUP('Public Expenditure'!$B44,'Local Government'!$B$16:$M$60,'Public Expenditure'!F$1,FALSE)),VLOOKUP('Public Expenditure'!$B44,'Local Government'!$B$16:$M$60,'Public Expenditure'!F$1,FALSE),0)</f>
        <v>32076821.280675992</v>
      </c>
      <c r="G44" s="313">
        <f t="shared" si="2"/>
        <v>0.66589485957684069</v>
      </c>
      <c r="H44" s="194">
        <f t="shared" si="3"/>
        <v>4272440.5993240103</v>
      </c>
      <c r="I44" s="196">
        <f t="shared" si="4"/>
        <v>13.319401451720054</v>
      </c>
      <c r="J44" s="193">
        <f>+IF(ISNUMBER(VLOOKUP($B44,'Cental Budget'!$B$16:$K$77,'Public Expenditure'!J$1,FALSE)),VLOOKUP($B44,'Cental Budget'!$B$16:$K$77,'Public Expenditure'!J$1,FALSE),0)+IF(ISNUMBER(VLOOKUP('Public Expenditure'!$B44,'Local Government'!$B$16:$M$60,'Public Expenditure'!J$1,FALSE)),VLOOKUP('Public Expenditure'!$B44,'Local Government'!$B$16:$M$60,'Public Expenditure'!J$1,FALSE),0)</f>
        <v>32080008.849999998</v>
      </c>
      <c r="K44" s="313">
        <f t="shared" si="1"/>
        <v>0.68795012899061347</v>
      </c>
      <c r="L44" s="194">
        <f t="shared" si="5"/>
        <v>4269253.0300000049</v>
      </c>
      <c r="M44" s="196">
        <f t="shared" si="6"/>
        <v>13.308141684007069</v>
      </c>
      <c r="BE44" s="130"/>
      <c r="BF44" s="130"/>
      <c r="BG44" s="116"/>
      <c r="BH44" s="116"/>
      <c r="BI44" s="116"/>
      <c r="BJ44" s="115"/>
    </row>
    <row r="45" spans="1:62" ht="13.5" customHeight="1">
      <c r="B45" s="80">
        <v>419</v>
      </c>
      <c r="C45" s="93" t="s">
        <v>85</v>
      </c>
      <c r="D45" s="193">
        <f>'Cental Budget'!D45+'Local Government'!D36</f>
        <v>44993974.089999996</v>
      </c>
      <c r="E45" s="313">
        <f t="shared" si="0"/>
        <v>0.93404691806273465</v>
      </c>
      <c r="F45" s="193">
        <f>+IF(ISNUMBER(VLOOKUP($B45,'Cental Budget'!$B$16:$K$77,'Public Expenditure'!F$1,FALSE)),VLOOKUP($B45,'Cental Budget'!$B$16:$K$77,'Public Expenditure'!F$1,FALSE),0)+IF(ISNUMBER(VLOOKUP('Public Expenditure'!$B45,'Local Government'!$B$16:$M$60,'Public Expenditure'!F$1,FALSE)),VLOOKUP('Public Expenditure'!$B45,'Local Government'!$B$16:$M$60,'Public Expenditure'!F$1,FALSE),0)</f>
        <v>45480091.411624007</v>
      </c>
      <c r="G45" s="313">
        <f t="shared" si="2"/>
        <v>0.94413841131851128</v>
      </c>
      <c r="H45" s="194">
        <f t="shared" si="3"/>
        <v>-486117.3216240108</v>
      </c>
      <c r="I45" s="196">
        <f t="shared" si="4"/>
        <v>-1.0688573978981992</v>
      </c>
      <c r="J45" s="193">
        <f>+IF(ISNUMBER(VLOOKUP($B45,'Cental Budget'!$B$16:$K$77,'Public Expenditure'!J$1,FALSE)),VLOOKUP($B45,'Cental Budget'!$B$16:$K$77,'Public Expenditure'!J$1,FALSE),0)+IF(ISNUMBER(VLOOKUP('Public Expenditure'!$B45,'Local Government'!$B$16:$M$60,'Public Expenditure'!J$1,FALSE)),VLOOKUP('Public Expenditure'!$B45,'Local Government'!$B$16:$M$60,'Public Expenditure'!J$1,FALSE),0)</f>
        <v>47724460.399999991</v>
      </c>
      <c r="K45" s="313">
        <f t="shared" si="1"/>
        <v>1.0234426318803034</v>
      </c>
      <c r="L45" s="194">
        <f t="shared" si="5"/>
        <v>-2730486.3099999949</v>
      </c>
      <c r="M45" s="196">
        <f t="shared" si="6"/>
        <v>-5.7213560658718166</v>
      </c>
      <c r="BE45" s="130"/>
      <c r="BF45" s="130"/>
      <c r="BG45" s="116"/>
      <c r="BH45" s="116"/>
      <c r="BI45" s="116"/>
      <c r="BJ45" s="115"/>
    </row>
    <row r="46" spans="1:62" ht="13.5" customHeight="1">
      <c r="B46" s="80">
        <v>441</v>
      </c>
      <c r="C46" s="93" t="s">
        <v>129</v>
      </c>
      <c r="D46" s="193">
        <f>'Cental Budget'!D46</f>
        <v>92143636.489999995</v>
      </c>
      <c r="E46" s="313">
        <f t="shared" si="0"/>
        <v>1.9128445847086419</v>
      </c>
      <c r="F46" s="193">
        <f>+IF(ISNUMBER(VLOOKUP($B46,'Cental Budget'!$B$16:$K$77,'Public Expenditure'!F$1,FALSE)),VLOOKUP($B46,'Cental Budget'!$B$16:$K$77,'Public Expenditure'!F$1,FALSE),0)+IF(ISNUMBER(VLOOKUP('Public Expenditure'!$B46,'Local Government'!$B$16:$M$60,'Public Expenditure'!F$1,FALSE)),VLOOKUP('Public Expenditure'!$B46,'Local Government'!$B$16:$M$60,'Public Expenditure'!F$1,FALSE),0)</f>
        <v>59057059.620000012</v>
      </c>
      <c r="G46" s="313">
        <f t="shared" si="2"/>
        <v>1.2259878271158997</v>
      </c>
      <c r="H46" s="194">
        <f>+D46-F46</f>
        <v>33086576.869999982</v>
      </c>
      <c r="I46" s="196">
        <f t="shared" si="4"/>
        <v>56.024761616805961</v>
      </c>
      <c r="J46" s="193">
        <f>+IF(ISNUMBER(VLOOKUP($B46,'Cental Budget'!$B$16:$K$77,'Public Expenditure'!J$1,FALSE)),VLOOKUP($B46,'Cental Budget'!$B$16:$K$77,'Public Expenditure'!J$1,FALSE),0)+IF(ISNUMBER(VLOOKUP('Public Expenditure'!$B46,'Local Government'!$B$16:$M$60,'Public Expenditure'!J$1,FALSE)),VLOOKUP('Public Expenditure'!$B46,'Local Government'!$B$16:$M$60,'Public Expenditure'!J$1,FALSE),0)</f>
        <v>78371276.960000008</v>
      </c>
      <c r="K46" s="313">
        <f t="shared" si="1"/>
        <v>1.6806582051111594</v>
      </c>
      <c r="L46" s="194">
        <f t="shared" si="5"/>
        <v>13772359.529999986</v>
      </c>
      <c r="M46" s="196">
        <f t="shared" si="6"/>
        <v>17.573223334142256</v>
      </c>
      <c r="BE46" s="130"/>
      <c r="BF46" s="130"/>
      <c r="BG46" s="116"/>
      <c r="BH46" s="116"/>
      <c r="BI46" s="116"/>
      <c r="BJ46" s="115"/>
    </row>
    <row r="47" spans="1:62" ht="13.5" customHeight="1">
      <c r="A47" s="80">
        <v>42</v>
      </c>
      <c r="B47" s="80">
        <v>42</v>
      </c>
      <c r="C47" s="93" t="s">
        <v>86</v>
      </c>
      <c r="D47" s="201">
        <f>'Cental Budget'!D47+'Local Government'!D37</f>
        <v>554843713.59000003</v>
      </c>
      <c r="E47" s="313">
        <f t="shared" si="0"/>
        <v>11.51821040854456</v>
      </c>
      <c r="F47" s="201">
        <f>SUM(F48:F52)</f>
        <v>558687932.05910397</v>
      </c>
      <c r="G47" s="313">
        <f t="shared" si="2"/>
        <v>11.598013993047767</v>
      </c>
      <c r="H47" s="202">
        <f t="shared" si="3"/>
        <v>-3844218.4691039324</v>
      </c>
      <c r="I47" s="196">
        <f t="shared" si="4"/>
        <v>-0.6880797397816707</v>
      </c>
      <c r="J47" s="201">
        <f>SUM(J48:J52)</f>
        <v>544895928.38999999</v>
      </c>
      <c r="K47" s="313">
        <f t="shared" si="1"/>
        <v>11.685197032679765</v>
      </c>
      <c r="L47" s="202">
        <f t="shared" si="5"/>
        <v>9947785.2000000477</v>
      </c>
      <c r="M47" s="196">
        <f t="shared" si="6"/>
        <v>1.8256303051103089</v>
      </c>
      <c r="BE47" s="130"/>
      <c r="BF47" s="130"/>
      <c r="BG47" s="116"/>
      <c r="BH47" s="116"/>
      <c r="BI47" s="116"/>
      <c r="BJ47" s="115"/>
    </row>
    <row r="48" spans="1:62" ht="13.5" customHeight="1">
      <c r="B48" s="80">
        <v>421</v>
      </c>
      <c r="C48" s="97" t="s">
        <v>88</v>
      </c>
      <c r="D48" s="197">
        <f>'Cental Budget'!D48+'Local Government'!D38</f>
        <v>80349401.739999995</v>
      </c>
      <c r="E48" s="312">
        <f t="shared" si="0"/>
        <v>1.6680036067343422</v>
      </c>
      <c r="F48" s="197">
        <f>+IF(ISNUMBER(VLOOKUP($B48,'Cental Budget'!$B$16:$K$77,'Public Expenditure'!F$1,FALSE)),VLOOKUP($B48,'Cental Budget'!$B$16:$K$77,'Public Expenditure'!F$1,FALSE),0)+IF(ISNUMBER(VLOOKUP('Public Expenditure'!$B48,'Local Government'!$B$16:$M$60,'Public Expenditure'!F$1,FALSE)),VLOOKUP('Public Expenditure'!$B48,'Local Government'!$B$16:$M$60,'Public Expenditure'!F$1,FALSE),0)</f>
        <v>81835347.639104009</v>
      </c>
      <c r="G48" s="312">
        <f t="shared" si="2"/>
        <v>1.6988509194142534</v>
      </c>
      <c r="H48" s="198">
        <f t="shared" si="3"/>
        <v>-1485945.899104014</v>
      </c>
      <c r="I48" s="199">
        <f t="shared" si="4"/>
        <v>-1.8157751411493734</v>
      </c>
      <c r="J48" s="197">
        <f>'Cental Budget'!J48+'Local Government'!J38</f>
        <v>82705141.390000001</v>
      </c>
      <c r="K48" s="312">
        <f t="shared" si="1"/>
        <v>1.7735971630642937</v>
      </c>
      <c r="L48" s="198">
        <f t="shared" si="5"/>
        <v>-2355739.650000006</v>
      </c>
      <c r="M48" s="199">
        <f t="shared" si="6"/>
        <v>-2.8483593769478119</v>
      </c>
      <c r="BE48" s="130"/>
      <c r="BF48" s="130"/>
      <c r="BG48" s="116"/>
      <c r="BH48" s="116"/>
      <c r="BI48" s="116"/>
      <c r="BJ48" s="115"/>
    </row>
    <row r="49" spans="1:62" ht="13.5" customHeight="1">
      <c r="B49" s="80">
        <v>422</v>
      </c>
      <c r="C49" s="97" t="s">
        <v>90</v>
      </c>
      <c r="D49" s="197">
        <f>'Cental Budget'!D49</f>
        <v>20400682.960000001</v>
      </c>
      <c r="E49" s="312">
        <f t="shared" si="0"/>
        <v>0.42350549002511889</v>
      </c>
      <c r="F49" s="197">
        <f>+IF(ISNUMBER(VLOOKUP($B49,'Cental Budget'!$B$16:$K$77,'Public Expenditure'!F$1,FALSE)),VLOOKUP($B49,'Cental Budget'!$B$16:$K$77,'Public Expenditure'!F$1,FALSE),0)+IF(ISNUMBER(VLOOKUP('Public Expenditure'!$B49,'Local Government'!$B$16:$M$60,'Public Expenditure'!F$1,FALSE)),VLOOKUP('Public Expenditure'!$B49,'Local Government'!$B$16:$M$60,'Public Expenditure'!F$1,FALSE),0)</f>
        <v>18202468.969999999</v>
      </c>
      <c r="G49" s="312">
        <f t="shared" si="2"/>
        <v>0.37787193477403413</v>
      </c>
      <c r="H49" s="198">
        <f t="shared" si="3"/>
        <v>2198213.9900000021</v>
      </c>
      <c r="I49" s="199">
        <f t="shared" si="4"/>
        <v>12.076460581380147</v>
      </c>
      <c r="J49" s="197">
        <f>'Cental Budget'!J49</f>
        <v>14196791.939999998</v>
      </c>
      <c r="K49" s="312">
        <f t="shared" si="1"/>
        <v>0.30444769800541693</v>
      </c>
      <c r="L49" s="198">
        <f t="shared" si="5"/>
        <v>6203891.0200000033</v>
      </c>
      <c r="M49" s="199">
        <f t="shared" si="6"/>
        <v>43.699245901606162</v>
      </c>
      <c r="BE49" s="130"/>
      <c r="BF49" s="130"/>
      <c r="BG49" s="116"/>
      <c r="BH49" s="116"/>
      <c r="BI49" s="116"/>
      <c r="BJ49" s="115"/>
    </row>
    <row r="50" spans="1:62" ht="13.5" customHeight="1">
      <c r="B50" s="80">
        <v>423</v>
      </c>
      <c r="C50" s="97" t="s">
        <v>92</v>
      </c>
      <c r="D50" s="197">
        <f>+'Cental Budget'!D50</f>
        <v>420870901.67999995</v>
      </c>
      <c r="E50" s="312">
        <f t="shared" si="0"/>
        <v>8.7370181578127912</v>
      </c>
      <c r="F50" s="197">
        <f>+IF(ISNUMBER(VLOOKUP($B50,'Cental Budget'!$B$16:$K$77,'Public Expenditure'!F$1,FALSE)),VLOOKUP($B50,'Cental Budget'!$B$16:$K$77,'Public Expenditure'!F$1,FALSE),0)+IF(ISNUMBER(VLOOKUP('Public Expenditure'!$B50,'Local Government'!$B$16:$M$60,'Public Expenditure'!F$1,FALSE)),VLOOKUP('Public Expenditure'!$B50,'Local Government'!$B$16:$M$60,'Public Expenditure'!F$1,FALSE),0)</f>
        <v>429025014.44999993</v>
      </c>
      <c r="G50" s="312">
        <f t="shared" si="2"/>
        <v>8.9062924674596733</v>
      </c>
      <c r="H50" s="198">
        <f t="shared" si="3"/>
        <v>-8154112.7699999809</v>
      </c>
      <c r="I50" s="199">
        <f t="shared" si="4"/>
        <v>-1.9006147649580214</v>
      </c>
      <c r="J50" s="197">
        <f>'Cental Budget'!J50</f>
        <v>414750265.80000001</v>
      </c>
      <c r="K50" s="312">
        <f t="shared" si="1"/>
        <v>8.8942462637756172</v>
      </c>
      <c r="L50" s="198">
        <f t="shared" si="5"/>
        <v>6120635.8799999356</v>
      </c>
      <c r="M50" s="199">
        <f t="shared" si="6"/>
        <v>1.4757400741369082</v>
      </c>
      <c r="BE50" s="130"/>
      <c r="BF50" s="130"/>
      <c r="BG50" s="116"/>
      <c r="BH50" s="116"/>
      <c r="BI50" s="116"/>
      <c r="BJ50" s="115"/>
    </row>
    <row r="51" spans="1:62" ht="13.5" customHeight="1">
      <c r="B51" s="80">
        <v>424</v>
      </c>
      <c r="C51" s="97" t="s">
        <v>94</v>
      </c>
      <c r="D51" s="197">
        <f>+'Cental Budget'!D51</f>
        <v>21699290.620000005</v>
      </c>
      <c r="E51" s="312">
        <f t="shared" si="0"/>
        <v>0.4504637773764299</v>
      </c>
      <c r="F51" s="197">
        <f>+IF(ISNUMBER(VLOOKUP($B51,'Cental Budget'!$B$16:$K$77,'Public Expenditure'!F$1,FALSE)),VLOOKUP($B51,'Cental Budget'!$B$16:$K$77,'Public Expenditure'!F$1,FALSE),0)+IF(ISNUMBER(VLOOKUP('Public Expenditure'!$B51,'Local Government'!$B$16:$M$60,'Public Expenditure'!F$1,FALSE)),VLOOKUP('Public Expenditure'!$B51,'Local Government'!$B$16:$M$60,'Public Expenditure'!F$1,FALSE),0)</f>
        <v>19000100</v>
      </c>
      <c r="G51" s="312">
        <f t="shared" si="2"/>
        <v>0.39443025886944422</v>
      </c>
      <c r="H51" s="198">
        <f t="shared" si="3"/>
        <v>2699190.6200000048</v>
      </c>
      <c r="I51" s="199">
        <f t="shared" si="4"/>
        <v>14.206191651622916</v>
      </c>
      <c r="J51" s="197">
        <f>'Cental Budget'!J51</f>
        <v>20004829.280000001</v>
      </c>
      <c r="K51" s="312">
        <f t="shared" si="1"/>
        <v>0.42900003388282126</v>
      </c>
      <c r="L51" s="198">
        <f t="shared" si="5"/>
        <v>1694461.3400000036</v>
      </c>
      <c r="M51" s="199">
        <f t="shared" si="6"/>
        <v>8.4702614367924411</v>
      </c>
      <c r="BE51" s="130"/>
      <c r="BF51" s="130"/>
      <c r="BG51" s="116"/>
      <c r="BH51" s="116"/>
      <c r="BI51" s="116"/>
      <c r="BJ51" s="115"/>
    </row>
    <row r="52" spans="1:62" ht="13.5" customHeight="1">
      <c r="B52" s="80">
        <v>425</v>
      </c>
      <c r="C52" s="97" t="s">
        <v>431</v>
      </c>
      <c r="D52" s="197">
        <f>+'Cental Budget'!D52</f>
        <v>11523436.590000002</v>
      </c>
      <c r="E52" s="312">
        <f t="shared" si="0"/>
        <v>0.23921937659587719</v>
      </c>
      <c r="F52" s="197">
        <f>+IF(ISNUMBER(VLOOKUP($B52,'Cental Budget'!$B$16:$K$77,'Public Expenditure'!F$1,FALSE)),VLOOKUP($B52,'Cental Budget'!$B$16:$K$77,'Public Expenditure'!F$1,FALSE),0)+IF(ISNUMBER(VLOOKUP('Public Expenditure'!$B52,'Local Government'!$B$16:$M$60,'Public Expenditure'!F$1,FALSE)),VLOOKUP('Public Expenditure'!$B52,'Local Government'!$B$16:$M$60,'Public Expenditure'!F$1,FALSE),0)</f>
        <v>10625001</v>
      </c>
      <c r="G52" s="312">
        <f t="shared" si="2"/>
        <v>0.22056841253036058</v>
      </c>
      <c r="H52" s="198">
        <f t="shared" si="3"/>
        <v>898435.59000000171</v>
      </c>
      <c r="I52" s="199">
        <f t="shared" si="4"/>
        <v>8.455863580624623</v>
      </c>
      <c r="J52" s="197">
        <f>'Cental Budget'!J52</f>
        <v>13238899.98</v>
      </c>
      <c r="K52" s="312">
        <f t="shared" si="1"/>
        <v>0.28390587395161621</v>
      </c>
      <c r="L52" s="198">
        <f t="shared" si="5"/>
        <v>-1715463.3899999987</v>
      </c>
      <c r="M52" s="199">
        <f t="shared" si="6"/>
        <v>-12.957748699601552</v>
      </c>
      <c r="BE52" s="130"/>
      <c r="BF52" s="130"/>
      <c r="BG52" s="116"/>
      <c r="BH52" s="116"/>
      <c r="BI52" s="116"/>
      <c r="BJ52" s="115"/>
    </row>
    <row r="53" spans="1:62" ht="13.5" customHeight="1" thickBot="1">
      <c r="A53" s="80">
        <v>43</v>
      </c>
      <c r="B53" s="80">
        <v>43</v>
      </c>
      <c r="C53" s="93" t="s">
        <v>432</v>
      </c>
      <c r="D53" s="201">
        <f>+'Cental Budget'!D53+'Local Government'!D39</f>
        <v>275035164.57999998</v>
      </c>
      <c r="E53" s="313">
        <f t="shared" si="0"/>
        <v>5.7095589582944095</v>
      </c>
      <c r="F53" s="201">
        <f>+'Cental Budget'!F53+'Local Government'!F39</f>
        <v>268212677.15586001</v>
      </c>
      <c r="G53" s="313">
        <f t="shared" si="2"/>
        <v>5.5679283626219096</v>
      </c>
      <c r="H53" s="202">
        <f t="shared" si="3"/>
        <v>6822487.4241399765</v>
      </c>
      <c r="I53" s="196">
        <f t="shared" si="4"/>
        <v>2.5436856663473009</v>
      </c>
      <c r="J53" s="201">
        <f>+'Cental Budget'!J53+'Local Government'!J39</f>
        <v>261359716.31999996</v>
      </c>
      <c r="K53" s="313">
        <f t="shared" si="1"/>
        <v>5.6048129972786516</v>
      </c>
      <c r="L53" s="202">
        <f t="shared" si="5"/>
        <v>13675448.26000002</v>
      </c>
      <c r="M53" s="196">
        <f t="shared" si="6"/>
        <v>5.2324238993496124</v>
      </c>
      <c r="BE53" s="130"/>
      <c r="BF53" s="130"/>
      <c r="BG53" s="116"/>
      <c r="BH53" s="116"/>
      <c r="BI53" s="116"/>
      <c r="BJ53" s="115"/>
    </row>
    <row r="54" spans="1:62" ht="13.5" customHeight="1" thickTop="1" thickBot="1">
      <c r="B54" s="80">
        <v>44</v>
      </c>
      <c r="C54" s="138" t="s">
        <v>130</v>
      </c>
      <c r="D54" s="203">
        <f>'Cental Budget'!D56+'Local Government'!D40</f>
        <v>338794913.36000001</v>
      </c>
      <c r="E54" s="310">
        <f t="shared" si="0"/>
        <v>7.0331716875298422</v>
      </c>
      <c r="F54" s="203">
        <f>+IF(ISNUMBER(VLOOKUP($B54,'Cental Budget'!$B$16:$K$77,'Public Expenditure'!F$1,FALSE)),VLOOKUP($B54,'Cental Budget'!$B$16:$K$77,'Public Expenditure'!F$1,FALSE),0)+IF(ISNUMBER(VLOOKUP('Public Expenditure'!$B54,'Local Government'!$B$16:$M$60,'Public Expenditure'!F$1,FALSE)),VLOOKUP('Public Expenditure'!$B54,'Local Government'!$B$16:$M$60,'Public Expenditure'!F$1,FALSE),0)</f>
        <v>347510074.47109997</v>
      </c>
      <c r="G54" s="310">
        <f t="shared" si="2"/>
        <v>7.2140930117934019</v>
      </c>
      <c r="H54" s="203">
        <f t="shared" si="3"/>
        <v>-8715161.1110999584</v>
      </c>
      <c r="I54" s="192">
        <f t="shared" si="4"/>
        <v>-2.5078873250981815</v>
      </c>
      <c r="J54" s="203">
        <f>+IF(ISNUMBER(VLOOKUP($B54,'Cental Budget'!$B$16:$K$77,'Public Expenditure'!J$1,FALSE)),VLOOKUP($B54,'Cental Budget'!$B$16:$K$77,'Public Expenditure'!J$1,FALSE),0)+IF(ISNUMBER(VLOOKUP('Public Expenditure'!$B54,'Local Government'!$B$16:$M$60,'Public Expenditure'!J$1,FALSE)),VLOOKUP('Public Expenditure'!$B54,'Local Government'!$B$16:$M$60,'Public Expenditure'!J$1,FALSE),0)</f>
        <v>296705257.70000005</v>
      </c>
      <c r="K54" s="310">
        <f t="shared" si="1"/>
        <v>6.3627918951433919</v>
      </c>
      <c r="L54" s="203">
        <f t="shared" si="5"/>
        <v>42089655.659999967</v>
      </c>
      <c r="M54" s="192">
        <f t="shared" si="6"/>
        <v>14.185679076356976</v>
      </c>
      <c r="BE54" s="130"/>
      <c r="BF54" s="130"/>
      <c r="BG54" s="116"/>
      <c r="BH54" s="116"/>
      <c r="BI54" s="116"/>
      <c r="BJ54" s="115"/>
    </row>
    <row r="55" spans="1:62" ht="13.5" customHeight="1" thickTop="1">
      <c r="B55" s="80">
        <v>451</v>
      </c>
      <c r="C55" s="93" t="s">
        <v>110</v>
      </c>
      <c r="D55" s="193">
        <f>'Cental Budget'!D57+'Local Government'!D41</f>
        <v>5762091.1699999999</v>
      </c>
      <c r="E55" s="313">
        <f t="shared" si="0"/>
        <v>0.11961742895102863</v>
      </c>
      <c r="F55" s="193">
        <f>+IF(ISNUMBER(VLOOKUP($B55,'Cental Budget'!$B$16:$K$77,'Public Expenditure'!F$1,FALSE)),VLOOKUP($B55,'Cental Budget'!$B$16:$K$77,'Public Expenditure'!F$1,FALSE),0)+IF(ISNUMBER(VLOOKUP('Public Expenditure'!$B55,'Local Government'!$B$16:$M$60,'Public Expenditure'!F$1,FALSE)),VLOOKUP('Public Expenditure'!$B55,'Local Government'!$B$16:$M$60,'Public Expenditure'!F$1,FALSE),0)</f>
        <v>3810000.9999999995</v>
      </c>
      <c r="G55" s="313">
        <f t="shared" si="2"/>
        <v>7.9093251126196251E-2</v>
      </c>
      <c r="H55" s="194">
        <f t="shared" si="3"/>
        <v>1952090.1700000004</v>
      </c>
      <c r="I55" s="196">
        <f t="shared" si="4"/>
        <v>51.235949019435964</v>
      </c>
      <c r="J55" s="193">
        <f>+IF(ISNUMBER(VLOOKUP($B55,'Cental Budget'!$B$16:$K$77,'Public Expenditure'!J$1,FALSE)),VLOOKUP($B55,'Cental Budget'!$B$16:$K$77,'Public Expenditure'!J$1,FALSE),0)+IF(ISNUMBER(VLOOKUP('Public Expenditure'!$B55,'Local Government'!$B$16:$M$60,'Public Expenditure'!J$1,FALSE)),VLOOKUP('Public Expenditure'!$B55,'Local Government'!$B$16:$M$60,'Public Expenditure'!J$1,FALSE),0)</f>
        <v>6150459.5899999999</v>
      </c>
      <c r="K55" s="313">
        <f t="shared" si="1"/>
        <v>0.13189552060525869</v>
      </c>
      <c r="L55" s="194">
        <f t="shared" si="5"/>
        <v>-388368.41999999993</v>
      </c>
      <c r="M55" s="196">
        <f t="shared" si="6"/>
        <v>-6.3144617782945289</v>
      </c>
      <c r="BE55" s="130"/>
      <c r="BF55" s="130"/>
      <c r="BG55" s="116"/>
      <c r="BH55" s="116"/>
      <c r="BI55" s="116"/>
      <c r="BJ55" s="115"/>
    </row>
    <row r="56" spans="1:62" ht="13.5" customHeight="1" thickBot="1">
      <c r="B56" s="80">
        <v>47</v>
      </c>
      <c r="C56" s="93" t="s">
        <v>117</v>
      </c>
      <c r="D56" s="193">
        <f>'Cental Budget'!D58+'Local Government'!D42</f>
        <v>27494021.289999995</v>
      </c>
      <c r="E56" s="313">
        <f t="shared" si="0"/>
        <v>0.5707587820472898</v>
      </c>
      <c r="F56" s="193">
        <f>+IF(ISNUMBER(VLOOKUP($B56,'Cental Budget'!$B$16:$K$77,'Public Expenditure'!F$1,FALSE)),VLOOKUP($B56,'Cental Budget'!$B$16:$K$77,'Public Expenditure'!F$1,FALSE),0)+IF(ISNUMBER(VLOOKUP('Public Expenditure'!$B56,'Local Government'!$B$16:$M$60,'Public Expenditure'!F$1,FALSE)),VLOOKUP('Public Expenditure'!$B56,'Local Government'!$B$16:$M$60,'Public Expenditure'!F$1,FALSE),0)</f>
        <v>27076853.211387996</v>
      </c>
      <c r="G56" s="313">
        <f t="shared" si="2"/>
        <v>0.56209863219339429</v>
      </c>
      <c r="H56" s="194">
        <f t="shared" si="3"/>
        <v>417168.07861199975</v>
      </c>
      <c r="I56" s="196">
        <f t="shared" si="4"/>
        <v>1.5406815384165355</v>
      </c>
      <c r="J56" s="193">
        <f>+IF(ISNUMBER(VLOOKUP($B56,'Cental Budget'!$B$16:$K$77,'Public Expenditure'!J$1,FALSE)),VLOOKUP($B56,'Cental Budget'!$B$16:$K$77,'Public Expenditure'!J$1,FALSE),0)+IF(ISNUMBER(VLOOKUP('Public Expenditure'!$B56,'Local Government'!$B$16:$M$60,'Public Expenditure'!J$1,FALSE)),VLOOKUP('Public Expenditure'!$B56,'Local Government'!$B$16:$M$60,'Public Expenditure'!J$1,FALSE),0)</f>
        <v>27174621.34</v>
      </c>
      <c r="K56" s="313">
        <f t="shared" si="1"/>
        <v>0.5827549594371163</v>
      </c>
      <c r="L56" s="194">
        <f t="shared" si="5"/>
        <v>319399.94999999553</v>
      </c>
      <c r="M56" s="196">
        <f t="shared" si="6"/>
        <v>1.175361179844117</v>
      </c>
      <c r="BE56" s="130"/>
      <c r="BF56" s="130"/>
      <c r="BG56" s="116"/>
      <c r="BH56" s="116"/>
      <c r="BI56" s="116"/>
      <c r="BJ56" s="115"/>
    </row>
    <row r="57" spans="1:62" ht="13.5" customHeight="1" thickTop="1" thickBot="1">
      <c r="B57" s="80">
        <v>462</v>
      </c>
      <c r="C57" s="119" t="s">
        <v>112</v>
      </c>
      <c r="D57" s="204">
        <f>'Cental Budget'!D59+'Local Government'!D43</f>
        <v>38684699.409999996</v>
      </c>
      <c r="E57" s="314">
        <f t="shared" si="0"/>
        <v>0.80307029976541888</v>
      </c>
      <c r="F57" s="204">
        <f>+IF(ISNUMBER(VLOOKUP($B57,'Cental Budget'!$B$16:$K$77,'Public Expenditure'!F$1,FALSE)),VLOOKUP($B57,'Cental Budget'!$B$16:$K$77,'Public Expenditure'!F$1,FALSE),0)+IF(ISNUMBER(VLOOKUP('Public Expenditure'!$B57,'Local Government'!$B$16:$M$60,'Public Expenditure'!F$1,FALSE)),VLOOKUP('Public Expenditure'!$B57,'Local Government'!$B$16:$M$60,'Public Expenditure'!F$1,FALSE),0)</f>
        <v>9434672.4100000001</v>
      </c>
      <c r="G57" s="314">
        <f t="shared" si="2"/>
        <v>0.19585793132797744</v>
      </c>
      <c r="H57" s="205">
        <f t="shared" si="3"/>
        <v>29250026.999999996</v>
      </c>
      <c r="I57" s="184">
        <f t="shared" si="4"/>
        <v>310.02694877881822</v>
      </c>
      <c r="J57" s="204">
        <f>+IF(ISNUMBER(VLOOKUP($B57,'Cental Budget'!$B$16:$K$77,'Public Expenditure'!J$1,FALSE)),VLOOKUP($B57,'Cental Budget'!$B$16:$K$77,'Public Expenditure'!J$1,FALSE),0)+IF(ISNUMBER(VLOOKUP('Public Expenditure'!$B57,'Local Government'!$B$16:$M$60,'Public Expenditure'!J$1,FALSE)),VLOOKUP('Public Expenditure'!$B57,'Local Government'!$B$16:$M$60,'Public Expenditure'!J$1,FALSE),0)</f>
        <v>0</v>
      </c>
      <c r="K57" s="314">
        <f t="shared" si="1"/>
        <v>0</v>
      </c>
      <c r="L57" s="205">
        <f t="shared" si="5"/>
        <v>38684699.409999996</v>
      </c>
      <c r="M57" s="206" t="e">
        <f t="shared" si="6"/>
        <v>#DIV/0!</v>
      </c>
      <c r="BE57" s="130"/>
      <c r="BF57" s="130"/>
      <c r="BG57" s="116"/>
      <c r="BH57" s="116"/>
      <c r="BI57" s="116"/>
      <c r="BJ57" s="115"/>
    </row>
    <row r="58" spans="1:62" ht="13.5" customHeight="1" thickTop="1" thickBot="1">
      <c r="B58" s="166" t="s">
        <v>447</v>
      </c>
      <c r="C58" s="161" t="s">
        <v>115</v>
      </c>
      <c r="D58" s="207">
        <f>'Cental Budget'!D60+'Local Government'!D44</f>
        <v>20693842.879999995</v>
      </c>
      <c r="E58" s="315">
        <f>D58/D$11*100</f>
        <v>0.42959130763322323</v>
      </c>
      <c r="F58" s="207">
        <f>'Cental Budget'!F60+'Local Government'!F44</f>
        <v>18529999</v>
      </c>
      <c r="G58" s="315">
        <f>F58/D$11*100</f>
        <v>0.38467125448921552</v>
      </c>
      <c r="H58" s="208">
        <f>+D58-F58</f>
        <v>2163843.8799999952</v>
      </c>
      <c r="I58" s="184">
        <f t="shared" si="4"/>
        <v>11.677517521722464</v>
      </c>
      <c r="J58" s="207">
        <f>'Cental Budget'!J60+'Local Government'!J44</f>
        <v>67630971.920000017</v>
      </c>
      <c r="K58" s="315">
        <f>J58/J$11*100</f>
        <v>1.4503342587489523</v>
      </c>
      <c r="L58" s="208">
        <f>+D58-J58</f>
        <v>-46937129.040000021</v>
      </c>
      <c r="M58" s="209">
        <f>+D58/J58*100-100</f>
        <v>-69.401825387814142</v>
      </c>
      <c r="BE58" s="130"/>
      <c r="BF58" s="130"/>
      <c r="BG58" s="116"/>
      <c r="BH58" s="116"/>
      <c r="BI58" s="116"/>
      <c r="BJ58" s="115"/>
    </row>
    <row r="59" spans="1:62" ht="13.5" customHeight="1" thickTop="1" thickBot="1">
      <c r="B59" s="80">
        <v>990</v>
      </c>
      <c r="C59" s="118" t="s">
        <v>151</v>
      </c>
      <c r="D59" s="193">
        <f>'Cental Budget'!D61+'Local Government'!D45</f>
        <v>0</v>
      </c>
      <c r="E59" s="313">
        <f t="shared" si="0"/>
        <v>0</v>
      </c>
      <c r="F59" s="193">
        <f>+IF(ISNUMBER(VLOOKUP($B59,'Cental Budget'!$B$16:$K$77,'Public Expenditure'!F$1,FALSE)),VLOOKUP($B59,'Cental Budget'!$B$16:$K$77,'Public Expenditure'!F$1,FALSE),0)+IF(ISNUMBER(VLOOKUP('Public Expenditure'!$B59,'Local Government'!$B$16:$M$60,'Public Expenditure'!F$1,FALSE)),VLOOKUP('Public Expenditure'!$B59,'Local Government'!$B$16:$M$60,'Public Expenditure'!F$1,FALSE),0)</f>
        <v>0</v>
      </c>
      <c r="G59" s="313">
        <f t="shared" si="2"/>
        <v>0</v>
      </c>
      <c r="H59" s="194">
        <f t="shared" si="3"/>
        <v>0</v>
      </c>
      <c r="I59" s="184" t="e">
        <f t="shared" si="4"/>
        <v>#DIV/0!</v>
      </c>
      <c r="J59" s="193">
        <f>+IF(ISNUMBER(VLOOKUP($B59,'Cental Budget'!$B$16:$K$77,'Public Expenditure'!J$1,FALSE)),VLOOKUP($B59,'Cental Budget'!$B$16:$K$77,'Public Expenditure'!J$1,FALSE),0)+IF(ISNUMBER(VLOOKUP('Public Expenditure'!$B59,'Local Government'!$B$16:$M$60,'Public Expenditure'!J$1,FALSE)),VLOOKUP('Public Expenditure'!$B59,'Local Government'!$B$16:$M$60,'Public Expenditure'!J$1,FALSE),0)</f>
        <v>30343196.359999999</v>
      </c>
      <c r="K59" s="313">
        <f t="shared" si="1"/>
        <v>0.65070449161829069</v>
      </c>
      <c r="L59" s="194">
        <f t="shared" si="5"/>
        <v>-30343196.359999999</v>
      </c>
      <c r="M59" s="196">
        <f t="shared" si="6"/>
        <v>-100</v>
      </c>
      <c r="BE59" s="130"/>
      <c r="BF59" s="130"/>
      <c r="BG59" s="116"/>
      <c r="BH59" s="116"/>
      <c r="BI59" s="116"/>
      <c r="BJ59" s="115"/>
    </row>
    <row r="60" spans="1:62" ht="13.5" customHeight="1" thickTop="1" thickBot="1">
      <c r="C60" s="138" t="s">
        <v>131</v>
      </c>
      <c r="D60" s="200">
        <f>+D15-D35</f>
        <v>-97588708.240000248</v>
      </c>
      <c r="E60" s="310">
        <f t="shared" si="0"/>
        <v>-2.0258808876710108</v>
      </c>
      <c r="F60" s="200">
        <f>+F15-F35</f>
        <v>-103420238.19577098</v>
      </c>
      <c r="G60" s="310">
        <f t="shared" si="2"/>
        <v>-2.1469398226271199</v>
      </c>
      <c r="H60" s="200">
        <f>+D60-F60</f>
        <v>5831529.955770731</v>
      </c>
      <c r="I60" s="192">
        <f t="shared" si="4"/>
        <v>-5.6386738780584267</v>
      </c>
      <c r="J60" s="200">
        <f>+J15-J35</f>
        <v>-182962340.25399971</v>
      </c>
      <c r="K60" s="310">
        <f>J60/J$11*100</f>
        <v>-3.9235951014447314</v>
      </c>
      <c r="L60" s="200">
        <f t="shared" si="5"/>
        <v>85373632.013999462</v>
      </c>
      <c r="M60" s="192">
        <f t="shared" si="6"/>
        <v>-46.661860520300777</v>
      </c>
      <c r="N60" s="168"/>
      <c r="O60" s="168"/>
      <c r="BE60" s="130"/>
      <c r="BF60" s="130"/>
      <c r="BG60" s="116"/>
      <c r="BH60" s="116"/>
      <c r="BI60" s="116"/>
      <c r="BJ60" s="115"/>
    </row>
    <row r="61" spans="1:62" ht="13.5" customHeight="1" thickTop="1" thickBot="1">
      <c r="C61" s="138" t="s">
        <v>469</v>
      </c>
      <c r="D61" s="200">
        <f>D60-D59</f>
        <v>-97588708.240000248</v>
      </c>
      <c r="E61" s="310">
        <f t="shared" si="0"/>
        <v>-2.0258808876710108</v>
      </c>
      <c r="F61" s="200">
        <f>F60-F59</f>
        <v>-103420238.19577098</v>
      </c>
      <c r="G61" s="310">
        <f t="shared" si="2"/>
        <v>-2.1469398226271199</v>
      </c>
      <c r="H61" s="200">
        <f>+D61-F61</f>
        <v>5831529.955770731</v>
      </c>
      <c r="I61" s="192">
        <f t="shared" si="4"/>
        <v>-5.6386738780584267</v>
      </c>
      <c r="J61" s="200">
        <f>J60-J59</f>
        <v>-213305536.61399972</v>
      </c>
      <c r="K61" s="310">
        <f>J61/J$11*100</f>
        <v>-4.5742995930630226</v>
      </c>
      <c r="L61" s="200">
        <f t="shared" ref="L61" si="7">+D61-J61</f>
        <v>115716828.37399948</v>
      </c>
      <c r="M61" s="192">
        <f t="shared" ref="M61" si="8">+D61/J61*100-100</f>
        <v>-54.24933183211369</v>
      </c>
      <c r="N61" s="162"/>
      <c r="O61" s="168"/>
      <c r="BE61" s="130"/>
      <c r="BF61" s="130"/>
      <c r="BG61" s="116"/>
      <c r="BH61" s="116"/>
      <c r="BI61" s="116"/>
      <c r="BJ61" s="115"/>
    </row>
    <row r="62" spans="1:62" ht="13.5" customHeight="1" thickTop="1" thickBot="1">
      <c r="C62" s="138" t="s">
        <v>468</v>
      </c>
      <c r="D62" s="200">
        <f>+D60+D42</f>
        <v>11836337.479999751</v>
      </c>
      <c r="E62" s="310">
        <f t="shared" si="0"/>
        <v>0.24571500446326108</v>
      </c>
      <c r="F62" s="200">
        <f>+F60+F42</f>
        <v>-3194205.6648309976</v>
      </c>
      <c r="G62" s="310">
        <f t="shared" si="2"/>
        <v>-6.630972296259155E-2</v>
      </c>
      <c r="H62" s="200">
        <f t="shared" si="3"/>
        <v>15030543.144830748</v>
      </c>
      <c r="I62" s="192" t="s">
        <v>467</v>
      </c>
      <c r="J62" s="200">
        <f>+J61+J42</f>
        <v>-112376213.57399975</v>
      </c>
      <c r="K62" s="310">
        <f t="shared" si="1"/>
        <v>-2.4098880703304379</v>
      </c>
      <c r="L62" s="200">
        <f t="shared" si="5"/>
        <v>124212551.0539995</v>
      </c>
      <c r="M62" s="192" t="s">
        <v>467</v>
      </c>
      <c r="O62" s="168"/>
      <c r="BE62" s="130"/>
      <c r="BF62" s="130"/>
      <c r="BG62" s="116"/>
      <c r="BH62" s="116"/>
      <c r="BI62" s="116"/>
      <c r="BJ62" s="115"/>
    </row>
    <row r="63" spans="1:62" ht="13.5" customHeight="1" thickTop="1" thickBot="1">
      <c r="C63" s="138" t="s">
        <v>0</v>
      </c>
      <c r="D63" s="200">
        <f>+SUM(D64:D66)</f>
        <v>573786914.00999999</v>
      </c>
      <c r="E63" s="310">
        <f t="shared" si="0"/>
        <v>11.911459467521953</v>
      </c>
      <c r="F63" s="200">
        <f>+SUM(F64:F66)</f>
        <v>430600000</v>
      </c>
      <c r="G63" s="310">
        <f t="shared" si="2"/>
        <v>8.9389881879138908</v>
      </c>
      <c r="H63" s="200">
        <v>0</v>
      </c>
      <c r="I63" s="192">
        <f t="shared" si="4"/>
        <v>33.252882956339988</v>
      </c>
      <c r="J63" s="200">
        <f>+SUM(J64:J65)</f>
        <v>712600976.18000007</v>
      </c>
      <c r="K63" s="310">
        <f t="shared" si="1"/>
        <v>15.281602189516486</v>
      </c>
      <c r="L63" s="200">
        <f t="shared" si="5"/>
        <v>-138814062.17000008</v>
      </c>
      <c r="M63" s="192">
        <f t="shared" si="6"/>
        <v>-19.479914680180883</v>
      </c>
      <c r="O63" s="168"/>
      <c r="BE63" s="130"/>
      <c r="BF63" s="130"/>
      <c r="BG63" s="116"/>
      <c r="BH63" s="116"/>
      <c r="BI63" s="116"/>
      <c r="BJ63" s="115"/>
    </row>
    <row r="64" spans="1:62" ht="13.5" customHeight="1" thickTop="1">
      <c r="B64" s="80">
        <v>4611</v>
      </c>
      <c r="C64" s="97" t="s">
        <v>134</v>
      </c>
      <c r="D64" s="197">
        <f>'Cental Budget'!D66+'Local Government'!D50</f>
        <v>193627141.27999997</v>
      </c>
      <c r="E64" s="312">
        <f t="shared" si="0"/>
        <v>4.019579026385169</v>
      </c>
      <c r="F64" s="197">
        <f>+IF(ISNUMBER(VLOOKUP($B64,'Cental Budget'!$B$16:$K$77,'Public Expenditure'!F$1,FALSE)),VLOOKUP($B64,'Cental Budget'!$B$16:$K$77,'Public Expenditure'!F$1,FALSE),0)+IF(ISNUMBER(VLOOKUP('Public Expenditure'!$B64,'Local Government'!$B$16:$M$60,'Public Expenditure'!F$1,FALSE)),VLOOKUP('Public Expenditure'!$B64,'Local Government'!$B$16:$M$60,'Public Expenditure'!F$1,FALSE),0)</f>
        <v>57100000.039999999</v>
      </c>
      <c r="G64" s="312">
        <f t="shared" si="2"/>
        <v>1.1853604874301966</v>
      </c>
      <c r="H64" s="198">
        <f t="shared" si="3"/>
        <v>136527141.23999998</v>
      </c>
      <c r="I64" s="199">
        <f t="shared" si="4"/>
        <v>239.1018233701563</v>
      </c>
      <c r="J64" s="197">
        <f>+IF(ISNUMBER(VLOOKUP($B64,'Cental Budget'!$B$16:$K$77,'Public Expenditure'!J$1,FALSE)),VLOOKUP($B64,'Cental Budget'!$B$16:$K$77,'Public Expenditure'!J$1,FALSE),0)+IF(ISNUMBER(VLOOKUP('Public Expenditure'!$B64,'Local Government'!$B$16:$M$60,'Public Expenditure'!J$1,FALSE)),VLOOKUP('Public Expenditure'!$B64,'Local Government'!$B$16:$M$60,'Public Expenditure'!J$1,FALSE),0)</f>
        <v>248695524.47000003</v>
      </c>
      <c r="K64" s="312">
        <f t="shared" si="1"/>
        <v>5.3332316377626192</v>
      </c>
      <c r="L64" s="198">
        <f t="shared" si="5"/>
        <v>-55068383.190000057</v>
      </c>
      <c r="M64" s="199">
        <f t="shared" si="6"/>
        <v>-22.142892722881683</v>
      </c>
      <c r="BE64" s="130"/>
      <c r="BF64" s="130"/>
      <c r="BG64" s="116"/>
      <c r="BH64" s="116"/>
      <c r="BI64" s="116"/>
      <c r="BJ64" s="115"/>
    </row>
    <row r="65" spans="2:62" ht="13.5" customHeight="1">
      <c r="B65" s="80">
        <v>4612</v>
      </c>
      <c r="C65" s="97" t="s">
        <v>136</v>
      </c>
      <c r="D65" s="197">
        <f>'Cental Budget'!D67+'Local Government'!D51</f>
        <v>331064122.48000002</v>
      </c>
      <c r="E65" s="312">
        <f t="shared" si="0"/>
        <v>6.8726852770339004</v>
      </c>
      <c r="F65" s="197">
        <f>+IF(ISNUMBER(VLOOKUP($B65,'Cental Budget'!$B$16:$K$77,'Public Expenditure'!F$1,FALSE)),VLOOKUP($B65,'Cental Budget'!$B$16:$K$77,'Public Expenditure'!F$1,FALSE),0)+IF(ISNUMBER(VLOOKUP('Public Expenditure'!$B65,'Local Government'!$B$16:$M$60,'Public Expenditure'!F$1,FALSE)),VLOOKUP('Public Expenditure'!$B65,'Local Government'!$B$16:$M$60,'Public Expenditure'!F$1,FALSE),0)</f>
        <v>333499999.95999998</v>
      </c>
      <c r="G65" s="312">
        <f t="shared" si="2"/>
        <v>6.9232525785223471</v>
      </c>
      <c r="H65" s="198">
        <f t="shared" si="3"/>
        <v>-2435877.4799999595</v>
      </c>
      <c r="I65" s="199">
        <f t="shared" si="4"/>
        <v>-0.73039804506510109</v>
      </c>
      <c r="J65" s="197">
        <f>+IF(ISNUMBER(VLOOKUP($B65,'Cental Budget'!$B$16:$K$77,'Public Expenditure'!J$1,FALSE)),VLOOKUP($B65,'Cental Budget'!$B$16:$K$77,'Public Expenditure'!J$1,FALSE),0)+IF(ISNUMBER(VLOOKUP('Public Expenditure'!$B65,'Local Government'!$B$16:$M$60,'Public Expenditure'!J$1,FALSE)),VLOOKUP('Public Expenditure'!$B65,'Local Government'!$B$16:$M$60,'Public Expenditure'!J$1,FALSE),0)</f>
        <v>463905451.70999998</v>
      </c>
      <c r="K65" s="312">
        <f t="shared" si="1"/>
        <v>9.9483705517538645</v>
      </c>
      <c r="L65" s="198">
        <f t="shared" si="5"/>
        <v>-132841329.22999996</v>
      </c>
      <c r="M65" s="199">
        <f t="shared" si="6"/>
        <v>-28.635431797650597</v>
      </c>
      <c r="BE65" s="130"/>
      <c r="BF65" s="130"/>
      <c r="BG65" s="116"/>
      <c r="BH65" s="116"/>
      <c r="BI65" s="116"/>
      <c r="BJ65" s="115"/>
    </row>
    <row r="66" spans="2:62" ht="13.5" customHeight="1" thickBot="1">
      <c r="B66" s="166" t="s">
        <v>447</v>
      </c>
      <c r="C66" s="167" t="s">
        <v>115</v>
      </c>
      <c r="D66" s="197">
        <f>'Cental Budget'!D68+'Local Government'!D52</f>
        <v>49095650.250000007</v>
      </c>
      <c r="E66" s="312">
        <f t="shared" si="0"/>
        <v>1.0191951641028838</v>
      </c>
      <c r="F66" s="197">
        <f>'Cental Budget'!F68+'Local Government'!F52</f>
        <v>40000000</v>
      </c>
      <c r="G66" s="312">
        <f t="shared" si="2"/>
        <v>0.83037512196134611</v>
      </c>
      <c r="H66" s="198">
        <f t="shared" si="3"/>
        <v>9095650.2500000075</v>
      </c>
      <c r="I66" s="199">
        <f t="shared" si="4"/>
        <v>22.739125625000028</v>
      </c>
      <c r="J66" s="197">
        <f>'Cental Budget'!J68+'Local Government'!J52</f>
        <v>0</v>
      </c>
      <c r="K66" s="312">
        <f t="shared" si="1"/>
        <v>0</v>
      </c>
      <c r="L66" s="198">
        <f t="shared" si="5"/>
        <v>49095650.250000007</v>
      </c>
      <c r="M66" s="199" t="e">
        <f t="shared" si="6"/>
        <v>#DIV/0!</v>
      </c>
      <c r="BE66" s="130"/>
      <c r="BF66" s="130"/>
      <c r="BG66" s="116"/>
      <c r="BH66" s="116"/>
      <c r="BI66" s="116"/>
      <c r="BJ66" s="115"/>
    </row>
    <row r="67" spans="2:62" ht="13.5" customHeight="1" thickTop="1" thickBot="1">
      <c r="C67" s="138" t="s">
        <v>466</v>
      </c>
      <c r="D67" s="200">
        <f>+'Cental Budget'!D69+'Local Government'!D53</f>
        <v>57328698.380000003</v>
      </c>
      <c r="E67" s="310">
        <f t="shared" si="0"/>
        <v>1.190108122729443</v>
      </c>
      <c r="F67" s="200">
        <f>+'Cental Budget'!F69+'Local Government'!F53</f>
        <v>40060000.020000003</v>
      </c>
      <c r="G67" s="310">
        <f t="shared" si="2"/>
        <v>0.83162068505947573</v>
      </c>
      <c r="H67" s="200">
        <f t="shared" si="3"/>
        <v>17268698.359999999</v>
      </c>
      <c r="I67" s="192">
        <f t="shared" si="4"/>
        <v>43.107085250570577</v>
      </c>
      <c r="J67" s="200">
        <f>+'Cental Budget'!J69+'Local Government'!J53</f>
        <v>69245296.659999996</v>
      </c>
      <c r="K67" s="310">
        <f t="shared" si="1"/>
        <v>1.4849531679365575</v>
      </c>
      <c r="L67" s="200">
        <f t="shared" si="5"/>
        <v>-11916598.279999994</v>
      </c>
      <c r="M67" s="192">
        <f t="shared" si="6"/>
        <v>-17.209252981486173</v>
      </c>
      <c r="N67" s="162"/>
      <c r="BE67" s="130"/>
      <c r="BF67" s="130"/>
      <c r="BG67" s="116"/>
      <c r="BH67" s="116"/>
      <c r="BI67" s="116"/>
      <c r="BJ67" s="115"/>
    </row>
    <row r="68" spans="2:62" ht="13.5" customHeight="1" thickTop="1" thickBot="1">
      <c r="C68" s="138" t="s">
        <v>140</v>
      </c>
      <c r="D68" s="200">
        <f>+D60-D63-D67</f>
        <v>-728704320.63000023</v>
      </c>
      <c r="E68" s="310">
        <f t="shared" si="0"/>
        <v>-15.127448477922407</v>
      </c>
      <c r="F68" s="200">
        <f>+F60-F63-F67</f>
        <v>-574080238.21577096</v>
      </c>
      <c r="G68" s="310">
        <f t="shared" si="2"/>
        <v>-11.917548695600486</v>
      </c>
      <c r="H68" s="200">
        <f t="shared" si="3"/>
        <v>-154624082.41422927</v>
      </c>
      <c r="I68" s="192">
        <f t="shared" si="4"/>
        <v>26.93422837455573</v>
      </c>
      <c r="J68" s="200">
        <f>+J61-J63-J67</f>
        <v>-995151809.45399976</v>
      </c>
      <c r="K68" s="310">
        <f t="shared" si="1"/>
        <v>-21.340854950516064</v>
      </c>
      <c r="L68" s="200">
        <f t="shared" si="5"/>
        <v>266447488.82399952</v>
      </c>
      <c r="M68" s="192">
        <f t="shared" si="6"/>
        <v>-26.774557036698624</v>
      </c>
      <c r="N68" s="162"/>
      <c r="O68" s="168"/>
      <c r="BE68" s="130"/>
      <c r="BF68" s="130"/>
      <c r="BG68" s="116"/>
      <c r="BH68" s="116"/>
      <c r="BI68" s="116"/>
      <c r="BJ68" s="115"/>
    </row>
    <row r="69" spans="2:62" ht="13.5" customHeight="1" thickTop="1" thickBot="1">
      <c r="C69" s="138" t="s">
        <v>120</v>
      </c>
      <c r="D69" s="200">
        <f>+SUM(D70:D74)</f>
        <v>728704320.63000023</v>
      </c>
      <c r="E69" s="310">
        <f t="shared" si="0"/>
        <v>15.127448477922407</v>
      </c>
      <c r="F69" s="200">
        <f>+SUM(F70:F74)</f>
        <v>574080238.21577096</v>
      </c>
      <c r="G69" s="310">
        <f t="shared" si="2"/>
        <v>11.917548695600486</v>
      </c>
      <c r="H69" s="200">
        <f t="shared" si="3"/>
        <v>154624082.41422927</v>
      </c>
      <c r="I69" s="192">
        <f t="shared" si="4"/>
        <v>26.93422837455573</v>
      </c>
      <c r="J69" s="200">
        <f>+SUM(J70:J74)+J59</f>
        <v>995151809.45399976</v>
      </c>
      <c r="K69" s="310">
        <f t="shared" si="1"/>
        <v>21.340854950516064</v>
      </c>
      <c r="L69" s="200">
        <f t="shared" si="5"/>
        <v>-266447488.82399952</v>
      </c>
      <c r="M69" s="192">
        <f t="shared" si="6"/>
        <v>-26.774557036698624</v>
      </c>
      <c r="N69" s="162"/>
      <c r="BE69" s="130"/>
      <c r="BF69" s="130"/>
      <c r="BG69" s="116"/>
      <c r="BH69" s="116"/>
      <c r="BI69" s="116"/>
      <c r="BJ69" s="115"/>
    </row>
    <row r="70" spans="2:62" ht="13.5" customHeight="1" thickTop="1">
      <c r="B70" s="80">
        <v>7511</v>
      </c>
      <c r="C70" s="97" t="s">
        <v>143</v>
      </c>
      <c r="D70" s="197">
        <f>'Cental Budget'!D72+'Local Government'!D56</f>
        <v>375277970.31999999</v>
      </c>
      <c r="E70" s="312">
        <f t="shared" si="0"/>
        <v>7.7905372593469098</v>
      </c>
      <c r="F70" s="197">
        <f>+IF(ISNUMBER(VLOOKUP($B70,'Cental Budget'!$B$16:$K$77,'Public Expenditure'!F$1,FALSE)),VLOOKUP($B70,'Cental Budget'!$B$16:$K$77,'Public Expenditure'!F$1,FALSE),0)+IF(ISNUMBER(VLOOKUP('Public Expenditure'!$B70,'Local Government'!$B$16:$M$60,'Public Expenditure'!F$1,FALSE)),VLOOKUP('Public Expenditure'!$B70,'Local Government'!$B$16:$M$60,'Public Expenditure'!F$1,FALSE),0)</f>
        <v>198000000</v>
      </c>
      <c r="G70" s="312">
        <f t="shared" si="2"/>
        <v>4.1103568537086632</v>
      </c>
      <c r="H70" s="198">
        <f t="shared" si="3"/>
        <v>177277970.31999999</v>
      </c>
      <c r="I70" s="199" t="s">
        <v>467</v>
      </c>
      <c r="J70" s="197">
        <f>+IF(ISNUMBER(VLOOKUP($B70,'Cental Budget'!$B$16:$K$77,'Public Expenditure'!J$1,FALSE)),VLOOKUP($B70,'Cental Budget'!$B$16:$K$77,'Public Expenditure'!J$1,FALSE),0)+IF(ISNUMBER(VLOOKUP('Public Expenditure'!$B70,'Local Government'!$B$16:$M$60,'Public Expenditure'!J$1,FALSE)),VLOOKUP('Public Expenditure'!$B70,'Local Government'!$B$16:$M$60,'Public Expenditure'!J$1,FALSE),0)</f>
        <v>222374382.19</v>
      </c>
      <c r="K70" s="312">
        <f t="shared" si="1"/>
        <v>4.7687793861633709</v>
      </c>
      <c r="L70" s="198">
        <f t="shared" si="5"/>
        <v>152903588.13</v>
      </c>
      <c r="M70" s="199">
        <f t="shared" si="6"/>
        <v>68.759533640595748</v>
      </c>
      <c r="N70" s="162"/>
      <c r="O70" s="162"/>
      <c r="BE70" s="130"/>
      <c r="BF70" s="130"/>
      <c r="BG70" s="116"/>
      <c r="BH70" s="116"/>
      <c r="BI70" s="116"/>
      <c r="BJ70" s="115"/>
    </row>
    <row r="71" spans="2:62" ht="13.5" customHeight="1">
      <c r="B71" s="80">
        <v>7512</v>
      </c>
      <c r="C71" s="97" t="s">
        <v>121</v>
      </c>
      <c r="D71" s="197">
        <f>'Cental Budget'!D73+'Local Government'!D57</f>
        <v>657503896.62</v>
      </c>
      <c r="E71" s="312">
        <f t="shared" si="0"/>
        <v>13.649371958647318</v>
      </c>
      <c r="F71" s="197">
        <f>+IF(ISNUMBER(VLOOKUP($B71,'Cental Budget'!$B$16:$K$77,'Public Expenditure'!F$1,FALSE)),VLOOKUP($B71,'Cental Budget'!$B$16:$K$77,'Public Expenditure'!F$1,FALSE),0)+IF(ISNUMBER(VLOOKUP('Public Expenditure'!$B71,'Local Government'!$B$16:$M$60,'Public Expenditure'!F$1,FALSE)),VLOOKUP('Public Expenditure'!$B71,'Local Government'!$B$16:$M$60,'Public Expenditure'!F$1,FALSE),0)</f>
        <v>186405268.74155378</v>
      </c>
      <c r="G71" s="312">
        <f t="shared" si="2"/>
        <v>3.8696574441376299</v>
      </c>
      <c r="H71" s="198">
        <f t="shared" si="3"/>
        <v>471098627.87844622</v>
      </c>
      <c r="I71" s="199">
        <f t="shared" si="4"/>
        <v>252.72817182630854</v>
      </c>
      <c r="J71" s="197">
        <f>+IF(ISNUMBER(VLOOKUP($B71,'Cental Budget'!$B$16:$K$77,'Public Expenditure'!J$1,FALSE)),VLOOKUP($B71,'Cental Budget'!$B$16:$K$77,'Public Expenditure'!J$1,FALSE),0)+IF(ISNUMBER(VLOOKUP('Public Expenditure'!$B71,'Local Government'!$B$16:$M$60,'Public Expenditure'!J$1,FALSE)),VLOOKUP('Public Expenditure'!$B71,'Local Government'!$B$16:$M$60,'Public Expenditure'!J$1,FALSE),0)</f>
        <v>913137639.71000016</v>
      </c>
      <c r="K71" s="312">
        <f t="shared" si="1"/>
        <v>19.582075552472268</v>
      </c>
      <c r="L71" s="198">
        <f t="shared" si="5"/>
        <v>-255633743.09000015</v>
      </c>
      <c r="M71" s="199">
        <f t="shared" si="6"/>
        <v>-27.995094274197911</v>
      </c>
      <c r="N71" s="162"/>
      <c r="O71" s="162"/>
      <c r="BE71" s="130"/>
      <c r="BF71" s="130"/>
      <c r="BG71" s="116"/>
      <c r="BH71" s="116"/>
      <c r="BI71" s="116"/>
      <c r="BJ71" s="115"/>
    </row>
    <row r="72" spans="2:62" ht="13.5" customHeight="1">
      <c r="B72" s="80">
        <v>72</v>
      </c>
      <c r="C72" s="103" t="s">
        <v>328</v>
      </c>
      <c r="D72" s="197">
        <f>'Cental Budget'!D74+'Local Government'!D58</f>
        <v>17249077.170000002</v>
      </c>
      <c r="E72" s="316">
        <f t="shared" si="0"/>
        <v>0.35808011396898554</v>
      </c>
      <c r="F72" s="197">
        <f>+IF(ISNUMBER(VLOOKUP($B72,'Cental Budget'!$B$16:$K$77,'Public Expenditure'!F$1,FALSE)),VLOOKUP($B72,'Cental Budget'!$B$16:$K$77,'Public Expenditure'!F$1,FALSE),0)+IF(ISNUMBER(VLOOKUP('Public Expenditure'!$B72,'Local Government'!$B$16:$M$60,'Public Expenditure'!F$1,FALSE)),VLOOKUP('Public Expenditure'!$B72,'Local Government'!$B$16:$M$60,'Public Expenditure'!F$1,FALSE),0)</f>
        <v>11000000</v>
      </c>
      <c r="G72" s="316">
        <f t="shared" si="2"/>
        <v>0.22835315853937016</v>
      </c>
      <c r="H72" s="198">
        <f t="shared" si="3"/>
        <v>6249077.1700000018</v>
      </c>
      <c r="I72" s="199">
        <f t="shared" si="4"/>
        <v>56.809792454545459</v>
      </c>
      <c r="J72" s="197">
        <f>+IF(ISNUMBER(VLOOKUP($B72,'Cental Budget'!$B$16:$K$77,'Public Expenditure'!J$1,FALSE)),VLOOKUP($B72,'Cental Budget'!$B$16:$K$77,'Public Expenditure'!J$1,FALSE),0)+IF(ISNUMBER(VLOOKUP('Public Expenditure'!$B72,'Local Government'!$B$16:$M$60,'Public Expenditure'!J$1,FALSE)),VLOOKUP('Public Expenditure'!$B72,'Local Government'!$B$16:$M$60,'Public Expenditure'!J$1,FALSE),0)</f>
        <v>23917749.559999999</v>
      </c>
      <c r="K72" s="316">
        <f t="shared" si="1"/>
        <v>0.51291191881847598</v>
      </c>
      <c r="L72" s="198">
        <f t="shared" si="5"/>
        <v>-6668672.3899999969</v>
      </c>
      <c r="M72" s="199">
        <f t="shared" si="6"/>
        <v>-27.881688338909086</v>
      </c>
      <c r="N72" s="162"/>
      <c r="O72" s="162"/>
      <c r="BE72" s="130"/>
      <c r="BF72" s="130"/>
      <c r="BG72" s="116"/>
      <c r="BH72" s="116"/>
      <c r="BI72" s="116"/>
      <c r="BJ72" s="115"/>
    </row>
    <row r="73" spans="2:62" ht="13.5" customHeight="1" thickBot="1">
      <c r="C73" s="103" t="s">
        <v>463</v>
      </c>
      <c r="D73" s="197">
        <f>+'Local Government'!D60</f>
        <v>10058068.65</v>
      </c>
      <c r="E73" s="316">
        <f t="shared" si="0"/>
        <v>0.20879924954848353</v>
      </c>
      <c r="F73" s="197">
        <f>+'Local Government'!F60</f>
        <v>5000000</v>
      </c>
      <c r="G73" s="316">
        <f t="shared" si="2"/>
        <v>0.10379689024516826</v>
      </c>
      <c r="H73" s="198">
        <f t="shared" si="3"/>
        <v>5058068.6500000004</v>
      </c>
      <c r="I73" s="199">
        <f t="shared" si="4"/>
        <v>101.161373</v>
      </c>
      <c r="J73" s="197">
        <f>+'Local Government'!J60</f>
        <v>8622666.9700000007</v>
      </c>
      <c r="K73" s="316">
        <f t="shared" si="1"/>
        <v>0.18491157162678287</v>
      </c>
      <c r="L73" s="198">
        <f t="shared" si="5"/>
        <v>1435401.6799999997</v>
      </c>
      <c r="M73" s="199">
        <f t="shared" si="6"/>
        <v>16.64684122666516</v>
      </c>
      <c r="N73" s="162"/>
      <c r="O73" s="162"/>
      <c r="BE73" s="130"/>
      <c r="BF73" s="130"/>
      <c r="BG73" s="116"/>
      <c r="BH73" s="116"/>
      <c r="BI73" s="116"/>
      <c r="BJ73" s="115"/>
    </row>
    <row r="74" spans="2:62" ht="13.5" customHeight="1" thickTop="1" thickBot="1">
      <c r="C74" s="119" t="s">
        <v>124</v>
      </c>
      <c r="D74" s="210">
        <f>-D68-SUM(D70:D73)</f>
        <v>-331384692.12999976</v>
      </c>
      <c r="E74" s="314">
        <f t="shared" si="0"/>
        <v>-6.8793401035892918</v>
      </c>
      <c r="F74" s="210">
        <f>-F68-SUM(F70:F73)</f>
        <v>173674969.47421718</v>
      </c>
      <c r="G74" s="314">
        <f t="shared" si="2"/>
        <v>3.6053843489696535</v>
      </c>
      <c r="H74" s="211">
        <f t="shared" si="3"/>
        <v>-505059661.60421693</v>
      </c>
      <c r="I74" s="206">
        <f t="shared" si="4"/>
        <v>-290.807399093394</v>
      </c>
      <c r="J74" s="210">
        <f>-J68-SUM(J70:J73)-J59</f>
        <v>-203243825.33600032</v>
      </c>
      <c r="K74" s="314">
        <f t="shared" si="1"/>
        <v>-4.3585279701831245</v>
      </c>
      <c r="L74" s="211">
        <f t="shared" si="5"/>
        <v>-128140866.79399943</v>
      </c>
      <c r="M74" s="206" t="s">
        <v>467</v>
      </c>
      <c r="N74" s="162"/>
      <c r="O74" s="168"/>
      <c r="BE74" s="130"/>
      <c r="BF74" s="130"/>
      <c r="BG74" s="116"/>
      <c r="BH74" s="116"/>
      <c r="BI74" s="116"/>
      <c r="BJ74" s="115"/>
    </row>
    <row r="75" spans="2:62" ht="13.5" thickTop="1">
      <c r="C75" s="106" t="str">
        <f>IF(MasterSheet!$A$1=1,MasterSheet!C151,MasterSheet!B151)</f>
        <v>Izvor: Ministarstvo finansija Crne Gore</v>
      </c>
      <c r="D75" s="212"/>
      <c r="E75" s="212"/>
      <c r="F75" s="212"/>
      <c r="G75" s="212"/>
      <c r="H75" s="212"/>
      <c r="I75" s="212"/>
      <c r="J75" s="212"/>
      <c r="K75" s="212"/>
      <c r="L75" s="212"/>
      <c r="M75" s="212" t="s">
        <v>427</v>
      </c>
    </row>
    <row r="77" spans="2:62">
      <c r="D77" s="213"/>
    </row>
    <row r="80" spans="2:62">
      <c r="D80" s="214"/>
      <c r="F80" s="214"/>
      <c r="J80" s="214"/>
    </row>
  </sheetData>
  <sheetProtection formatCells="0" formatColumns="0" formatRows="0" sort="0" autoFilter="0"/>
  <mergeCells count="12">
    <mergeCell ref="H11:I11"/>
    <mergeCell ref="J11:K11"/>
    <mergeCell ref="L11:M11"/>
    <mergeCell ref="D11:G11"/>
    <mergeCell ref="C13:C14"/>
    <mergeCell ref="D13:E13"/>
    <mergeCell ref="F13:G13"/>
    <mergeCell ref="H13:I13"/>
    <mergeCell ref="J13:K13"/>
    <mergeCell ref="L13:M13"/>
    <mergeCell ref="D12:E12"/>
    <mergeCell ref="J12:K12"/>
  </mergeCells>
  <printOptions horizontalCentered="1" verticalCentered="1"/>
  <pageMargins left="0" right="0" top="0.19685039370078741" bottom="0.19685039370078741" header="0" footer="0"/>
  <pageSetup paperSize="9" scale="1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G59"/>
  <sheetViews>
    <sheetView workbookViewId="0">
      <selection activeCell="F5" sqref="F5"/>
    </sheetView>
  </sheetViews>
  <sheetFormatPr defaultColWidth="9.140625" defaultRowHeight="15"/>
  <cols>
    <col min="1" max="2" width="9.140625" style="29"/>
    <col min="3" max="3" width="51.7109375" style="29" bestFit="1" customWidth="1"/>
    <col min="4" max="4" width="15.42578125" style="29" bestFit="1" customWidth="1"/>
    <col min="5" max="5" width="9.140625" style="29"/>
    <col min="6" max="6" width="15.5703125" style="29" bestFit="1" customWidth="1"/>
    <col min="7" max="7" width="15.42578125" style="29" bestFit="1" customWidth="1"/>
    <col min="8" max="16384" width="9.140625" style="29"/>
  </cols>
  <sheetData>
    <row r="2" spans="2:7" ht="15.75" thickBot="1">
      <c r="D2" s="139" t="s">
        <v>434</v>
      </c>
    </row>
    <row r="3" spans="2:7" ht="55.5" thickTop="1" thickBot="1">
      <c r="B3" s="30" t="s">
        <v>393</v>
      </c>
      <c r="C3" s="31" t="s">
        <v>394</v>
      </c>
      <c r="D3" s="32" t="s">
        <v>395</v>
      </c>
      <c r="G3" s="29" t="s">
        <v>396</v>
      </c>
    </row>
    <row r="4" spans="2:7" ht="16.5" thickTop="1" thickBot="1">
      <c r="B4" s="33">
        <v>7</v>
      </c>
      <c r="C4" s="34" t="s">
        <v>397</v>
      </c>
      <c r="D4" s="35" t="e">
        <f>+D5+D36+D55+D52+D44</f>
        <v>#REF!</v>
      </c>
      <c r="F4" s="70" t="e">
        <f>+#REF!+#REF!+#REF!+#REF!+#REF!</f>
        <v>#REF!</v>
      </c>
      <c r="G4" s="36" t="e">
        <f>+D4-F4</f>
        <v>#REF!</v>
      </c>
    </row>
    <row r="5" spans="2:7" ht="15.75" thickTop="1">
      <c r="B5" s="37">
        <v>71</v>
      </c>
      <c r="C5" s="38" t="s">
        <v>398</v>
      </c>
      <c r="D5" s="39" t="e">
        <f>+D6+D14+D19+D24+D31</f>
        <v>#REF!</v>
      </c>
      <c r="F5" s="40"/>
    </row>
    <row r="6" spans="2:7">
      <c r="B6" s="41">
        <v>711</v>
      </c>
      <c r="C6" s="42" t="s">
        <v>2</v>
      </c>
      <c r="D6" s="43" t="e">
        <f>SUM(D7:D13)</f>
        <v>#REF!</v>
      </c>
    </row>
    <row r="7" spans="2:7">
      <c r="B7" s="44">
        <v>7111</v>
      </c>
      <c r="C7" s="45" t="s">
        <v>3</v>
      </c>
      <c r="D7" s="46" t="e">
        <f>+#REF!</f>
        <v>#REF!</v>
      </c>
      <c r="E7" s="40"/>
    </row>
    <row r="8" spans="2:7">
      <c r="B8" s="44">
        <v>7112</v>
      </c>
      <c r="C8" s="45" t="s">
        <v>5</v>
      </c>
      <c r="D8" s="46" t="e">
        <f>+#REF!</f>
        <v>#REF!</v>
      </c>
    </row>
    <row r="9" spans="2:7">
      <c r="B9" s="44">
        <v>7113</v>
      </c>
      <c r="C9" s="45" t="s">
        <v>304</v>
      </c>
      <c r="D9" s="46" t="e">
        <f>+#REF!</f>
        <v>#REF!</v>
      </c>
    </row>
    <row r="10" spans="2:7">
      <c r="B10" s="44">
        <v>7114</v>
      </c>
      <c r="C10" s="45" t="s">
        <v>9</v>
      </c>
      <c r="D10" s="46" t="e">
        <f>+#REF!</f>
        <v>#REF!</v>
      </c>
    </row>
    <row r="11" spans="2:7">
      <c r="B11" s="44">
        <v>7115</v>
      </c>
      <c r="C11" s="45" t="s">
        <v>305</v>
      </c>
      <c r="D11" s="46" t="e">
        <f>+#REF!</f>
        <v>#REF!</v>
      </c>
    </row>
    <row r="12" spans="2:7">
      <c r="B12" s="44">
        <v>7116</v>
      </c>
      <c r="C12" s="45" t="s">
        <v>14</v>
      </c>
      <c r="D12" s="46" t="e">
        <f>+#REF!</f>
        <v>#REF!</v>
      </c>
    </row>
    <row r="13" spans="2:7">
      <c r="B13" s="44">
        <v>7118</v>
      </c>
      <c r="C13" s="45" t="s">
        <v>16</v>
      </c>
      <c r="D13" s="46" t="e">
        <f>+#REF!</f>
        <v>#REF!</v>
      </c>
    </row>
    <row r="14" spans="2:7">
      <c r="B14" s="41">
        <v>712</v>
      </c>
      <c r="C14" s="42" t="s">
        <v>19</v>
      </c>
      <c r="D14" s="43" t="e">
        <f>SUM(D15:D18)</f>
        <v>#REF!</v>
      </c>
    </row>
    <row r="15" spans="2:7">
      <c r="B15" s="44">
        <v>7121</v>
      </c>
      <c r="C15" s="45" t="s">
        <v>21</v>
      </c>
      <c r="D15" s="46" t="e">
        <f>+#REF!</f>
        <v>#REF!</v>
      </c>
      <c r="F15" s="40"/>
    </row>
    <row r="16" spans="2:7">
      <c r="B16" s="44">
        <v>7122</v>
      </c>
      <c r="C16" s="45" t="s">
        <v>23</v>
      </c>
      <c r="D16" s="46" t="e">
        <f>+#REF!</f>
        <v>#REF!</v>
      </c>
    </row>
    <row r="17" spans="2:4">
      <c r="B17" s="44">
        <v>7123</v>
      </c>
      <c r="C17" s="45" t="s">
        <v>25</v>
      </c>
      <c r="D17" s="46" t="e">
        <f>+#REF!</f>
        <v>#REF!</v>
      </c>
    </row>
    <row r="18" spans="2:4">
      <c r="B18" s="44">
        <v>7124</v>
      </c>
      <c r="C18" s="45" t="s">
        <v>27</v>
      </c>
      <c r="D18" s="46" t="e">
        <f>+#REF!</f>
        <v>#REF!</v>
      </c>
    </row>
    <row r="19" spans="2:4">
      <c r="B19" s="41">
        <v>713</v>
      </c>
      <c r="C19" s="42" t="s">
        <v>29</v>
      </c>
      <c r="D19" s="43" t="e">
        <f>SUM(D20:D23)</f>
        <v>#REF!</v>
      </c>
    </row>
    <row r="20" spans="2:4">
      <c r="B20" s="44">
        <v>7131</v>
      </c>
      <c r="C20" s="47" t="s">
        <v>31</v>
      </c>
      <c r="D20" s="46" t="e">
        <f>+#REF!</f>
        <v>#REF!</v>
      </c>
    </row>
    <row r="21" spans="2:4">
      <c r="B21" s="44">
        <v>7132</v>
      </c>
      <c r="C21" s="47" t="s">
        <v>32</v>
      </c>
      <c r="D21" s="46" t="e">
        <f>+#REF!</f>
        <v>#REF!</v>
      </c>
    </row>
    <row r="22" spans="2:4">
      <c r="B22" s="44">
        <v>7133</v>
      </c>
      <c r="C22" s="47" t="s">
        <v>34</v>
      </c>
      <c r="D22" s="46" t="e">
        <f>+#REF!</f>
        <v>#REF!</v>
      </c>
    </row>
    <row r="23" spans="2:4">
      <c r="B23" s="44">
        <v>7136</v>
      </c>
      <c r="C23" s="47" t="s">
        <v>37</v>
      </c>
      <c r="D23" s="46" t="e">
        <f>+#REF!</f>
        <v>#REF!</v>
      </c>
    </row>
    <row r="24" spans="2:4">
      <c r="B24" s="41">
        <v>714</v>
      </c>
      <c r="C24" s="42" t="s">
        <v>39</v>
      </c>
      <c r="D24" s="43" t="e">
        <f>SUM(D25:D30)</f>
        <v>#REF!</v>
      </c>
    </row>
    <row r="25" spans="2:4">
      <c r="B25" s="44">
        <v>7141</v>
      </c>
      <c r="C25" s="45" t="s">
        <v>40</v>
      </c>
      <c r="D25" s="46" t="e">
        <f>+#REF!</f>
        <v>#REF!</v>
      </c>
    </row>
    <row r="26" spans="2:4">
      <c r="B26" s="44">
        <v>7142</v>
      </c>
      <c r="C26" s="45" t="s">
        <v>399</v>
      </c>
      <c r="D26" s="46" t="e">
        <f>+#REF!</f>
        <v>#REF!</v>
      </c>
    </row>
    <row r="27" spans="2:4">
      <c r="B27" s="44">
        <v>7143</v>
      </c>
      <c r="C27" s="45" t="s">
        <v>45</v>
      </c>
      <c r="D27" s="46" t="e">
        <f>+#REF!</f>
        <v>#REF!</v>
      </c>
    </row>
    <row r="28" spans="2:4">
      <c r="B28" s="44">
        <v>7144</v>
      </c>
      <c r="C28" s="45" t="s">
        <v>47</v>
      </c>
      <c r="D28" s="46" t="e">
        <f>+#REF!</f>
        <v>#REF!</v>
      </c>
    </row>
    <row r="29" spans="2:4">
      <c r="B29" s="44">
        <v>7148</v>
      </c>
      <c r="C29" s="45" t="s">
        <v>312</v>
      </c>
      <c r="D29" s="46" t="e">
        <f>+#REF!</f>
        <v>#REF!</v>
      </c>
    </row>
    <row r="30" spans="2:4">
      <c r="B30" s="44">
        <v>7149</v>
      </c>
      <c r="C30" s="45" t="s">
        <v>51</v>
      </c>
      <c r="D30" s="46" t="e">
        <f>+#REF!</f>
        <v>#REF!</v>
      </c>
    </row>
    <row r="31" spans="2:4">
      <c r="B31" s="41">
        <v>715</v>
      </c>
      <c r="C31" s="42" t="s">
        <v>53</v>
      </c>
      <c r="D31" s="43" t="e">
        <f>SUM(D32:D35)</f>
        <v>#REF!</v>
      </c>
    </row>
    <row r="32" spans="2:4">
      <c r="B32" s="44">
        <v>7151</v>
      </c>
      <c r="C32" s="48" t="s">
        <v>55</v>
      </c>
      <c r="D32" s="46" t="e">
        <f>+#REF!</f>
        <v>#REF!</v>
      </c>
    </row>
    <row r="33" spans="2:4">
      <c r="B33" s="44">
        <v>7152</v>
      </c>
      <c r="C33" s="48" t="s">
        <v>57</v>
      </c>
      <c r="D33" s="46" t="e">
        <f>+#REF!</f>
        <v>#REF!</v>
      </c>
    </row>
    <row r="34" spans="2:4" ht="16.5" customHeight="1">
      <c r="B34" s="44">
        <v>7153</v>
      </c>
      <c r="C34" s="48" t="s">
        <v>59</v>
      </c>
      <c r="D34" s="46" t="e">
        <f>+#REF!</f>
        <v>#REF!</v>
      </c>
    </row>
    <row r="35" spans="2:4">
      <c r="B35" s="44">
        <v>7155</v>
      </c>
      <c r="C35" s="48" t="s">
        <v>53</v>
      </c>
      <c r="D35" s="46" t="e">
        <f>+#REF!</f>
        <v>#REF!</v>
      </c>
    </row>
    <row r="36" spans="2:4">
      <c r="B36" s="49">
        <v>72</v>
      </c>
      <c r="C36" s="50" t="s">
        <v>400</v>
      </c>
      <c r="D36" s="43" t="e">
        <f>+D37+D38+D41</f>
        <v>#REF!</v>
      </c>
    </row>
    <row r="37" spans="2:4">
      <c r="B37" s="51">
        <v>7200</v>
      </c>
      <c r="C37" s="48" t="s">
        <v>401</v>
      </c>
      <c r="D37" s="46" t="e">
        <f>+#REF!</f>
        <v>#REF!</v>
      </c>
    </row>
    <row r="38" spans="2:4" hidden="1">
      <c r="B38" s="52">
        <v>721</v>
      </c>
      <c r="C38" s="48" t="s">
        <v>402</v>
      </c>
      <c r="D38" s="46"/>
    </row>
    <row r="39" spans="2:4" hidden="1">
      <c r="B39" s="51">
        <v>7211</v>
      </c>
      <c r="C39" s="48" t="s">
        <v>403</v>
      </c>
      <c r="D39" s="46"/>
    </row>
    <row r="40" spans="2:4" hidden="1">
      <c r="B40" s="51">
        <v>7213</v>
      </c>
      <c r="C40" s="48" t="s">
        <v>404</v>
      </c>
      <c r="D40" s="46"/>
    </row>
    <row r="41" spans="2:4" hidden="1">
      <c r="B41" s="52">
        <v>722</v>
      </c>
      <c r="C41" s="48" t="s">
        <v>405</v>
      </c>
      <c r="D41" s="46">
        <v>0</v>
      </c>
    </row>
    <row r="42" spans="2:4" hidden="1">
      <c r="B42" s="44">
        <v>7221</v>
      </c>
      <c r="C42" s="48" t="s">
        <v>406</v>
      </c>
      <c r="D42" s="46"/>
    </row>
    <row r="43" spans="2:4" hidden="1">
      <c r="B43" s="44">
        <v>7222</v>
      </c>
      <c r="C43" s="48" t="s">
        <v>407</v>
      </c>
      <c r="D43" s="46"/>
    </row>
    <row r="44" spans="2:4">
      <c r="B44" s="49">
        <v>73</v>
      </c>
      <c r="C44" s="50" t="s">
        <v>408</v>
      </c>
      <c r="D44" s="43" t="e">
        <f>+D45</f>
        <v>#REF!</v>
      </c>
    </row>
    <row r="45" spans="2:4">
      <c r="B45" s="52">
        <v>731</v>
      </c>
      <c r="C45" s="45" t="s">
        <v>408</v>
      </c>
      <c r="D45" s="46" t="e">
        <f>+#REF!</f>
        <v>#REF!</v>
      </c>
    </row>
    <row r="46" spans="2:4" ht="27" hidden="1">
      <c r="B46" s="51">
        <v>7311</v>
      </c>
      <c r="C46" s="48" t="s">
        <v>409</v>
      </c>
      <c r="D46" s="46"/>
    </row>
    <row r="47" spans="2:4" hidden="1">
      <c r="B47" s="52">
        <v>7312</v>
      </c>
      <c r="C47" s="48" t="s">
        <v>410</v>
      </c>
      <c r="D47" s="46"/>
    </row>
    <row r="48" spans="2:4" hidden="1">
      <c r="B48" s="52">
        <v>7313</v>
      </c>
      <c r="C48" s="48" t="s">
        <v>411</v>
      </c>
      <c r="D48" s="46"/>
    </row>
    <row r="49" spans="2:4" hidden="1">
      <c r="B49" s="52">
        <v>7314</v>
      </c>
      <c r="C49" s="48" t="s">
        <v>412</v>
      </c>
      <c r="D49" s="46"/>
    </row>
    <row r="50" spans="2:4" hidden="1">
      <c r="B50" s="52">
        <v>732</v>
      </c>
      <c r="C50" s="45" t="s">
        <v>413</v>
      </c>
      <c r="D50" s="46"/>
    </row>
    <row r="51" spans="2:4" hidden="1">
      <c r="B51" s="44">
        <v>7321</v>
      </c>
      <c r="C51" s="48" t="s">
        <v>414</v>
      </c>
      <c r="D51" s="46"/>
    </row>
    <row r="52" spans="2:4">
      <c r="B52" s="49">
        <v>74</v>
      </c>
      <c r="C52" s="50" t="s">
        <v>415</v>
      </c>
      <c r="D52" s="43" t="e">
        <f>+D53</f>
        <v>#REF!</v>
      </c>
    </row>
    <row r="53" spans="2:4">
      <c r="B53" s="52">
        <v>741</v>
      </c>
      <c r="C53" s="48" t="s">
        <v>415</v>
      </c>
      <c r="D53" s="46" t="e">
        <f>+#REF!</f>
        <v>#REF!</v>
      </c>
    </row>
    <row r="54" spans="2:4" hidden="1">
      <c r="B54" s="44">
        <v>7411</v>
      </c>
      <c r="C54" s="48" t="s">
        <v>416</v>
      </c>
      <c r="D54" s="46">
        <v>0</v>
      </c>
    </row>
    <row r="55" spans="2:4">
      <c r="B55" s="49">
        <v>75</v>
      </c>
      <c r="C55" s="50" t="s">
        <v>110</v>
      </c>
      <c r="D55" s="43" t="e">
        <f>+D56</f>
        <v>#REF!</v>
      </c>
    </row>
    <row r="56" spans="2:4">
      <c r="B56" s="53">
        <v>751</v>
      </c>
      <c r="C56" s="54" t="s">
        <v>110</v>
      </c>
      <c r="D56" s="55" t="e">
        <f>+D57+D58</f>
        <v>#REF!</v>
      </c>
    </row>
    <row r="57" spans="2:4">
      <c r="B57" s="51">
        <v>7511</v>
      </c>
      <c r="C57" s="48" t="s">
        <v>143</v>
      </c>
      <c r="D57" s="46" t="e">
        <f>+#REF!</f>
        <v>#REF!</v>
      </c>
    </row>
    <row r="58" spans="2:4" ht="15.75" thickBot="1">
      <c r="B58" s="56">
        <v>7512</v>
      </c>
      <c r="C58" s="57" t="s">
        <v>121</v>
      </c>
      <c r="D58" s="58" t="e">
        <f>+#REF!</f>
        <v>#REF!</v>
      </c>
    </row>
    <row r="59" spans="2:4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D2:G24"/>
  <sheetViews>
    <sheetView workbookViewId="0">
      <selection activeCell="G24" sqref="G24"/>
    </sheetView>
  </sheetViews>
  <sheetFormatPr defaultColWidth="9.140625" defaultRowHeight="15"/>
  <cols>
    <col min="1" max="3" width="9.140625" style="29"/>
    <col min="4" max="4" width="44.28515625" style="29" customWidth="1"/>
    <col min="5" max="5" width="18.28515625" style="29" customWidth="1"/>
    <col min="6" max="6" width="9.140625" style="29"/>
    <col min="7" max="7" width="14.5703125" style="29" bestFit="1" customWidth="1"/>
    <col min="8" max="16384" width="9.140625" style="29"/>
  </cols>
  <sheetData>
    <row r="2" spans="4:7" ht="15.75" thickBot="1"/>
    <row r="3" spans="4:7" ht="16.5" thickTop="1" thickBot="1">
      <c r="D3" s="59" t="s">
        <v>126</v>
      </c>
      <c r="E3" s="60" t="s">
        <v>395</v>
      </c>
    </row>
    <row r="4" spans="4:7" ht="16.5" thickTop="1" thickBot="1">
      <c r="D4" s="61" t="s">
        <v>417</v>
      </c>
      <c r="E4" s="62" t="e">
        <f>+E5+E6</f>
        <v>#REF!</v>
      </c>
      <c r="G4" s="63" t="e">
        <f>+E4-#REF!</f>
        <v>#REF!</v>
      </c>
    </row>
    <row r="5" spans="4:7" ht="16.5" thickTop="1">
      <c r="D5" s="71" t="s">
        <v>418</v>
      </c>
      <c r="E5" s="72" t="e">
        <f>+PRIMICI!D6+PRIMICI!D14</f>
        <v>#REF!</v>
      </c>
      <c r="G5" s="65"/>
    </row>
    <row r="6" spans="4:7" ht="16.5" thickBot="1">
      <c r="D6" s="73" t="s">
        <v>53</v>
      </c>
      <c r="E6" s="74" t="e">
        <f>+PRIMICI!D19+PRIMICI!D24+PRIMICI!D31+PRIMICI!D44</f>
        <v>#REF!</v>
      </c>
      <c r="G6" s="65"/>
    </row>
    <row r="7" spans="4:7" ht="16.5" thickTop="1" thickBot="1">
      <c r="D7" s="66" t="s">
        <v>419</v>
      </c>
      <c r="E7" s="62" t="e">
        <f>+E8+E9</f>
        <v>#REF!</v>
      </c>
      <c r="G7" s="63" t="e">
        <f>+E7-#REF!</f>
        <v>#REF!</v>
      </c>
    </row>
    <row r="8" spans="4:7" ht="16.5" thickTop="1">
      <c r="D8" s="75" t="s">
        <v>125</v>
      </c>
      <c r="E8" s="72" t="e">
        <f>+#REF!</f>
        <v>#REF!</v>
      </c>
      <c r="G8" s="65"/>
    </row>
    <row r="9" spans="4:7" ht="16.5" thickBot="1">
      <c r="D9" s="73" t="s">
        <v>420</v>
      </c>
      <c r="E9" s="74" t="e">
        <f>+#REF!</f>
        <v>#REF!</v>
      </c>
      <c r="G9" s="65"/>
    </row>
    <row r="10" spans="4:7" ht="16.5" thickTop="1" thickBot="1">
      <c r="D10" s="67" t="s">
        <v>421</v>
      </c>
      <c r="E10" s="62" t="e">
        <f>+E4-E7</f>
        <v>#REF!</v>
      </c>
      <c r="G10" s="63" t="e">
        <f>+E10-#REF!</f>
        <v>#REF!</v>
      </c>
    </row>
    <row r="11" spans="4:7" ht="16.5" thickTop="1" thickBot="1">
      <c r="D11" s="67" t="s">
        <v>422</v>
      </c>
      <c r="E11" s="62" t="e">
        <f>+#REF!</f>
        <v>#REF!</v>
      </c>
      <c r="G11" s="65"/>
    </row>
    <row r="12" spans="4:7" ht="16.5" thickTop="1" thickBot="1">
      <c r="D12" s="67" t="s">
        <v>423</v>
      </c>
      <c r="E12" s="62" t="e">
        <f>+E13+E14+E15</f>
        <v>#REF!</v>
      </c>
      <c r="G12" s="63" t="e">
        <f>+E12-#REF!</f>
        <v>#REF!</v>
      </c>
    </row>
    <row r="13" spans="4:7" ht="16.5" thickTop="1" thickBot="1">
      <c r="D13" s="76" t="s">
        <v>157</v>
      </c>
      <c r="E13" s="72" t="e">
        <f>+#REF!</f>
        <v>#REF!</v>
      </c>
      <c r="G13" s="65"/>
    </row>
    <row r="14" spans="4:7" ht="16.5" thickTop="1" thickBot="1">
      <c r="D14" s="77" t="s">
        <v>158</v>
      </c>
      <c r="E14" s="72" t="e">
        <f>+#REF!</f>
        <v>#REF!</v>
      </c>
      <c r="G14" s="65"/>
    </row>
    <row r="15" spans="4:7" ht="16.5" thickTop="1" thickBot="1">
      <c r="D15" s="78" t="s">
        <v>159</v>
      </c>
      <c r="E15" s="72" t="e">
        <f>+#REF!</f>
        <v>#REF!</v>
      </c>
      <c r="G15" s="65"/>
    </row>
    <row r="16" spans="4:7" ht="15.75" hidden="1" thickBot="1">
      <c r="D16" s="68" t="s">
        <v>112</v>
      </c>
      <c r="E16" s="64">
        <v>0</v>
      </c>
      <c r="G16" s="65"/>
    </row>
    <row r="17" spans="4:7" ht="16.5" thickTop="1" thickBot="1">
      <c r="D17" s="67" t="s">
        <v>424</v>
      </c>
      <c r="E17" s="62" t="e">
        <f>+E10-E12</f>
        <v>#REF!</v>
      </c>
      <c r="G17" s="63" t="e">
        <f>+E17-#REF!</f>
        <v>#REF!</v>
      </c>
    </row>
    <row r="18" spans="4:7" ht="16.5" thickTop="1" thickBot="1">
      <c r="D18" s="67" t="s">
        <v>425</v>
      </c>
      <c r="E18" s="62" t="e">
        <f>SUM(E19:E23)</f>
        <v>#REF!</v>
      </c>
      <c r="G18" s="63" t="e">
        <f>+E18-#REF!</f>
        <v>#REF!</v>
      </c>
    </row>
    <row r="19" spans="4:7" ht="16.5" thickTop="1" thickBot="1">
      <c r="D19" s="76" t="s">
        <v>143</v>
      </c>
      <c r="E19" s="72" t="e">
        <f>+#REF!</f>
        <v>#REF!</v>
      </c>
      <c r="G19" s="65"/>
    </row>
    <row r="20" spans="4:7" ht="16.5" thickTop="1" thickBot="1">
      <c r="D20" s="77" t="s">
        <v>121</v>
      </c>
      <c r="E20" s="72" t="e">
        <f>+#REF!</f>
        <v>#REF!</v>
      </c>
      <c r="G20" s="65"/>
    </row>
    <row r="21" spans="4:7" ht="16.5" thickTop="1" thickBot="1">
      <c r="D21" s="77" t="s">
        <v>122</v>
      </c>
      <c r="E21" s="72" t="e">
        <f>+#REF!</f>
        <v>#REF!</v>
      </c>
      <c r="G21" s="65"/>
    </row>
    <row r="22" spans="4:7" ht="15.75" thickTop="1">
      <c r="D22" s="77" t="s">
        <v>123</v>
      </c>
      <c r="E22" s="72" t="e">
        <f>+#REF!</f>
        <v>#REF!</v>
      </c>
      <c r="G22" s="65"/>
    </row>
    <row r="23" spans="4:7" ht="15.75" thickBot="1">
      <c r="D23" s="78" t="s">
        <v>160</v>
      </c>
      <c r="E23" s="79" t="e">
        <f>-E17-SUM(E19:E22)</f>
        <v>#REF!</v>
      </c>
      <c r="G23" s="69" t="e">
        <f>+E23-#REF!</f>
        <v>#REF!</v>
      </c>
    </row>
    <row r="24" spans="4:7" ht="15.75" thickTop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444"/>
  <sheetViews>
    <sheetView topLeftCell="A373" workbookViewId="0">
      <selection activeCell="C278" sqref="C278"/>
    </sheetView>
  </sheetViews>
  <sheetFormatPr defaultColWidth="9.140625" defaultRowHeight="12.75"/>
  <cols>
    <col min="1" max="1" width="2" style="11" customWidth="1"/>
    <col min="2" max="2" width="62" style="11" customWidth="1"/>
    <col min="3" max="3" width="63.140625" style="11" customWidth="1"/>
    <col min="4" max="4" width="41.7109375" style="11" customWidth="1"/>
    <col min="5" max="5" width="20" style="11" customWidth="1"/>
    <col min="6" max="6" width="8.5703125" style="11" customWidth="1"/>
    <col min="7" max="7" width="5.42578125" style="11" customWidth="1"/>
    <col min="8" max="8" width="6.42578125" style="11" customWidth="1"/>
    <col min="9" max="9" width="8" style="11" customWidth="1"/>
    <col min="10" max="10" width="6.42578125" style="11" customWidth="1"/>
    <col min="11" max="11" width="9.28515625" style="11" customWidth="1"/>
    <col min="12" max="12" width="7.42578125" style="11" customWidth="1"/>
    <col min="13" max="13" width="17" style="11" customWidth="1"/>
    <col min="14" max="14" width="8.85546875" style="11" customWidth="1"/>
    <col min="15" max="15" width="83.140625" style="11" customWidth="1"/>
    <col min="16" max="16" width="6.42578125" style="11" customWidth="1"/>
    <col min="17" max="17" width="5.42578125" style="11" customWidth="1"/>
    <col min="18" max="18" width="6.42578125" style="11" customWidth="1"/>
    <col min="19" max="19" width="2.7109375" style="11" customWidth="1"/>
    <col min="20" max="20" width="6.5703125" style="11" customWidth="1"/>
    <col min="21" max="21" width="5.7109375" style="11" customWidth="1"/>
    <col min="22" max="22" width="11.7109375" style="1" customWidth="1"/>
    <col min="23" max="16384" width="9.140625" style="1"/>
  </cols>
  <sheetData>
    <row r="1" spans="1:3">
      <c r="A1" s="10">
        <v>2</v>
      </c>
      <c r="B1" s="11" t="s">
        <v>250</v>
      </c>
    </row>
    <row r="3" spans="1:3">
      <c r="B3" s="357" t="s">
        <v>195</v>
      </c>
      <c r="C3" s="357"/>
    </row>
    <row r="5" spans="1:3" ht="15" customHeight="1">
      <c r="B5" s="11" t="s">
        <v>198</v>
      </c>
      <c r="C5" s="11" t="s">
        <v>196</v>
      </c>
    </row>
    <row r="6" spans="1:3">
      <c r="B6" s="11" t="s">
        <v>199</v>
      </c>
      <c r="C6" s="11" t="s">
        <v>197</v>
      </c>
    </row>
    <row r="8" spans="1:3">
      <c r="B8" s="11" t="s">
        <v>207</v>
      </c>
      <c r="C8" s="11" t="s">
        <v>364</v>
      </c>
    </row>
    <row r="9" spans="1:3">
      <c r="B9" s="11" t="s">
        <v>205</v>
      </c>
      <c r="C9" s="11" t="s">
        <v>206</v>
      </c>
    </row>
    <row r="10" spans="1:3">
      <c r="B10" s="11" t="s">
        <v>212</v>
      </c>
      <c r="C10" s="11" t="s">
        <v>214</v>
      </c>
    </row>
    <row r="11" spans="1:3">
      <c r="B11" s="11" t="s">
        <v>213</v>
      </c>
      <c r="C11" s="11" t="s">
        <v>211</v>
      </c>
    </row>
    <row r="12" spans="1:3">
      <c r="B12" s="11" t="s">
        <v>215</v>
      </c>
      <c r="C12" s="11" t="s">
        <v>216</v>
      </c>
    </row>
    <row r="13" spans="1:3">
      <c r="B13" s="11" t="s">
        <v>210</v>
      </c>
      <c r="C13" s="11" t="s">
        <v>365</v>
      </c>
    </row>
    <row r="14" spans="1:3">
      <c r="B14" s="11" t="s">
        <v>366</v>
      </c>
      <c r="C14" s="11" t="s">
        <v>367</v>
      </c>
    </row>
    <row r="15" spans="1:3">
      <c r="B15" s="11" t="s">
        <v>208</v>
      </c>
      <c r="C15" s="11" t="s">
        <v>209</v>
      </c>
    </row>
    <row r="16" spans="1:3">
      <c r="B16" s="11" t="s">
        <v>200</v>
      </c>
      <c r="C16" s="11" t="s">
        <v>201</v>
      </c>
    </row>
    <row r="17" spans="2:3" ht="15" customHeight="1">
      <c r="B17" s="11" t="s">
        <v>202</v>
      </c>
      <c r="C17" s="11" t="s">
        <v>289</v>
      </c>
    </row>
    <row r="18" spans="2:3">
      <c r="B18" s="11" t="s">
        <v>368</v>
      </c>
      <c r="C18" s="11" t="s">
        <v>369</v>
      </c>
    </row>
    <row r="19" spans="2:3">
      <c r="B19" s="11" t="s">
        <v>290</v>
      </c>
      <c r="C19" s="11" t="s">
        <v>291</v>
      </c>
    </row>
    <row r="21" spans="2:3">
      <c r="B21" s="11" t="s">
        <v>220</v>
      </c>
      <c r="C21" s="11" t="s">
        <v>221</v>
      </c>
    </row>
    <row r="22" spans="2:3">
      <c r="B22" s="11" t="s">
        <v>203</v>
      </c>
      <c r="C22" s="11" t="s">
        <v>204</v>
      </c>
    </row>
    <row r="24" spans="2:3">
      <c r="B24" s="11" t="s">
        <v>330</v>
      </c>
    </row>
    <row r="25" spans="2:3">
      <c r="B25" s="11" t="s">
        <v>219</v>
      </c>
    </row>
    <row r="27" spans="2:3">
      <c r="B27" s="12" t="s">
        <v>171</v>
      </c>
    </row>
    <row r="28" spans="2:3">
      <c r="B28" s="12" t="s">
        <v>170</v>
      </c>
    </row>
    <row r="30" spans="2:3">
      <c r="B30" s="11" t="s">
        <v>217</v>
      </c>
    </row>
    <row r="31" spans="2:3">
      <c r="B31" s="11" t="s">
        <v>218</v>
      </c>
    </row>
    <row r="37" spans="2:20">
      <c r="B37" s="357" t="s">
        <v>243</v>
      </c>
      <c r="C37" s="357"/>
      <c r="D37" s="357"/>
      <c r="E37" s="357"/>
      <c r="F37" s="357"/>
      <c r="G37" s="357"/>
      <c r="H37" s="357"/>
      <c r="I37" s="357"/>
      <c r="J37" s="357"/>
      <c r="K37" s="357"/>
      <c r="L37" s="357"/>
      <c r="M37" s="357"/>
      <c r="N37" s="357"/>
      <c r="O37" s="357"/>
      <c r="P37" s="357"/>
      <c r="Q37" s="357"/>
      <c r="R37" s="357"/>
      <c r="S37" s="357"/>
      <c r="T37" s="357"/>
    </row>
    <row r="40" spans="2:20" ht="12.75" customHeight="1">
      <c r="B40" s="356" t="s">
        <v>238</v>
      </c>
      <c r="C40" s="356"/>
      <c r="D40" s="361" t="s">
        <v>244</v>
      </c>
      <c r="E40" s="361"/>
      <c r="F40" s="356" t="s">
        <v>239</v>
      </c>
      <c r="G40" s="356"/>
      <c r="H40" s="356"/>
      <c r="I40" s="2" t="s">
        <v>240</v>
      </c>
      <c r="J40" s="356" t="s">
        <v>241</v>
      </c>
      <c r="K40" s="356"/>
      <c r="L40" s="356"/>
      <c r="M40" s="356" t="s">
        <v>242</v>
      </c>
      <c r="N40" s="356"/>
      <c r="O40" s="356"/>
      <c r="P40" s="356"/>
    </row>
    <row r="41" spans="2:20">
      <c r="B41" s="356"/>
      <c r="C41" s="356"/>
      <c r="D41" s="361"/>
      <c r="E41" s="361"/>
      <c r="F41" s="13">
        <v>2008</v>
      </c>
      <c r="G41" s="14">
        <v>2009</v>
      </c>
      <c r="H41" s="14">
        <v>2010</v>
      </c>
      <c r="I41" s="14">
        <v>2011</v>
      </c>
      <c r="J41" s="14">
        <v>2012</v>
      </c>
      <c r="K41" s="14">
        <v>2013</v>
      </c>
      <c r="L41" s="14">
        <v>2014</v>
      </c>
      <c r="M41" s="14">
        <v>2011</v>
      </c>
      <c r="N41" s="14">
        <v>2012</v>
      </c>
      <c r="O41" s="14">
        <v>2013</v>
      </c>
      <c r="P41" s="14">
        <v>2014</v>
      </c>
    </row>
    <row r="42" spans="2:20">
      <c r="B42" s="359" t="s">
        <v>222</v>
      </c>
      <c r="C42" s="15" t="s">
        <v>223</v>
      </c>
      <c r="D42" s="362" t="s">
        <v>180</v>
      </c>
      <c r="E42" s="16" t="s">
        <v>181</v>
      </c>
      <c r="F42" s="362" t="s">
        <v>246</v>
      </c>
      <c r="G42" s="362"/>
      <c r="H42" s="362"/>
      <c r="I42" s="17" t="s">
        <v>247</v>
      </c>
      <c r="J42" s="363" t="s">
        <v>248</v>
      </c>
      <c r="K42" s="363"/>
      <c r="L42" s="363"/>
      <c r="M42" s="362" t="s">
        <v>249</v>
      </c>
      <c r="N42" s="362"/>
      <c r="O42" s="362"/>
      <c r="P42" s="362"/>
    </row>
    <row r="43" spans="2:20">
      <c r="B43" s="359"/>
      <c r="C43" s="18" t="s">
        <v>224</v>
      </c>
      <c r="D43" s="362"/>
      <c r="E43" s="16" t="s">
        <v>182</v>
      </c>
      <c r="G43" s="16"/>
      <c r="H43" s="16"/>
      <c r="I43" s="17"/>
      <c r="J43" s="16"/>
      <c r="K43" s="17"/>
      <c r="L43" s="16"/>
      <c r="M43" s="17"/>
      <c r="N43" s="16"/>
    </row>
    <row r="44" spans="2:20">
      <c r="B44" s="359"/>
      <c r="C44" s="15" t="s">
        <v>225</v>
      </c>
      <c r="D44" s="362"/>
      <c r="E44" s="16" t="s">
        <v>183</v>
      </c>
      <c r="F44" s="16"/>
      <c r="G44" s="17"/>
      <c r="H44" s="16"/>
      <c r="I44" s="17"/>
      <c r="J44" s="17"/>
      <c r="K44" s="17"/>
      <c r="L44" s="16"/>
      <c r="M44" s="16"/>
      <c r="N44" s="16"/>
    </row>
    <row r="45" spans="2:20">
      <c r="B45" s="359"/>
      <c r="C45" s="15" t="s">
        <v>226</v>
      </c>
      <c r="D45" s="362"/>
      <c r="E45" s="17" t="s">
        <v>184</v>
      </c>
      <c r="F45" s="17"/>
      <c r="G45" s="17"/>
      <c r="H45" s="17"/>
      <c r="I45" s="17"/>
      <c r="J45" s="17"/>
      <c r="K45" s="17"/>
      <c r="L45" s="17"/>
      <c r="M45" s="17"/>
      <c r="N45" s="17"/>
    </row>
    <row r="46" spans="2:20">
      <c r="B46" s="359"/>
      <c r="C46" s="15" t="s">
        <v>227</v>
      </c>
      <c r="D46" s="362"/>
      <c r="E46" s="17" t="s">
        <v>185</v>
      </c>
      <c r="F46" s="17"/>
      <c r="G46" s="17"/>
      <c r="H46" s="17"/>
      <c r="I46" s="17"/>
      <c r="J46" s="17"/>
      <c r="K46" s="17"/>
      <c r="L46" s="17"/>
      <c r="M46" s="17"/>
      <c r="N46" s="17"/>
    </row>
    <row r="47" spans="2:20">
      <c r="B47" s="359"/>
      <c r="C47" s="15" t="s">
        <v>228</v>
      </c>
      <c r="D47" s="362"/>
      <c r="E47" s="16" t="s">
        <v>186</v>
      </c>
      <c r="F47" s="17"/>
      <c r="G47" s="17"/>
      <c r="H47" s="17"/>
      <c r="I47" s="16"/>
      <c r="J47" s="16"/>
      <c r="K47" s="16"/>
      <c r="L47" s="16"/>
      <c r="M47" s="16"/>
      <c r="N47" s="16"/>
    </row>
    <row r="48" spans="2:20">
      <c r="B48" s="359"/>
      <c r="C48" s="15" t="s">
        <v>229</v>
      </c>
      <c r="D48" s="362"/>
      <c r="E48" s="17" t="s">
        <v>187</v>
      </c>
      <c r="F48" s="17"/>
      <c r="G48" s="17"/>
      <c r="H48" s="17"/>
      <c r="I48" s="17"/>
      <c r="J48" s="17"/>
      <c r="K48" s="17"/>
      <c r="L48" s="17"/>
      <c r="M48" s="17"/>
      <c r="N48" s="17"/>
    </row>
    <row r="49" spans="2:20">
      <c r="B49" s="359"/>
      <c r="C49" s="19" t="s">
        <v>230</v>
      </c>
      <c r="D49" s="362"/>
      <c r="E49" s="16" t="s">
        <v>245</v>
      </c>
      <c r="F49" s="17"/>
      <c r="G49" s="16"/>
      <c r="H49" s="16"/>
      <c r="I49" s="16"/>
      <c r="J49" s="16"/>
      <c r="K49" s="16"/>
      <c r="L49" s="16"/>
      <c r="M49" s="16"/>
      <c r="N49" s="16"/>
    </row>
    <row r="50" spans="2:20">
      <c r="B50" s="359"/>
      <c r="C50" s="15" t="s">
        <v>231</v>
      </c>
      <c r="D50" s="362"/>
      <c r="E50" s="17" t="s">
        <v>188</v>
      </c>
      <c r="F50" s="17"/>
      <c r="G50" s="17"/>
      <c r="H50" s="17"/>
      <c r="I50" s="17"/>
      <c r="J50" s="17"/>
      <c r="K50" s="17"/>
      <c r="L50" s="17"/>
      <c r="M50" s="17"/>
      <c r="N50" s="17"/>
    </row>
    <row r="51" spans="2:20">
      <c r="B51" s="359"/>
      <c r="C51" s="15" t="s">
        <v>378</v>
      </c>
      <c r="D51" s="362"/>
      <c r="E51" s="17" t="s">
        <v>379</v>
      </c>
      <c r="F51" s="17"/>
      <c r="G51" s="17"/>
      <c r="H51" s="17"/>
      <c r="I51" s="17"/>
      <c r="J51" s="17"/>
      <c r="K51" s="17"/>
      <c r="L51" s="17"/>
      <c r="M51" s="17"/>
      <c r="N51" s="17"/>
    </row>
    <row r="52" spans="2:20">
      <c r="B52" s="360" t="s">
        <v>232</v>
      </c>
      <c r="C52" s="20" t="s">
        <v>233</v>
      </c>
      <c r="D52" s="362" t="s">
        <v>189</v>
      </c>
      <c r="E52" s="17" t="s">
        <v>190</v>
      </c>
      <c r="F52" s="17"/>
      <c r="G52" s="17"/>
      <c r="H52" s="17"/>
      <c r="I52" s="17"/>
      <c r="J52" s="17"/>
      <c r="K52" s="17"/>
      <c r="L52" s="17"/>
      <c r="M52" s="17"/>
      <c r="N52" s="17"/>
    </row>
    <row r="53" spans="2:20">
      <c r="B53" s="360"/>
      <c r="C53" s="20" t="s">
        <v>234</v>
      </c>
      <c r="D53" s="362"/>
      <c r="E53" s="17" t="s">
        <v>191</v>
      </c>
      <c r="F53" s="17"/>
      <c r="G53" s="17"/>
      <c r="H53" s="17"/>
      <c r="I53" s="17"/>
      <c r="J53" s="17"/>
      <c r="K53" s="17"/>
      <c r="L53" s="17"/>
      <c r="M53" s="17"/>
      <c r="N53" s="17"/>
    </row>
    <row r="54" spans="2:20">
      <c r="B54" s="360"/>
      <c r="C54" s="20" t="s">
        <v>235</v>
      </c>
      <c r="D54" s="362"/>
      <c r="E54" s="17" t="s">
        <v>373</v>
      </c>
      <c r="F54" s="17"/>
      <c r="G54" s="17"/>
      <c r="H54" s="17"/>
      <c r="I54" s="17"/>
      <c r="J54" s="17"/>
      <c r="K54" s="16"/>
      <c r="L54" s="17"/>
      <c r="M54" s="17"/>
      <c r="N54" s="17"/>
    </row>
    <row r="55" spans="2:20">
      <c r="B55" s="360"/>
      <c r="C55" s="20" t="s">
        <v>374</v>
      </c>
      <c r="D55" s="362"/>
      <c r="E55" s="20" t="s">
        <v>376</v>
      </c>
      <c r="F55" s="17"/>
      <c r="G55" s="17"/>
      <c r="H55" s="17"/>
      <c r="I55" s="17"/>
      <c r="J55" s="17"/>
      <c r="K55" s="16"/>
      <c r="L55" s="17"/>
      <c r="M55" s="17"/>
      <c r="N55" s="17"/>
    </row>
    <row r="56" spans="2:20">
      <c r="B56" s="360"/>
      <c r="C56" s="20" t="s">
        <v>79</v>
      </c>
      <c r="D56" s="362"/>
      <c r="E56" s="17" t="s">
        <v>192</v>
      </c>
      <c r="F56" s="17"/>
      <c r="G56" s="16"/>
      <c r="H56" s="21"/>
      <c r="I56" s="21"/>
      <c r="J56" s="21"/>
      <c r="K56" s="21"/>
      <c r="L56" s="21"/>
      <c r="M56" s="21"/>
      <c r="N56" s="16"/>
    </row>
    <row r="57" spans="2:20">
      <c r="B57" s="360"/>
      <c r="C57" s="20" t="s">
        <v>236</v>
      </c>
      <c r="D57" s="362"/>
      <c r="E57" s="17" t="s">
        <v>193</v>
      </c>
      <c r="F57" s="17"/>
      <c r="G57" s="17"/>
      <c r="H57" s="17"/>
      <c r="I57" s="17"/>
      <c r="J57" s="21"/>
      <c r="K57" s="16"/>
      <c r="L57" s="17"/>
      <c r="M57" s="17"/>
      <c r="N57" s="17"/>
    </row>
    <row r="58" spans="2:20">
      <c r="B58" s="360"/>
      <c r="C58" s="20" t="s">
        <v>375</v>
      </c>
      <c r="D58" s="362"/>
      <c r="E58" s="17" t="s">
        <v>377</v>
      </c>
      <c r="F58" s="17"/>
      <c r="G58" s="17"/>
      <c r="H58" s="17"/>
      <c r="I58" s="17"/>
      <c r="J58" s="21"/>
      <c r="K58" s="16"/>
      <c r="L58" s="17"/>
      <c r="M58" s="17"/>
      <c r="N58" s="17"/>
    </row>
    <row r="59" spans="2:20">
      <c r="B59" s="360"/>
      <c r="C59" s="20" t="s">
        <v>237</v>
      </c>
      <c r="D59" s="362"/>
      <c r="E59" s="17" t="s">
        <v>194</v>
      </c>
      <c r="F59" s="17"/>
      <c r="G59" s="17"/>
      <c r="H59" s="17"/>
      <c r="I59" s="17"/>
      <c r="J59" s="17"/>
      <c r="K59" s="17"/>
      <c r="L59" s="21"/>
      <c r="M59" s="17"/>
      <c r="N59" s="17"/>
    </row>
    <row r="60" spans="2:20">
      <c r="B60" s="11" t="s">
        <v>332</v>
      </c>
      <c r="D60" s="11" t="s">
        <v>331</v>
      </c>
    </row>
    <row r="62" spans="2:20">
      <c r="B62" s="357" t="s">
        <v>251</v>
      </c>
      <c r="C62" s="357"/>
      <c r="D62" s="357"/>
      <c r="E62" s="357"/>
      <c r="F62" s="357"/>
      <c r="G62" s="357"/>
      <c r="H62" s="357"/>
      <c r="I62" s="357"/>
      <c r="J62" s="357"/>
      <c r="K62" s="357"/>
      <c r="L62" s="357"/>
      <c r="M62" s="357"/>
      <c r="N62" s="357"/>
      <c r="O62" s="357"/>
      <c r="P62" s="357"/>
      <c r="Q62" s="357"/>
      <c r="R62" s="357"/>
      <c r="S62" s="357"/>
      <c r="T62" s="357"/>
    </row>
    <row r="66" spans="2:22">
      <c r="B66" s="11" t="s">
        <v>370</v>
      </c>
    </row>
    <row r="67" spans="2:22">
      <c r="B67" s="11" t="s">
        <v>371</v>
      </c>
      <c r="M67" s="11" t="s">
        <v>337</v>
      </c>
      <c r="O67" s="11" t="s">
        <v>380</v>
      </c>
    </row>
    <row r="68" spans="2:22">
      <c r="D68" s="22"/>
      <c r="E68" s="23"/>
      <c r="F68" s="22"/>
      <c r="G68" s="23"/>
      <c r="H68" s="22"/>
      <c r="I68" s="23"/>
      <c r="J68" s="22"/>
      <c r="K68" s="23"/>
      <c r="L68" s="22"/>
      <c r="M68" s="23" t="s">
        <v>336</v>
      </c>
      <c r="N68" s="22"/>
      <c r="O68" s="23" t="s">
        <v>381</v>
      </c>
      <c r="P68" s="22"/>
      <c r="Q68" s="23"/>
      <c r="R68" s="22"/>
      <c r="S68" s="23"/>
      <c r="T68" s="22"/>
    </row>
    <row r="69" spans="2:22">
      <c r="C69" s="4">
        <v>2006</v>
      </c>
      <c r="D69" s="4"/>
      <c r="E69" s="4">
        <v>2007</v>
      </c>
      <c r="F69" s="4"/>
      <c r="G69" s="4">
        <v>2008</v>
      </c>
      <c r="H69" s="4"/>
      <c r="I69" s="4">
        <v>2009</v>
      </c>
      <c r="J69" s="4"/>
      <c r="K69" s="4">
        <v>2010</v>
      </c>
      <c r="L69" s="4"/>
      <c r="M69" s="4">
        <v>2011</v>
      </c>
      <c r="N69" s="4"/>
      <c r="O69" s="4">
        <v>2012</v>
      </c>
      <c r="P69" s="4"/>
      <c r="Q69" s="4">
        <v>2013</v>
      </c>
      <c r="R69" s="4"/>
      <c r="S69" s="4">
        <v>2014</v>
      </c>
      <c r="T69" s="4"/>
      <c r="U69" s="11">
        <v>2015</v>
      </c>
    </row>
    <row r="70" spans="2:22">
      <c r="B70" s="5" t="s">
        <v>126</v>
      </c>
      <c r="C70" s="6" t="s">
        <v>262</v>
      </c>
      <c r="D70" s="6" t="s">
        <v>149</v>
      </c>
      <c r="E70" s="6" t="s">
        <v>262</v>
      </c>
      <c r="F70" s="6" t="s">
        <v>149</v>
      </c>
      <c r="G70" s="6" t="s">
        <v>262</v>
      </c>
      <c r="H70" s="6" t="s">
        <v>149</v>
      </c>
      <c r="I70" s="6" t="s">
        <v>262</v>
      </c>
      <c r="J70" s="6" t="s">
        <v>149</v>
      </c>
      <c r="K70" s="6" t="s">
        <v>262</v>
      </c>
      <c r="L70" s="6" t="s">
        <v>149</v>
      </c>
      <c r="M70" s="6" t="s">
        <v>262</v>
      </c>
      <c r="N70" s="6" t="s">
        <v>149</v>
      </c>
      <c r="O70" s="6" t="s">
        <v>262</v>
      </c>
      <c r="P70" s="6" t="s">
        <v>149</v>
      </c>
      <c r="Q70" s="6" t="s">
        <v>262</v>
      </c>
      <c r="R70" s="6" t="s">
        <v>149</v>
      </c>
      <c r="S70" s="6" t="s">
        <v>262</v>
      </c>
      <c r="T70" s="6" t="s">
        <v>149</v>
      </c>
      <c r="U70" s="6" t="s">
        <v>262</v>
      </c>
      <c r="V70" s="3" t="s">
        <v>149</v>
      </c>
    </row>
    <row r="71" spans="2:22">
      <c r="B71" s="5" t="s">
        <v>252</v>
      </c>
      <c r="C71" s="6" t="s">
        <v>262</v>
      </c>
      <c r="D71" s="6" t="s">
        <v>165</v>
      </c>
      <c r="E71" s="6" t="s">
        <v>262</v>
      </c>
      <c r="F71" s="6" t="s">
        <v>165</v>
      </c>
      <c r="G71" s="6" t="s">
        <v>262</v>
      </c>
      <c r="H71" s="6" t="s">
        <v>165</v>
      </c>
      <c r="I71" s="6" t="s">
        <v>262</v>
      </c>
      <c r="J71" s="6" t="s">
        <v>165</v>
      </c>
      <c r="K71" s="6" t="s">
        <v>262</v>
      </c>
      <c r="L71" s="6" t="s">
        <v>165</v>
      </c>
      <c r="M71" s="6" t="s">
        <v>262</v>
      </c>
      <c r="N71" s="6" t="s">
        <v>165</v>
      </c>
      <c r="O71" s="6" t="s">
        <v>262</v>
      </c>
      <c r="P71" s="6" t="s">
        <v>165</v>
      </c>
      <c r="Q71" s="6" t="s">
        <v>262</v>
      </c>
      <c r="R71" s="6" t="s">
        <v>165</v>
      </c>
      <c r="S71" s="6" t="s">
        <v>262</v>
      </c>
      <c r="T71" s="6" t="s">
        <v>165</v>
      </c>
      <c r="U71" s="6" t="s">
        <v>262</v>
      </c>
      <c r="V71" s="3" t="s">
        <v>165</v>
      </c>
    </row>
    <row r="72" spans="2:22">
      <c r="B72" s="7" t="s">
        <v>127</v>
      </c>
      <c r="C72" s="23" t="s">
        <v>1</v>
      </c>
      <c r="D72" s="24"/>
      <c r="E72" s="25"/>
      <c r="F72" s="24"/>
      <c r="G72" s="25"/>
      <c r="H72" s="24"/>
      <c r="I72" s="25"/>
      <c r="J72" s="24"/>
      <c r="K72" s="25"/>
      <c r="L72" s="24"/>
      <c r="M72" s="25"/>
      <c r="N72" s="24"/>
      <c r="O72" s="25"/>
      <c r="P72" s="24"/>
      <c r="Q72" s="25"/>
      <c r="R72" s="24"/>
      <c r="S72" s="25"/>
      <c r="T72" s="24"/>
    </row>
    <row r="73" spans="2:22">
      <c r="B73" s="7" t="s">
        <v>2</v>
      </c>
      <c r="C73" s="23" t="s">
        <v>166</v>
      </c>
      <c r="D73" s="22"/>
      <c r="E73" s="23"/>
      <c r="F73" s="22"/>
      <c r="G73" s="23"/>
      <c r="H73" s="22"/>
      <c r="I73" s="23"/>
      <c r="J73" s="22"/>
      <c r="K73" s="23"/>
      <c r="L73" s="22"/>
      <c r="M73" s="23"/>
      <c r="N73" s="22"/>
      <c r="O73" s="23"/>
      <c r="P73" s="22"/>
      <c r="Q73" s="23"/>
      <c r="R73" s="22"/>
      <c r="S73" s="23"/>
      <c r="T73" s="22"/>
    </row>
    <row r="74" spans="2:22">
      <c r="B74" s="8" t="s">
        <v>3</v>
      </c>
      <c r="C74" s="23" t="s">
        <v>68</v>
      </c>
      <c r="D74" s="22"/>
      <c r="E74" s="23"/>
      <c r="F74" s="22"/>
      <c r="G74" s="23"/>
      <c r="H74" s="22"/>
      <c r="I74" s="23"/>
      <c r="J74" s="22"/>
      <c r="K74" s="23"/>
      <c r="L74" s="22"/>
      <c r="M74" s="23"/>
      <c r="N74" s="22"/>
      <c r="O74" s="23"/>
      <c r="P74" s="22"/>
      <c r="Q74" s="23"/>
      <c r="R74" s="22"/>
      <c r="S74" s="23"/>
      <c r="T74" s="22"/>
    </row>
    <row r="75" spans="2:22">
      <c r="B75" s="7" t="s">
        <v>5</v>
      </c>
      <c r="C75" s="23" t="s">
        <v>253</v>
      </c>
      <c r="D75" s="22"/>
      <c r="E75" s="23"/>
      <c r="F75" s="22"/>
      <c r="G75" s="23"/>
      <c r="H75" s="22"/>
      <c r="I75" s="23"/>
      <c r="J75" s="22"/>
      <c r="K75" s="23"/>
      <c r="L75" s="22"/>
      <c r="M75" s="23"/>
      <c r="N75" s="22"/>
      <c r="O75" s="23"/>
      <c r="P75" s="22"/>
      <c r="Q75" s="23"/>
      <c r="R75" s="22"/>
      <c r="S75" s="23"/>
      <c r="T75" s="22"/>
    </row>
    <row r="76" spans="2:22">
      <c r="B76" s="7" t="s">
        <v>7</v>
      </c>
      <c r="C76" s="26" t="s">
        <v>8</v>
      </c>
      <c r="D76" s="22"/>
      <c r="E76" s="23"/>
      <c r="F76" s="22"/>
      <c r="G76" s="23"/>
      <c r="H76" s="22"/>
      <c r="I76" s="23"/>
      <c r="J76" s="22"/>
      <c r="K76" s="23"/>
      <c r="L76" s="22"/>
      <c r="M76" s="23"/>
      <c r="N76" s="22"/>
      <c r="O76" s="23"/>
      <c r="P76" s="22"/>
      <c r="Q76" s="23"/>
      <c r="R76" s="22"/>
      <c r="S76" s="23"/>
      <c r="T76" s="22"/>
    </row>
    <row r="77" spans="2:22">
      <c r="B77" s="7" t="s">
        <v>9</v>
      </c>
      <c r="C77" s="26" t="s">
        <v>10</v>
      </c>
      <c r="D77" s="24"/>
      <c r="E77" s="25"/>
      <c r="F77" s="24"/>
      <c r="G77" s="25"/>
      <c r="H77" s="24"/>
      <c r="I77" s="25"/>
      <c r="J77" s="24"/>
      <c r="K77" s="25"/>
      <c r="L77" s="24"/>
      <c r="M77" s="25"/>
      <c r="N77" s="24"/>
      <c r="O77" s="25"/>
      <c r="P77" s="24"/>
      <c r="Q77" s="25"/>
      <c r="R77" s="24"/>
      <c r="S77" s="25"/>
      <c r="T77" s="24"/>
    </row>
    <row r="78" spans="2:22">
      <c r="B78" s="7" t="s">
        <v>12</v>
      </c>
      <c r="C78" s="26" t="s">
        <v>13</v>
      </c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/>
      <c r="P78" s="24"/>
      <c r="Q78" s="23"/>
      <c r="R78" s="24"/>
      <c r="S78" s="23"/>
      <c r="T78" s="24"/>
    </row>
    <row r="79" spans="2:22">
      <c r="B79" s="7" t="s">
        <v>14</v>
      </c>
      <c r="C79" s="26" t="s">
        <v>15</v>
      </c>
      <c r="D79" s="24"/>
      <c r="E79" s="23"/>
      <c r="F79" s="24"/>
      <c r="G79" s="23"/>
      <c r="H79" s="24"/>
      <c r="I79" s="23"/>
      <c r="J79" s="24"/>
      <c r="K79" s="23"/>
      <c r="L79" s="24"/>
      <c r="M79" s="23"/>
      <c r="N79" s="24"/>
      <c r="O79" s="23"/>
      <c r="P79" s="24"/>
      <c r="Q79" s="23"/>
      <c r="R79" s="24"/>
      <c r="S79" s="23"/>
      <c r="T79" s="24"/>
    </row>
    <row r="80" spans="2:22">
      <c r="B80" s="7" t="s">
        <v>17</v>
      </c>
      <c r="C80" s="26" t="s">
        <v>18</v>
      </c>
      <c r="D80" s="24"/>
      <c r="E80" s="23"/>
      <c r="F80" s="24"/>
      <c r="G80" s="23"/>
      <c r="H80" s="24"/>
      <c r="I80" s="23"/>
      <c r="J80" s="24"/>
      <c r="K80" s="23"/>
      <c r="L80" s="24"/>
      <c r="M80" s="23"/>
      <c r="N80" s="24"/>
      <c r="O80" s="23"/>
      <c r="P80" s="24"/>
      <c r="Q80" s="23"/>
      <c r="R80" s="24"/>
      <c r="S80" s="23"/>
      <c r="T80" s="24"/>
    </row>
    <row r="81" spans="2:20">
      <c r="B81" s="7" t="s">
        <v>19</v>
      </c>
      <c r="C81" s="26" t="s">
        <v>20</v>
      </c>
      <c r="D81" s="24"/>
      <c r="E81" s="23"/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3"/>
      <c r="R81" s="24"/>
      <c r="S81" s="23"/>
      <c r="T81" s="24"/>
    </row>
    <row r="82" spans="2:20">
      <c r="B82" s="7" t="s">
        <v>21</v>
      </c>
      <c r="C82" s="26" t="s">
        <v>22</v>
      </c>
      <c r="D82" s="24"/>
      <c r="E82" s="25"/>
      <c r="F82" s="24"/>
      <c r="G82" s="25"/>
      <c r="H82" s="24"/>
      <c r="I82" s="25"/>
      <c r="J82" s="24"/>
      <c r="K82" s="25"/>
      <c r="L82" s="24"/>
      <c r="M82" s="25"/>
      <c r="N82" s="24"/>
      <c r="O82" s="25"/>
      <c r="P82" s="24"/>
      <c r="Q82" s="25"/>
      <c r="R82" s="24"/>
      <c r="S82" s="25"/>
      <c r="T82" s="24"/>
    </row>
    <row r="83" spans="2:20">
      <c r="B83" s="7" t="s">
        <v>23</v>
      </c>
      <c r="C83" s="26" t="s">
        <v>24</v>
      </c>
      <c r="D83" s="24"/>
      <c r="E83" s="23"/>
      <c r="F83" s="24"/>
      <c r="G83" s="23"/>
      <c r="H83" s="24"/>
      <c r="I83" s="23"/>
      <c r="J83" s="24"/>
      <c r="K83" s="23"/>
      <c r="L83" s="24"/>
      <c r="M83" s="23"/>
      <c r="N83" s="24"/>
      <c r="O83" s="23"/>
      <c r="P83" s="24"/>
      <c r="Q83" s="23"/>
      <c r="R83" s="24"/>
      <c r="S83" s="23"/>
      <c r="T83" s="24"/>
    </row>
    <row r="84" spans="2:20">
      <c r="B84" s="7" t="s">
        <v>25</v>
      </c>
      <c r="C84" s="26" t="s">
        <v>26</v>
      </c>
      <c r="D84" s="24"/>
      <c r="E84" s="23"/>
      <c r="F84" s="24"/>
      <c r="G84" s="23"/>
      <c r="H84" s="24"/>
      <c r="I84" s="23"/>
      <c r="J84" s="24"/>
      <c r="K84" s="23"/>
      <c r="L84" s="24"/>
      <c r="M84" s="23"/>
      <c r="N84" s="24"/>
      <c r="O84" s="23"/>
      <c r="P84" s="24"/>
      <c r="Q84" s="23"/>
      <c r="R84" s="24"/>
      <c r="S84" s="23"/>
      <c r="T84" s="24"/>
    </row>
    <row r="85" spans="2:20">
      <c r="B85" s="7" t="s">
        <v>27</v>
      </c>
      <c r="C85" s="26" t="s">
        <v>28</v>
      </c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4"/>
    </row>
    <row r="86" spans="2:20">
      <c r="B86" s="7" t="s">
        <v>29</v>
      </c>
      <c r="C86" s="26" t="s">
        <v>30</v>
      </c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4"/>
    </row>
    <row r="87" spans="2:20">
      <c r="B87" s="7" t="s">
        <v>31</v>
      </c>
      <c r="C87" s="26" t="s">
        <v>174</v>
      </c>
      <c r="D87" s="24"/>
      <c r="E87" s="23"/>
      <c r="F87" s="24"/>
      <c r="G87" s="23"/>
      <c r="H87" s="24"/>
      <c r="I87" s="23"/>
      <c r="J87" s="24"/>
      <c r="K87" s="23"/>
      <c r="L87" s="24"/>
      <c r="M87" s="23"/>
      <c r="N87" s="24"/>
      <c r="O87" s="23"/>
      <c r="P87" s="24"/>
      <c r="Q87" s="23"/>
      <c r="R87" s="24"/>
      <c r="S87" s="23"/>
      <c r="T87" s="24"/>
    </row>
    <row r="88" spans="2:20">
      <c r="B88" s="7" t="s">
        <v>32</v>
      </c>
      <c r="C88" s="12" t="s">
        <v>33</v>
      </c>
      <c r="D88" s="24"/>
      <c r="E88" s="23"/>
      <c r="F88" s="24"/>
      <c r="G88" s="23"/>
      <c r="H88" s="24"/>
      <c r="I88" s="23"/>
      <c r="J88" s="24"/>
      <c r="K88" s="23"/>
      <c r="L88" s="24"/>
      <c r="M88" s="23"/>
      <c r="N88" s="24"/>
      <c r="O88" s="23"/>
      <c r="P88" s="24"/>
      <c r="Q88" s="23"/>
      <c r="R88" s="24"/>
      <c r="S88" s="23"/>
      <c r="T88" s="24"/>
    </row>
    <row r="89" spans="2:20">
      <c r="B89" s="7" t="s">
        <v>34</v>
      </c>
      <c r="C89" s="12" t="s">
        <v>35</v>
      </c>
      <c r="D89" s="24"/>
      <c r="E89" s="25"/>
      <c r="F89" s="24"/>
      <c r="G89" s="25"/>
      <c r="H89" s="24"/>
      <c r="I89" s="25"/>
      <c r="J89" s="24"/>
      <c r="K89" s="25"/>
      <c r="L89" s="24"/>
      <c r="M89" s="25"/>
      <c r="N89" s="24"/>
      <c r="O89" s="25"/>
      <c r="P89" s="24"/>
      <c r="Q89" s="25"/>
      <c r="R89" s="24"/>
      <c r="S89" s="25"/>
      <c r="T89" s="24"/>
    </row>
    <row r="90" spans="2:20">
      <c r="B90" s="7" t="s">
        <v>37</v>
      </c>
      <c r="C90" s="12" t="s">
        <v>38</v>
      </c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23"/>
      <c r="P90" s="24"/>
      <c r="Q90" s="23"/>
      <c r="R90" s="24"/>
      <c r="S90" s="23"/>
      <c r="T90" s="24"/>
    </row>
    <row r="91" spans="2:20">
      <c r="B91" s="7" t="s">
        <v>39</v>
      </c>
      <c r="C91" s="12" t="s">
        <v>167</v>
      </c>
      <c r="D91" s="24"/>
      <c r="E91" s="23"/>
      <c r="F91" s="24"/>
      <c r="G91" s="23"/>
      <c r="H91" s="24"/>
      <c r="I91" s="23"/>
      <c r="J91" s="24"/>
      <c r="K91" s="23"/>
      <c r="L91" s="24"/>
      <c r="M91" s="23"/>
      <c r="N91" s="24"/>
      <c r="O91" s="23"/>
      <c r="P91" s="24"/>
      <c r="Q91" s="23"/>
      <c r="R91" s="24"/>
      <c r="S91" s="23"/>
      <c r="T91" s="24"/>
    </row>
    <row r="92" spans="2:20">
      <c r="B92" s="7" t="s">
        <v>40</v>
      </c>
      <c r="C92" s="12" t="s">
        <v>41</v>
      </c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/>
      <c r="P92" s="24"/>
      <c r="Q92" s="23"/>
      <c r="R92" s="24"/>
      <c r="S92" s="23"/>
      <c r="T92" s="24"/>
    </row>
    <row r="93" spans="2:20">
      <c r="B93" s="7" t="s">
        <v>42</v>
      </c>
      <c r="C93" s="12" t="s">
        <v>43</v>
      </c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</row>
    <row r="94" spans="2:20">
      <c r="B94" s="7" t="s">
        <v>45</v>
      </c>
      <c r="C94" s="12" t="s">
        <v>46</v>
      </c>
      <c r="D94" s="24"/>
      <c r="E94" s="25"/>
      <c r="F94" s="24"/>
      <c r="G94" s="25"/>
      <c r="H94" s="24"/>
      <c r="I94" s="25"/>
      <c r="J94" s="24"/>
      <c r="K94" s="25"/>
      <c r="L94" s="24"/>
      <c r="M94" s="25"/>
      <c r="N94" s="24"/>
      <c r="O94" s="25"/>
      <c r="P94" s="24"/>
      <c r="Q94" s="25"/>
      <c r="R94" s="24"/>
      <c r="S94" s="25"/>
      <c r="T94" s="24"/>
    </row>
    <row r="95" spans="2:20">
      <c r="B95" s="7" t="s">
        <v>47</v>
      </c>
      <c r="C95" s="12" t="s">
        <v>48</v>
      </c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4"/>
      <c r="O95" s="25"/>
      <c r="P95" s="24"/>
      <c r="Q95" s="25"/>
      <c r="R95" s="24"/>
      <c r="S95" s="25"/>
      <c r="T95" s="24"/>
    </row>
    <row r="96" spans="2:20">
      <c r="B96" s="7" t="s">
        <v>50</v>
      </c>
      <c r="C96" s="12" t="s">
        <v>168</v>
      </c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  <c r="P96" s="24"/>
      <c r="Q96" s="25"/>
      <c r="R96" s="24"/>
      <c r="S96" s="25"/>
      <c r="T96" s="24"/>
    </row>
    <row r="97" spans="2:20">
      <c r="B97" s="7" t="s">
        <v>51</v>
      </c>
      <c r="C97" s="12" t="s">
        <v>52</v>
      </c>
      <c r="D97" s="22"/>
      <c r="E97" s="23"/>
      <c r="F97" s="22"/>
      <c r="G97" s="23"/>
      <c r="H97" s="22"/>
      <c r="I97" s="23"/>
      <c r="J97" s="22"/>
      <c r="K97" s="23"/>
      <c r="L97" s="22"/>
      <c r="M97" s="23"/>
      <c r="N97" s="22"/>
      <c r="O97" s="23"/>
      <c r="P97" s="22"/>
      <c r="Q97" s="23"/>
      <c r="R97" s="22"/>
      <c r="S97" s="23"/>
      <c r="T97" s="22"/>
    </row>
    <row r="98" spans="2:20">
      <c r="B98" s="7" t="s">
        <v>53</v>
      </c>
      <c r="C98" s="12" t="s">
        <v>54</v>
      </c>
      <c r="D98" s="22"/>
      <c r="E98" s="23"/>
      <c r="F98" s="22"/>
      <c r="G98" s="23"/>
      <c r="H98" s="22"/>
      <c r="I98" s="23"/>
      <c r="J98" s="22"/>
      <c r="K98" s="23"/>
      <c r="L98" s="22"/>
      <c r="M98" s="23"/>
      <c r="N98" s="22"/>
      <c r="O98" s="23"/>
      <c r="P98" s="22"/>
      <c r="Q98" s="23"/>
      <c r="R98" s="22"/>
      <c r="S98" s="23"/>
      <c r="T98" s="22"/>
    </row>
    <row r="99" spans="2:20">
      <c r="B99" s="7" t="s">
        <v>55</v>
      </c>
      <c r="C99" s="12" t="s">
        <v>56</v>
      </c>
      <c r="D99" s="22"/>
      <c r="E99" s="23"/>
      <c r="F99" s="22"/>
      <c r="G99" s="23"/>
      <c r="H99" s="22"/>
      <c r="I99" s="23"/>
      <c r="J99" s="22"/>
      <c r="K99" s="23"/>
      <c r="L99" s="22"/>
      <c r="M99" s="23"/>
      <c r="N99" s="22"/>
      <c r="O99" s="23"/>
      <c r="P99" s="22"/>
      <c r="Q99" s="23"/>
      <c r="R99" s="22"/>
      <c r="S99" s="23"/>
      <c r="T99" s="22"/>
    </row>
    <row r="100" spans="2:20">
      <c r="B100" s="7" t="s">
        <v>57</v>
      </c>
      <c r="C100" s="12" t="s">
        <v>58</v>
      </c>
      <c r="D100" s="22"/>
      <c r="E100" s="23"/>
      <c r="F100" s="22"/>
      <c r="G100" s="23"/>
      <c r="H100" s="22"/>
      <c r="I100" s="23"/>
      <c r="J100" s="22"/>
      <c r="K100" s="23"/>
      <c r="L100" s="22"/>
      <c r="M100" s="23"/>
      <c r="N100" s="22"/>
      <c r="O100" s="23"/>
      <c r="P100" s="22"/>
      <c r="Q100" s="23"/>
      <c r="R100" s="22"/>
      <c r="S100" s="23"/>
      <c r="T100" s="22"/>
    </row>
    <row r="101" spans="2:20">
      <c r="B101" s="7" t="s">
        <v>59</v>
      </c>
      <c r="C101" s="12" t="s">
        <v>60</v>
      </c>
      <c r="D101" s="22"/>
      <c r="E101" s="23"/>
      <c r="F101" s="22"/>
      <c r="G101" s="23"/>
      <c r="H101" s="22"/>
      <c r="I101" s="23"/>
      <c r="J101" s="22"/>
      <c r="K101" s="23"/>
      <c r="L101" s="22"/>
      <c r="M101" s="23"/>
      <c r="N101" s="22"/>
      <c r="O101" s="23"/>
      <c r="P101" s="22"/>
      <c r="Q101" s="23"/>
      <c r="R101" s="22"/>
      <c r="S101" s="23"/>
      <c r="T101" s="22"/>
    </row>
    <row r="102" spans="2:20">
      <c r="B102" s="7" t="s">
        <v>53</v>
      </c>
      <c r="C102" s="12" t="s">
        <v>54</v>
      </c>
      <c r="D102" s="22"/>
      <c r="E102" s="23"/>
      <c r="F102" s="22"/>
      <c r="G102" s="23"/>
      <c r="H102" s="22"/>
      <c r="I102" s="23"/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</row>
    <row r="103" spans="2:20">
      <c r="B103" s="7" t="s">
        <v>408</v>
      </c>
      <c r="C103" s="12" t="s">
        <v>461</v>
      </c>
      <c r="D103" s="22"/>
      <c r="E103" s="23"/>
      <c r="F103" s="22"/>
      <c r="G103" s="23"/>
      <c r="H103" s="22"/>
      <c r="I103" s="23"/>
      <c r="J103" s="22"/>
      <c r="K103" s="23"/>
      <c r="L103" s="22"/>
      <c r="M103" s="23"/>
      <c r="N103" s="22"/>
      <c r="O103" s="23"/>
      <c r="P103" s="22"/>
      <c r="Q103" s="23"/>
      <c r="R103" s="22"/>
      <c r="S103" s="23"/>
      <c r="T103" s="22"/>
    </row>
    <row r="104" spans="2:20">
      <c r="B104" s="7" t="s">
        <v>61</v>
      </c>
      <c r="C104" s="12" t="s">
        <v>339</v>
      </c>
      <c r="D104" s="22"/>
      <c r="E104" s="23"/>
      <c r="F104" s="22"/>
      <c r="G104" s="23"/>
      <c r="H104" s="22"/>
      <c r="I104" s="23"/>
      <c r="J104" s="22"/>
      <c r="K104" s="23"/>
      <c r="L104" s="22"/>
      <c r="M104" s="23"/>
      <c r="N104" s="22"/>
      <c r="O104" s="23"/>
      <c r="P104" s="22"/>
      <c r="Q104" s="23"/>
      <c r="R104" s="22"/>
      <c r="S104" s="23"/>
      <c r="T104" s="22"/>
    </row>
    <row r="105" spans="2:20">
      <c r="B105" s="7" t="s">
        <v>125</v>
      </c>
      <c r="C105" s="12" t="s">
        <v>169</v>
      </c>
      <c r="D105" s="22"/>
      <c r="E105" s="23"/>
      <c r="F105" s="22"/>
      <c r="G105" s="23"/>
      <c r="H105" s="22"/>
      <c r="I105" s="23"/>
      <c r="J105" s="22"/>
      <c r="K105" s="23"/>
      <c r="L105" s="22"/>
      <c r="M105" s="23"/>
      <c r="N105" s="22"/>
      <c r="O105" s="23"/>
      <c r="P105" s="22"/>
      <c r="Q105" s="23"/>
      <c r="R105" s="22"/>
      <c r="S105" s="23"/>
      <c r="T105" s="22"/>
    </row>
    <row r="106" spans="2:20">
      <c r="B106" s="9" t="s">
        <v>62</v>
      </c>
      <c r="C106" s="12" t="s">
        <v>340</v>
      </c>
      <c r="D106" s="22"/>
      <c r="E106" s="23"/>
      <c r="F106" s="22"/>
      <c r="G106" s="23"/>
      <c r="H106" s="22"/>
      <c r="I106" s="23"/>
      <c r="J106" s="22"/>
      <c r="K106" s="23"/>
      <c r="L106" s="22"/>
      <c r="M106" s="23"/>
      <c r="N106" s="22"/>
      <c r="O106" s="23"/>
      <c r="P106" s="22"/>
      <c r="Q106" s="23"/>
      <c r="R106" s="22"/>
      <c r="S106" s="23"/>
      <c r="T106" s="22"/>
    </row>
    <row r="107" spans="2:20">
      <c r="B107" s="9" t="s">
        <v>63</v>
      </c>
      <c r="C107" s="12" t="s">
        <v>64</v>
      </c>
      <c r="D107" s="22"/>
      <c r="E107" s="23"/>
      <c r="F107" s="22"/>
      <c r="G107" s="23"/>
      <c r="H107" s="22"/>
      <c r="I107" s="23"/>
      <c r="J107" s="22"/>
      <c r="K107" s="23"/>
      <c r="L107" s="22"/>
      <c r="M107" s="23"/>
      <c r="N107" s="22"/>
      <c r="O107" s="23"/>
      <c r="P107" s="22"/>
      <c r="Q107" s="23"/>
      <c r="R107" s="22"/>
      <c r="S107" s="23"/>
      <c r="T107" s="22"/>
    </row>
    <row r="108" spans="2:20">
      <c r="B108" s="9" t="s">
        <v>65</v>
      </c>
      <c r="C108" s="12" t="s">
        <v>66</v>
      </c>
      <c r="D108" s="22"/>
      <c r="E108" s="23"/>
      <c r="F108" s="22"/>
      <c r="G108" s="23"/>
      <c r="H108" s="22"/>
      <c r="I108" s="23"/>
      <c r="J108" s="22"/>
      <c r="K108" s="23"/>
      <c r="L108" s="22"/>
      <c r="M108" s="23"/>
      <c r="N108" s="22"/>
      <c r="O108" s="23"/>
      <c r="P108" s="22"/>
      <c r="Q108" s="23"/>
      <c r="R108" s="22"/>
      <c r="S108" s="23"/>
      <c r="T108" s="22"/>
    </row>
    <row r="109" spans="2:20">
      <c r="B109" s="9" t="s">
        <v>67</v>
      </c>
      <c r="C109" s="12" t="s">
        <v>68</v>
      </c>
      <c r="D109" s="22"/>
      <c r="E109" s="23"/>
      <c r="F109" s="22"/>
      <c r="G109" s="23"/>
      <c r="H109" s="22"/>
      <c r="I109" s="23"/>
      <c r="J109" s="22"/>
      <c r="K109" s="23"/>
      <c r="L109" s="22"/>
      <c r="M109" s="23"/>
      <c r="N109" s="22"/>
      <c r="O109" s="23"/>
      <c r="P109" s="22"/>
      <c r="Q109" s="23"/>
      <c r="R109" s="22"/>
      <c r="S109" s="23"/>
      <c r="T109" s="22"/>
    </row>
    <row r="110" spans="2:20">
      <c r="B110" s="9" t="s">
        <v>69</v>
      </c>
      <c r="C110" s="12" t="s">
        <v>70</v>
      </c>
      <c r="D110" s="22"/>
      <c r="E110" s="23"/>
      <c r="F110" s="22"/>
      <c r="G110" s="23"/>
      <c r="H110" s="22"/>
      <c r="I110" s="23"/>
      <c r="J110" s="22"/>
      <c r="K110" s="23"/>
      <c r="L110" s="22"/>
      <c r="M110" s="23"/>
      <c r="N110" s="22"/>
      <c r="O110" s="23"/>
      <c r="P110" s="22"/>
      <c r="Q110" s="23"/>
      <c r="R110" s="22"/>
      <c r="S110" s="23"/>
      <c r="T110" s="22"/>
    </row>
    <row r="111" spans="2:20">
      <c r="B111" s="9" t="s">
        <v>71</v>
      </c>
      <c r="C111" s="12" t="s">
        <v>72</v>
      </c>
      <c r="D111" s="22"/>
      <c r="E111" s="23"/>
      <c r="F111" s="22"/>
      <c r="G111" s="23"/>
      <c r="H111" s="22"/>
      <c r="I111" s="23"/>
      <c r="J111" s="22"/>
      <c r="K111" s="23"/>
      <c r="L111" s="22"/>
      <c r="M111" s="23"/>
      <c r="N111" s="22"/>
      <c r="O111" s="23"/>
      <c r="P111" s="22"/>
      <c r="Q111" s="23"/>
      <c r="R111" s="22"/>
      <c r="S111" s="23"/>
      <c r="T111" s="22"/>
    </row>
    <row r="112" spans="2:20">
      <c r="B112" s="9" t="s">
        <v>128</v>
      </c>
      <c r="C112" s="12" t="s">
        <v>178</v>
      </c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</row>
    <row r="113" spans="2:20">
      <c r="B113" s="9" t="s">
        <v>74</v>
      </c>
      <c r="C113" s="12" t="s">
        <v>75</v>
      </c>
      <c r="D113" s="22"/>
      <c r="E113" s="23"/>
      <c r="F113" s="22"/>
      <c r="G113" s="23"/>
      <c r="H113" s="22"/>
      <c r="I113" s="23"/>
      <c r="J113" s="22"/>
      <c r="K113" s="23"/>
      <c r="L113" s="22"/>
      <c r="M113" s="23"/>
      <c r="N113" s="22"/>
      <c r="O113" s="23"/>
      <c r="P113" s="22"/>
      <c r="Q113" s="23"/>
      <c r="R113" s="22"/>
      <c r="S113" s="23"/>
      <c r="T113" s="22"/>
    </row>
    <row r="114" spans="2:20">
      <c r="B114" s="9" t="s">
        <v>76</v>
      </c>
      <c r="C114" s="12" t="s">
        <v>77</v>
      </c>
      <c r="D114" s="22"/>
      <c r="E114" s="23"/>
      <c r="F114" s="22"/>
      <c r="G114" s="23"/>
      <c r="H114" s="22"/>
      <c r="I114" s="23"/>
      <c r="J114" s="22"/>
      <c r="K114" s="23"/>
      <c r="L114" s="22"/>
      <c r="M114" s="23"/>
      <c r="N114" s="22"/>
      <c r="O114" s="23"/>
      <c r="P114" s="22"/>
      <c r="Q114" s="23"/>
      <c r="R114" s="22"/>
      <c r="S114" s="23"/>
      <c r="T114" s="22"/>
    </row>
    <row r="115" spans="2:20">
      <c r="B115" s="9" t="s">
        <v>78</v>
      </c>
      <c r="C115" s="12" t="s">
        <v>150</v>
      </c>
      <c r="D115" s="22"/>
      <c r="E115" s="23"/>
      <c r="F115" s="22"/>
      <c r="G115" s="23"/>
      <c r="H115" s="22"/>
      <c r="I115" s="23"/>
      <c r="J115" s="22"/>
      <c r="K115" s="23"/>
      <c r="L115" s="22"/>
      <c r="M115" s="23"/>
      <c r="N115" s="22"/>
      <c r="O115" s="23"/>
      <c r="P115" s="22"/>
      <c r="Q115" s="23"/>
      <c r="R115" s="22"/>
      <c r="S115" s="23"/>
      <c r="T115" s="22"/>
    </row>
    <row r="116" spans="2:20">
      <c r="B116" s="9" t="s">
        <v>79</v>
      </c>
      <c r="C116" s="12" t="s">
        <v>80</v>
      </c>
      <c r="D116" s="22"/>
      <c r="E116" s="23"/>
      <c r="F116" s="22"/>
      <c r="G116" s="23"/>
      <c r="H116" s="22"/>
      <c r="I116" s="23"/>
      <c r="J116" s="22"/>
      <c r="K116" s="23"/>
      <c r="L116" s="22"/>
      <c r="M116" s="23"/>
      <c r="N116" s="22"/>
      <c r="O116" s="23"/>
      <c r="P116" s="22"/>
      <c r="Q116" s="23"/>
      <c r="R116" s="22"/>
      <c r="S116" s="23"/>
      <c r="T116" s="22"/>
    </row>
    <row r="117" spans="2:20">
      <c r="B117" s="9" t="s">
        <v>81</v>
      </c>
      <c r="C117" s="12" t="s">
        <v>82</v>
      </c>
      <c r="D117" s="22"/>
      <c r="E117" s="23"/>
      <c r="F117" s="22"/>
      <c r="G117" s="23"/>
      <c r="H117" s="22"/>
      <c r="I117" s="23"/>
      <c r="J117" s="22"/>
      <c r="K117" s="23"/>
      <c r="L117" s="22"/>
      <c r="M117" s="23"/>
      <c r="N117" s="22"/>
      <c r="O117" s="23"/>
      <c r="P117" s="22"/>
      <c r="Q117" s="23"/>
      <c r="R117" s="22"/>
      <c r="S117" s="23"/>
      <c r="T117" s="22"/>
    </row>
    <row r="118" spans="2:20">
      <c r="B118" s="9" t="s">
        <v>83</v>
      </c>
      <c r="C118" s="12" t="s">
        <v>84</v>
      </c>
      <c r="D118" s="24"/>
      <c r="E118" s="25"/>
      <c r="F118" s="24"/>
      <c r="G118" s="25"/>
      <c r="H118" s="24"/>
      <c r="I118" s="25"/>
      <c r="J118" s="24"/>
      <c r="K118" s="25"/>
      <c r="L118" s="24"/>
      <c r="M118" s="25"/>
      <c r="N118" s="24"/>
      <c r="O118" s="25"/>
      <c r="P118" s="24"/>
      <c r="Q118" s="25"/>
      <c r="R118" s="24"/>
      <c r="S118" s="25"/>
      <c r="T118" s="24"/>
    </row>
    <row r="119" spans="2:20">
      <c r="B119" s="9" t="s">
        <v>85</v>
      </c>
      <c r="C119" s="12" t="s">
        <v>341</v>
      </c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22"/>
      <c r="Q119" s="23"/>
      <c r="R119" s="22"/>
      <c r="S119" s="23"/>
      <c r="T119" s="22"/>
    </row>
    <row r="120" spans="2:20">
      <c r="B120" s="9" t="s">
        <v>129</v>
      </c>
      <c r="C120" s="12" t="s">
        <v>179</v>
      </c>
      <c r="D120" s="22"/>
      <c r="E120" s="23"/>
      <c r="F120" s="22"/>
      <c r="G120" s="23"/>
      <c r="H120" s="22"/>
      <c r="I120" s="23"/>
      <c r="J120" s="22"/>
      <c r="K120" s="23"/>
      <c r="L120" s="22"/>
      <c r="M120" s="23"/>
      <c r="N120" s="22"/>
      <c r="O120" s="23"/>
      <c r="P120" s="22"/>
      <c r="Q120" s="23"/>
      <c r="R120" s="22"/>
      <c r="S120" s="23"/>
      <c r="T120" s="22"/>
    </row>
    <row r="121" spans="2:20">
      <c r="B121" s="9" t="s">
        <v>86</v>
      </c>
      <c r="C121" s="12" t="s">
        <v>87</v>
      </c>
      <c r="D121" s="22"/>
      <c r="E121" s="23"/>
      <c r="F121" s="22"/>
      <c r="G121" s="23"/>
      <c r="H121" s="22"/>
      <c r="I121" s="23"/>
      <c r="J121" s="22"/>
      <c r="K121" s="23"/>
      <c r="L121" s="22"/>
      <c r="M121" s="23"/>
      <c r="N121" s="22"/>
      <c r="O121" s="23"/>
      <c r="P121" s="22"/>
      <c r="Q121" s="23"/>
      <c r="R121" s="22"/>
      <c r="S121" s="23"/>
      <c r="T121" s="22"/>
    </row>
    <row r="122" spans="2:20">
      <c r="B122" s="9" t="s">
        <v>88</v>
      </c>
      <c r="C122" s="12" t="s">
        <v>89</v>
      </c>
      <c r="D122" s="22"/>
      <c r="E122" s="23"/>
      <c r="F122" s="22"/>
      <c r="G122" s="23"/>
      <c r="H122" s="22"/>
      <c r="I122" s="23"/>
      <c r="J122" s="22"/>
      <c r="K122" s="23"/>
      <c r="L122" s="22"/>
      <c r="M122" s="23"/>
      <c r="N122" s="22"/>
      <c r="O122" s="23"/>
      <c r="P122" s="22"/>
      <c r="Q122" s="23"/>
      <c r="R122" s="22"/>
      <c r="S122" s="23"/>
      <c r="T122" s="22"/>
    </row>
    <row r="123" spans="2:20">
      <c r="B123" s="9" t="s">
        <v>90</v>
      </c>
      <c r="C123" s="12" t="s">
        <v>91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22"/>
    </row>
    <row r="124" spans="2:20">
      <c r="B124" s="9" t="s">
        <v>92</v>
      </c>
      <c r="C124" s="12" t="s">
        <v>93</v>
      </c>
      <c r="D124" s="24"/>
      <c r="E124" s="25"/>
      <c r="F124" s="24"/>
      <c r="G124" s="25"/>
      <c r="H124" s="24"/>
      <c r="I124" s="25"/>
      <c r="J124" s="24"/>
      <c r="K124" s="25"/>
      <c r="L124" s="24"/>
      <c r="M124" s="25"/>
      <c r="N124" s="24"/>
      <c r="O124" s="25"/>
      <c r="P124" s="24"/>
      <c r="Q124" s="25"/>
      <c r="R124" s="24"/>
      <c r="S124" s="25"/>
      <c r="T124" s="24"/>
    </row>
    <row r="125" spans="2:20">
      <c r="B125" s="9" t="s">
        <v>94</v>
      </c>
      <c r="C125" s="12" t="s">
        <v>95</v>
      </c>
      <c r="D125" s="24"/>
      <c r="E125" s="25"/>
      <c r="F125" s="24"/>
      <c r="G125" s="25"/>
      <c r="H125" s="24"/>
      <c r="I125" s="25"/>
      <c r="J125" s="24"/>
      <c r="K125" s="25"/>
      <c r="L125" s="24"/>
      <c r="M125" s="25"/>
      <c r="N125" s="24"/>
      <c r="O125" s="25"/>
      <c r="P125" s="24"/>
      <c r="Q125" s="25"/>
      <c r="R125" s="24"/>
      <c r="S125" s="25"/>
      <c r="T125" s="24"/>
    </row>
    <row r="126" spans="2:20">
      <c r="B126" s="9" t="s">
        <v>96</v>
      </c>
      <c r="C126" s="12" t="s">
        <v>97</v>
      </c>
      <c r="D126" s="24"/>
      <c r="E126" s="25"/>
      <c r="F126" s="24"/>
      <c r="G126" s="25"/>
      <c r="H126" s="24"/>
      <c r="I126" s="25"/>
      <c r="J126" s="24"/>
      <c r="K126" s="25"/>
      <c r="L126" s="24"/>
      <c r="M126" s="25"/>
      <c r="N126" s="24"/>
      <c r="O126" s="25"/>
      <c r="P126" s="24"/>
      <c r="Q126" s="25"/>
      <c r="R126" s="24"/>
      <c r="S126" s="25"/>
      <c r="T126" s="24"/>
    </row>
    <row r="127" spans="2:20">
      <c r="B127" s="9" t="s">
        <v>99</v>
      </c>
      <c r="C127" s="12" t="s">
        <v>100</v>
      </c>
      <c r="D127" s="24"/>
      <c r="E127" s="25"/>
      <c r="F127" s="24"/>
      <c r="G127" s="25"/>
      <c r="H127" s="24"/>
      <c r="I127" s="25"/>
      <c r="J127" s="24"/>
      <c r="K127" s="25"/>
      <c r="L127" s="24"/>
      <c r="M127" s="25"/>
      <c r="N127" s="24"/>
      <c r="O127" s="25"/>
      <c r="P127" s="24"/>
      <c r="Q127" s="25"/>
      <c r="R127" s="24"/>
      <c r="S127" s="25"/>
      <c r="T127" s="24"/>
    </row>
    <row r="128" spans="2:20">
      <c r="B128" s="9" t="s">
        <v>101</v>
      </c>
      <c r="C128" s="12" t="s">
        <v>102</v>
      </c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  <c r="P128" s="24"/>
      <c r="Q128" s="25"/>
      <c r="R128" s="24"/>
      <c r="S128" s="25"/>
      <c r="T128" s="24"/>
    </row>
    <row r="129" spans="2:20">
      <c r="B129" s="9" t="s">
        <v>103</v>
      </c>
      <c r="C129" s="12" t="s">
        <v>104</v>
      </c>
      <c r="D129" s="24"/>
      <c r="E129" s="25"/>
      <c r="F129" s="24"/>
      <c r="G129" s="25"/>
      <c r="H129" s="24"/>
      <c r="I129" s="25"/>
      <c r="J129" s="24"/>
      <c r="K129" s="25"/>
      <c r="L129" s="24"/>
      <c r="M129" s="25"/>
      <c r="N129" s="24"/>
      <c r="O129" s="25"/>
      <c r="P129" s="24"/>
      <c r="Q129" s="25"/>
      <c r="R129" s="24"/>
      <c r="S129" s="25"/>
      <c r="T129" s="24"/>
    </row>
    <row r="130" spans="2:20">
      <c r="B130" s="9" t="s">
        <v>105</v>
      </c>
      <c r="C130" s="12" t="s">
        <v>106</v>
      </c>
      <c r="D130" s="24"/>
      <c r="E130" s="25"/>
      <c r="F130" s="24"/>
      <c r="G130" s="25"/>
      <c r="H130" s="24"/>
      <c r="I130" s="25"/>
      <c r="J130" s="24"/>
      <c r="K130" s="25"/>
      <c r="L130" s="24"/>
      <c r="M130" s="25"/>
      <c r="N130" s="24"/>
      <c r="O130" s="25"/>
      <c r="P130" s="24"/>
      <c r="Q130" s="25"/>
      <c r="R130" s="24"/>
      <c r="S130" s="25"/>
      <c r="T130" s="24"/>
    </row>
    <row r="131" spans="2:20">
      <c r="B131" s="9" t="s">
        <v>107</v>
      </c>
      <c r="C131" s="12" t="s">
        <v>172</v>
      </c>
      <c r="D131" s="24"/>
      <c r="E131" s="25"/>
      <c r="F131" s="24"/>
      <c r="G131" s="25"/>
      <c r="H131" s="24"/>
      <c r="I131" s="25"/>
      <c r="J131" s="24"/>
      <c r="K131" s="25"/>
      <c r="L131" s="24"/>
      <c r="M131" s="25"/>
      <c r="N131" s="24"/>
      <c r="O131" s="25"/>
      <c r="P131" s="24"/>
      <c r="Q131" s="25"/>
      <c r="R131" s="24"/>
      <c r="S131" s="25"/>
      <c r="T131" s="24"/>
    </row>
    <row r="132" spans="2:20">
      <c r="B132" s="9" t="s">
        <v>108</v>
      </c>
      <c r="C132" s="12" t="s">
        <v>173</v>
      </c>
      <c r="D132" s="22"/>
      <c r="E132" s="23"/>
      <c r="F132" s="22"/>
      <c r="G132" s="23"/>
      <c r="H132" s="22"/>
      <c r="I132" s="23"/>
      <c r="J132" s="22"/>
      <c r="K132" s="23"/>
      <c r="L132" s="22"/>
      <c r="M132" s="23"/>
      <c r="N132" s="22"/>
      <c r="O132" s="23"/>
      <c r="P132" s="22"/>
      <c r="Q132" s="23"/>
      <c r="R132" s="22"/>
      <c r="S132" s="23"/>
      <c r="T132" s="22"/>
    </row>
    <row r="133" spans="2:20">
      <c r="B133" s="9" t="s">
        <v>130</v>
      </c>
      <c r="C133" s="12" t="s">
        <v>175</v>
      </c>
      <c r="D133" s="22"/>
      <c r="E133" s="23"/>
      <c r="F133" s="22"/>
      <c r="G133" s="23"/>
      <c r="H133" s="22"/>
      <c r="I133" s="23"/>
      <c r="J133" s="22"/>
      <c r="K133" s="23"/>
      <c r="L133" s="22"/>
      <c r="M133" s="23"/>
      <c r="N133" s="22"/>
      <c r="O133" s="23"/>
      <c r="P133" s="22"/>
      <c r="Q133" s="23"/>
      <c r="R133" s="22"/>
      <c r="S133" s="23"/>
      <c r="T133" s="22"/>
    </row>
    <row r="134" spans="2:20">
      <c r="B134" s="9" t="s">
        <v>110</v>
      </c>
      <c r="C134" s="12" t="s">
        <v>111</v>
      </c>
      <c r="D134" s="22"/>
      <c r="E134" s="23"/>
      <c r="F134" s="22"/>
      <c r="G134" s="23"/>
      <c r="H134" s="22"/>
      <c r="I134" s="23"/>
      <c r="J134" s="22"/>
      <c r="K134" s="23"/>
      <c r="L134" s="22"/>
      <c r="M134" s="23"/>
      <c r="N134" s="22"/>
      <c r="O134" s="23"/>
      <c r="P134" s="22"/>
      <c r="Q134" s="23"/>
      <c r="R134" s="22"/>
      <c r="S134" s="23"/>
      <c r="T134" s="22"/>
    </row>
    <row r="135" spans="2:20">
      <c r="B135" s="9" t="s">
        <v>117</v>
      </c>
      <c r="C135" s="12" t="s">
        <v>118</v>
      </c>
      <c r="D135" s="22"/>
      <c r="E135" s="23"/>
      <c r="F135" s="22"/>
      <c r="G135" s="23"/>
      <c r="H135" s="22"/>
      <c r="I135" s="23"/>
      <c r="J135" s="22"/>
      <c r="K135" s="23"/>
      <c r="L135" s="22"/>
      <c r="M135" s="23"/>
      <c r="N135" s="22"/>
      <c r="O135" s="23"/>
      <c r="P135" s="22"/>
      <c r="Q135" s="23"/>
      <c r="R135" s="22"/>
      <c r="S135" s="23"/>
      <c r="T135" s="22"/>
    </row>
    <row r="136" spans="2:20">
      <c r="B136" s="9" t="s">
        <v>151</v>
      </c>
      <c r="C136" s="12" t="s">
        <v>176</v>
      </c>
      <c r="D136" s="24"/>
      <c r="E136" s="25"/>
      <c r="F136" s="24"/>
      <c r="G136" s="25"/>
      <c r="H136" s="24"/>
      <c r="I136" s="25"/>
      <c r="J136" s="24"/>
      <c r="K136" s="25"/>
      <c r="L136" s="24"/>
      <c r="M136" s="25"/>
      <c r="N136" s="24"/>
      <c r="O136" s="25"/>
      <c r="P136" s="24"/>
      <c r="Q136" s="25"/>
      <c r="R136" s="24"/>
      <c r="S136" s="25"/>
      <c r="T136" s="24"/>
    </row>
    <row r="137" spans="2:20">
      <c r="B137" s="9" t="s">
        <v>131</v>
      </c>
      <c r="C137" s="12" t="s">
        <v>119</v>
      </c>
      <c r="D137" s="24"/>
      <c r="E137" s="25"/>
      <c r="F137" s="24"/>
      <c r="G137" s="25"/>
      <c r="H137" s="24"/>
      <c r="I137" s="25"/>
      <c r="J137" s="24"/>
      <c r="K137" s="25"/>
      <c r="L137" s="24"/>
      <c r="M137" s="25"/>
      <c r="N137" s="24"/>
      <c r="O137" s="25"/>
      <c r="P137" s="24"/>
      <c r="Q137" s="25"/>
      <c r="R137" s="24"/>
      <c r="S137" s="25"/>
      <c r="T137" s="24"/>
    </row>
    <row r="138" spans="2:20">
      <c r="B138" s="9" t="s">
        <v>132</v>
      </c>
      <c r="C138" s="12" t="s">
        <v>177</v>
      </c>
      <c r="D138" s="22"/>
      <c r="E138" s="23"/>
      <c r="F138" s="22"/>
      <c r="G138" s="23"/>
      <c r="H138" s="22"/>
      <c r="I138" s="23"/>
      <c r="J138" s="22"/>
      <c r="K138" s="23"/>
      <c r="L138" s="22"/>
      <c r="M138" s="23"/>
      <c r="N138" s="22"/>
      <c r="O138" s="23"/>
      <c r="P138" s="22"/>
      <c r="Q138" s="23"/>
      <c r="R138" s="22"/>
      <c r="S138" s="23"/>
      <c r="T138" s="22"/>
    </row>
    <row r="139" spans="2:20">
      <c r="B139" s="9" t="s">
        <v>0</v>
      </c>
      <c r="C139" s="12" t="s">
        <v>133</v>
      </c>
      <c r="D139" s="22"/>
      <c r="E139" s="23"/>
      <c r="F139" s="22"/>
      <c r="G139" s="23"/>
      <c r="H139" s="22"/>
      <c r="I139" s="23"/>
      <c r="J139" s="22"/>
      <c r="K139" s="23"/>
      <c r="L139" s="22"/>
      <c r="M139" s="23"/>
      <c r="N139" s="22"/>
      <c r="O139" s="23"/>
      <c r="P139" s="22"/>
      <c r="Q139" s="23"/>
      <c r="R139" s="22"/>
      <c r="S139" s="23"/>
      <c r="T139" s="22"/>
    </row>
    <row r="140" spans="2:20">
      <c r="B140" s="9" t="s">
        <v>134</v>
      </c>
      <c r="C140" s="12" t="s">
        <v>135</v>
      </c>
      <c r="D140" s="22"/>
      <c r="E140" s="23"/>
      <c r="F140" s="22"/>
      <c r="G140" s="23"/>
      <c r="H140" s="22"/>
      <c r="I140" s="23"/>
      <c r="J140" s="22"/>
      <c r="K140" s="23"/>
      <c r="L140" s="22"/>
      <c r="M140" s="23"/>
      <c r="N140" s="22"/>
      <c r="O140" s="23"/>
      <c r="P140" s="22"/>
      <c r="Q140" s="23"/>
      <c r="R140" s="22"/>
      <c r="S140" s="23"/>
      <c r="T140" s="22"/>
    </row>
    <row r="141" spans="2:20">
      <c r="B141" s="9" t="s">
        <v>136</v>
      </c>
      <c r="C141" s="12" t="s">
        <v>137</v>
      </c>
      <c r="D141" s="22"/>
      <c r="E141" s="23"/>
      <c r="F141" s="22"/>
      <c r="G141" s="23"/>
      <c r="H141" s="22"/>
      <c r="I141" s="23"/>
      <c r="J141" s="22"/>
      <c r="K141" s="23"/>
      <c r="L141" s="22"/>
      <c r="M141" s="23"/>
      <c r="N141" s="22"/>
      <c r="O141" s="23"/>
      <c r="P141" s="22"/>
      <c r="Q141" s="23"/>
      <c r="R141" s="22"/>
      <c r="S141" s="23"/>
      <c r="T141" s="22"/>
    </row>
    <row r="142" spans="2:20">
      <c r="B142" s="9" t="s">
        <v>115</v>
      </c>
      <c r="C142" s="12" t="s">
        <v>138</v>
      </c>
    </row>
    <row r="143" spans="2:20">
      <c r="B143" s="9" t="s">
        <v>112</v>
      </c>
      <c r="C143" s="12" t="s">
        <v>139</v>
      </c>
    </row>
    <row r="144" spans="2:20">
      <c r="B144" s="9" t="s">
        <v>140</v>
      </c>
      <c r="C144" s="12" t="s">
        <v>141</v>
      </c>
    </row>
    <row r="145" spans="2:22">
      <c r="B145" s="9" t="s">
        <v>120</v>
      </c>
      <c r="C145" s="12" t="s">
        <v>142</v>
      </c>
    </row>
    <row r="146" spans="2:22">
      <c r="B146" s="9" t="s">
        <v>143</v>
      </c>
      <c r="C146" s="12" t="s">
        <v>144</v>
      </c>
    </row>
    <row r="147" spans="2:22">
      <c r="B147" s="9" t="s">
        <v>121</v>
      </c>
      <c r="C147" s="12" t="s">
        <v>145</v>
      </c>
    </row>
    <row r="148" spans="2:22">
      <c r="B148" s="9" t="s">
        <v>122</v>
      </c>
      <c r="C148" s="12" t="s">
        <v>146</v>
      </c>
    </row>
    <row r="149" spans="2:22">
      <c r="B149" s="9" t="s">
        <v>328</v>
      </c>
      <c r="C149" s="12" t="s">
        <v>147</v>
      </c>
    </row>
    <row r="150" spans="2:22">
      <c r="B150" s="9" t="s">
        <v>124</v>
      </c>
      <c r="C150" s="12" t="s">
        <v>148</v>
      </c>
    </row>
    <row r="151" spans="2:22">
      <c r="B151" s="11" t="s">
        <v>265</v>
      </c>
      <c r="C151" s="11" t="s">
        <v>266</v>
      </c>
    </row>
    <row r="154" spans="2:22">
      <c r="B154" s="357" t="s">
        <v>255</v>
      </c>
      <c r="C154" s="357"/>
      <c r="D154" s="357"/>
      <c r="E154" s="357"/>
      <c r="F154" s="357"/>
      <c r="G154" s="357"/>
      <c r="H154" s="357"/>
      <c r="I154" s="357"/>
      <c r="J154" s="357"/>
      <c r="K154" s="357"/>
      <c r="L154" s="357"/>
      <c r="M154" s="357"/>
      <c r="N154" s="357"/>
      <c r="O154" s="357"/>
      <c r="P154" s="357"/>
      <c r="Q154" s="357"/>
      <c r="R154" s="357"/>
      <c r="S154" s="357"/>
      <c r="T154" s="357"/>
    </row>
    <row r="158" spans="2:22">
      <c r="C158" s="11">
        <v>2006</v>
      </c>
      <c r="E158" s="11">
        <v>2007</v>
      </c>
      <c r="G158" s="11">
        <v>2008</v>
      </c>
      <c r="I158" s="11">
        <v>2009</v>
      </c>
      <c r="K158" s="11">
        <v>2010</v>
      </c>
      <c r="M158" s="11">
        <v>2011</v>
      </c>
      <c r="O158" s="11">
        <v>2012</v>
      </c>
      <c r="Q158" s="11">
        <v>2013</v>
      </c>
      <c r="S158" s="11">
        <v>2014</v>
      </c>
      <c r="U158" s="11">
        <v>2015</v>
      </c>
    </row>
    <row r="159" spans="2:22">
      <c r="B159" s="11" t="s">
        <v>258</v>
      </c>
      <c r="C159" s="11" t="s">
        <v>262</v>
      </c>
      <c r="D159" s="11" t="s">
        <v>152</v>
      </c>
      <c r="E159" s="11" t="s">
        <v>262</v>
      </c>
      <c r="F159" s="11" t="s">
        <v>152</v>
      </c>
      <c r="G159" s="11" t="s">
        <v>262</v>
      </c>
      <c r="H159" s="11" t="s">
        <v>152</v>
      </c>
      <c r="I159" s="11" t="s">
        <v>262</v>
      </c>
      <c r="J159" s="11" t="s">
        <v>152</v>
      </c>
      <c r="K159" s="11" t="s">
        <v>262</v>
      </c>
      <c r="L159" s="11" t="s">
        <v>152</v>
      </c>
      <c r="M159" s="11" t="s">
        <v>262</v>
      </c>
      <c r="N159" s="11" t="s">
        <v>152</v>
      </c>
      <c r="O159" s="11" t="s">
        <v>262</v>
      </c>
      <c r="P159" s="11" t="s">
        <v>152</v>
      </c>
      <c r="Q159" s="11" t="s">
        <v>262</v>
      </c>
      <c r="R159" s="11" t="s">
        <v>152</v>
      </c>
      <c r="S159" s="11" t="s">
        <v>262</v>
      </c>
      <c r="T159" s="11" t="s">
        <v>152</v>
      </c>
      <c r="U159" s="11" t="s">
        <v>262</v>
      </c>
      <c r="V159" s="1" t="s">
        <v>152</v>
      </c>
    </row>
    <row r="160" spans="2:22">
      <c r="B160" s="11" t="s">
        <v>257</v>
      </c>
      <c r="C160" s="11" t="s">
        <v>262</v>
      </c>
      <c r="D160" s="11" t="s">
        <v>256</v>
      </c>
      <c r="E160" s="11" t="s">
        <v>262</v>
      </c>
      <c r="F160" s="11" t="s">
        <v>256</v>
      </c>
      <c r="G160" s="11" t="s">
        <v>262</v>
      </c>
      <c r="H160" s="11" t="s">
        <v>256</v>
      </c>
      <c r="I160" s="11" t="s">
        <v>262</v>
      </c>
      <c r="J160" s="11" t="s">
        <v>256</v>
      </c>
      <c r="K160" s="11" t="s">
        <v>262</v>
      </c>
      <c r="L160" s="11" t="s">
        <v>256</v>
      </c>
      <c r="M160" s="11" t="s">
        <v>262</v>
      </c>
      <c r="N160" s="11" t="s">
        <v>256</v>
      </c>
      <c r="O160" s="11" t="s">
        <v>262</v>
      </c>
      <c r="P160" s="11" t="s">
        <v>256</v>
      </c>
      <c r="Q160" s="11" t="s">
        <v>262</v>
      </c>
      <c r="R160" s="11" t="s">
        <v>256</v>
      </c>
      <c r="S160" s="11" t="s">
        <v>262</v>
      </c>
      <c r="T160" s="11" t="s">
        <v>256</v>
      </c>
      <c r="U160" s="11" t="s">
        <v>262</v>
      </c>
      <c r="V160" s="1" t="s">
        <v>256</v>
      </c>
    </row>
    <row r="161" spans="2:3">
      <c r="B161" s="11" t="s">
        <v>260</v>
      </c>
      <c r="C161" s="11" t="s">
        <v>259</v>
      </c>
    </row>
    <row r="162" spans="2:3">
      <c r="B162" s="11" t="s">
        <v>127</v>
      </c>
      <c r="C162" s="11" t="s">
        <v>1</v>
      </c>
    </row>
    <row r="163" spans="2:3">
      <c r="B163" s="11" t="s">
        <v>2</v>
      </c>
      <c r="C163" s="11" t="s">
        <v>166</v>
      </c>
    </row>
    <row r="164" spans="2:3">
      <c r="B164" s="11" t="s">
        <v>3</v>
      </c>
      <c r="C164" s="11" t="s">
        <v>4</v>
      </c>
    </row>
    <row r="165" spans="2:3">
      <c r="B165" s="11" t="s">
        <v>5</v>
      </c>
      <c r="C165" s="11" t="s">
        <v>6</v>
      </c>
    </row>
    <row r="166" spans="2:3">
      <c r="B166" s="11" t="s">
        <v>7</v>
      </c>
      <c r="C166" s="11" t="s">
        <v>8</v>
      </c>
    </row>
    <row r="167" spans="2:3">
      <c r="B167" s="11" t="s">
        <v>9</v>
      </c>
      <c r="C167" s="11" t="s">
        <v>10</v>
      </c>
    </row>
    <row r="168" spans="2:3">
      <c r="B168" s="11" t="s">
        <v>11</v>
      </c>
      <c r="C168" s="11" t="s">
        <v>263</v>
      </c>
    </row>
    <row r="169" spans="2:3">
      <c r="B169" s="11" t="s">
        <v>12</v>
      </c>
      <c r="C169" s="11" t="s">
        <v>13</v>
      </c>
    </row>
    <row r="170" spans="2:3">
      <c r="B170" s="11" t="s">
        <v>14</v>
      </c>
      <c r="C170" s="11" t="s">
        <v>15</v>
      </c>
    </row>
    <row r="171" spans="2:3">
      <c r="B171" s="11" t="s">
        <v>16</v>
      </c>
      <c r="C171" s="11" t="s">
        <v>18</v>
      </c>
    </row>
    <row r="172" spans="2:3">
      <c r="B172" s="11" t="s">
        <v>19</v>
      </c>
      <c r="C172" s="11" t="s">
        <v>20</v>
      </c>
    </row>
    <row r="173" spans="2:3">
      <c r="B173" s="11" t="s">
        <v>21</v>
      </c>
      <c r="C173" s="11" t="s">
        <v>22</v>
      </c>
    </row>
    <row r="174" spans="2:3">
      <c r="B174" s="11" t="s">
        <v>23</v>
      </c>
      <c r="C174" s="11" t="s">
        <v>24</v>
      </c>
    </row>
    <row r="175" spans="2:3">
      <c r="B175" s="11" t="s">
        <v>25</v>
      </c>
      <c r="C175" s="11" t="s">
        <v>26</v>
      </c>
    </row>
    <row r="176" spans="2:3">
      <c r="B176" s="11" t="s">
        <v>27</v>
      </c>
      <c r="C176" s="11" t="s">
        <v>28</v>
      </c>
    </row>
    <row r="177" spans="2:3">
      <c r="B177" s="11" t="s">
        <v>29</v>
      </c>
      <c r="C177" s="11" t="s">
        <v>30</v>
      </c>
    </row>
    <row r="178" spans="2:3">
      <c r="B178" s="11" t="s">
        <v>31</v>
      </c>
      <c r="C178" s="11" t="s">
        <v>174</v>
      </c>
    </row>
    <row r="179" spans="2:3">
      <c r="B179" s="11" t="s">
        <v>32</v>
      </c>
      <c r="C179" s="11" t="s">
        <v>33</v>
      </c>
    </row>
    <row r="180" spans="2:3">
      <c r="B180" s="11" t="s">
        <v>34</v>
      </c>
      <c r="C180" s="11" t="s">
        <v>267</v>
      </c>
    </row>
    <row r="181" spans="2:3">
      <c r="B181" s="11" t="s">
        <v>36</v>
      </c>
      <c r="C181" s="11" t="s">
        <v>272</v>
      </c>
    </row>
    <row r="182" spans="2:3">
      <c r="B182" s="11" t="s">
        <v>37</v>
      </c>
      <c r="C182" s="11" t="s">
        <v>38</v>
      </c>
    </row>
    <row r="183" spans="2:3">
      <c r="B183" s="11" t="s">
        <v>39</v>
      </c>
      <c r="C183" s="11" t="s">
        <v>167</v>
      </c>
    </row>
    <row r="184" spans="2:3">
      <c r="B184" s="11" t="s">
        <v>40</v>
      </c>
      <c r="C184" s="11" t="s">
        <v>41</v>
      </c>
    </row>
    <row r="185" spans="2:3">
      <c r="B185" s="11" t="s">
        <v>42</v>
      </c>
      <c r="C185" s="11" t="s">
        <v>43</v>
      </c>
    </row>
    <row r="186" spans="2:3">
      <c r="B186" s="11" t="s">
        <v>161</v>
      </c>
      <c r="C186" s="11" t="s">
        <v>277</v>
      </c>
    </row>
    <row r="187" spans="2:3">
      <c r="B187" s="11" t="s">
        <v>44</v>
      </c>
      <c r="C187" s="11" t="s">
        <v>276</v>
      </c>
    </row>
    <row r="188" spans="2:3">
      <c r="B188" s="11" t="s">
        <v>45</v>
      </c>
      <c r="C188" s="11" t="s">
        <v>46</v>
      </c>
    </row>
    <row r="189" spans="2:3">
      <c r="B189" s="11" t="s">
        <v>47</v>
      </c>
      <c r="C189" s="11" t="s">
        <v>48</v>
      </c>
    </row>
    <row r="190" spans="2:3">
      <c r="B190" s="11" t="s">
        <v>49</v>
      </c>
      <c r="C190" s="11" t="s">
        <v>268</v>
      </c>
    </row>
    <row r="191" spans="2:3">
      <c r="B191" s="11" t="s">
        <v>50</v>
      </c>
      <c r="C191" s="11" t="s">
        <v>168</v>
      </c>
    </row>
    <row r="192" spans="2:3">
      <c r="B192" s="11" t="s">
        <v>51</v>
      </c>
      <c r="C192" s="11" t="s">
        <v>52</v>
      </c>
    </row>
    <row r="193" spans="2:3">
      <c r="B193" s="11" t="s">
        <v>53</v>
      </c>
      <c r="C193" s="11" t="s">
        <v>54</v>
      </c>
    </row>
    <row r="194" spans="2:3">
      <c r="B194" s="11" t="s">
        <v>55</v>
      </c>
      <c r="C194" s="11" t="s">
        <v>56</v>
      </c>
    </row>
    <row r="195" spans="2:3">
      <c r="B195" s="11" t="s">
        <v>57</v>
      </c>
      <c r="C195" s="11" t="s">
        <v>58</v>
      </c>
    </row>
    <row r="196" spans="2:3">
      <c r="B196" s="11" t="s">
        <v>59</v>
      </c>
      <c r="C196" s="11" t="s">
        <v>60</v>
      </c>
    </row>
    <row r="197" spans="2:3">
      <c r="B197" s="11" t="s">
        <v>53</v>
      </c>
      <c r="C197" s="11" t="s">
        <v>54</v>
      </c>
    </row>
    <row r="198" spans="2:3">
      <c r="B198" s="7" t="s">
        <v>462</v>
      </c>
      <c r="C198" s="11" t="s">
        <v>460</v>
      </c>
    </row>
    <row r="199" spans="2:3">
      <c r="B199" s="11" t="s">
        <v>122</v>
      </c>
      <c r="C199" s="11" t="s">
        <v>146</v>
      </c>
    </row>
    <row r="200" spans="2:3">
      <c r="B200" s="11" t="s">
        <v>61</v>
      </c>
      <c r="C200" s="11" t="s">
        <v>339</v>
      </c>
    </row>
    <row r="201" spans="2:3">
      <c r="B201" s="11" t="s">
        <v>261</v>
      </c>
      <c r="C201" s="11" t="s">
        <v>269</v>
      </c>
    </row>
    <row r="202" spans="2:3">
      <c r="B202" s="11" t="s">
        <v>62</v>
      </c>
      <c r="C202" s="11" t="s">
        <v>340</v>
      </c>
    </row>
    <row r="203" spans="2:3">
      <c r="B203" s="11" t="s">
        <v>63</v>
      </c>
      <c r="C203" s="11" t="s">
        <v>64</v>
      </c>
    </row>
    <row r="204" spans="2:3">
      <c r="B204" s="11" t="s">
        <v>65</v>
      </c>
      <c r="C204" s="11" t="s">
        <v>66</v>
      </c>
    </row>
    <row r="205" spans="2:3">
      <c r="B205" s="11" t="s">
        <v>67</v>
      </c>
      <c r="C205" s="11" t="s">
        <v>68</v>
      </c>
    </row>
    <row r="206" spans="2:3">
      <c r="B206" s="11" t="s">
        <v>69</v>
      </c>
      <c r="C206" s="11" t="s">
        <v>70</v>
      </c>
    </row>
    <row r="207" spans="2:3">
      <c r="B207" s="11" t="s">
        <v>71</v>
      </c>
      <c r="C207" s="11" t="s">
        <v>72</v>
      </c>
    </row>
    <row r="208" spans="2:3">
      <c r="B208" s="11" t="s">
        <v>73</v>
      </c>
      <c r="C208" s="11" t="s">
        <v>270</v>
      </c>
    </row>
    <row r="209" spans="2:3">
      <c r="B209" s="11" t="s">
        <v>74</v>
      </c>
      <c r="C209" s="11" t="s">
        <v>75</v>
      </c>
    </row>
    <row r="210" spans="2:3">
      <c r="B210" s="11" t="s">
        <v>76</v>
      </c>
      <c r="C210" s="11" t="s">
        <v>77</v>
      </c>
    </row>
    <row r="211" spans="2:3">
      <c r="B211" s="11" t="s">
        <v>78</v>
      </c>
      <c r="C211" s="11" t="s">
        <v>271</v>
      </c>
    </row>
    <row r="212" spans="2:3">
      <c r="B212" s="11" t="s">
        <v>79</v>
      </c>
      <c r="C212" s="11" t="s">
        <v>80</v>
      </c>
    </row>
    <row r="213" spans="2:3">
      <c r="B213" s="11" t="s">
        <v>81</v>
      </c>
      <c r="C213" s="11" t="s">
        <v>82</v>
      </c>
    </row>
    <row r="214" spans="2:3">
      <c r="B214" s="11" t="s">
        <v>83</v>
      </c>
      <c r="C214" s="11" t="s">
        <v>84</v>
      </c>
    </row>
    <row r="215" spans="2:3">
      <c r="B215" s="11" t="s">
        <v>85</v>
      </c>
      <c r="C215" s="11" t="s">
        <v>341</v>
      </c>
    </row>
    <row r="216" spans="2:3">
      <c r="B216" s="11" t="s">
        <v>86</v>
      </c>
      <c r="C216" s="11" t="s">
        <v>87</v>
      </c>
    </row>
    <row r="217" spans="2:3">
      <c r="B217" s="11" t="s">
        <v>88</v>
      </c>
      <c r="C217" s="11" t="s">
        <v>89</v>
      </c>
    </row>
    <row r="218" spans="2:3">
      <c r="B218" s="11" t="s">
        <v>90</v>
      </c>
      <c r="C218" s="11" t="s">
        <v>91</v>
      </c>
    </row>
    <row r="219" spans="2:3">
      <c r="B219" s="11" t="s">
        <v>92</v>
      </c>
      <c r="C219" s="11" t="s">
        <v>93</v>
      </c>
    </row>
    <row r="220" spans="2:3">
      <c r="B220" s="11" t="s">
        <v>94</v>
      </c>
      <c r="C220" s="11" t="s">
        <v>95</v>
      </c>
    </row>
    <row r="221" spans="2:3">
      <c r="B221" s="11" t="s">
        <v>96</v>
      </c>
      <c r="C221" s="11" t="s">
        <v>97</v>
      </c>
    </row>
    <row r="222" spans="2:3">
      <c r="B222" s="11" t="s">
        <v>98</v>
      </c>
      <c r="C222" s="11" t="s">
        <v>100</v>
      </c>
    </row>
    <row r="223" spans="2:3">
      <c r="B223" s="11" t="s">
        <v>101</v>
      </c>
      <c r="C223" s="11" t="s">
        <v>102</v>
      </c>
    </row>
    <row r="224" spans="2:3">
      <c r="B224" s="11" t="s">
        <v>103</v>
      </c>
      <c r="C224" s="11" t="s">
        <v>104</v>
      </c>
    </row>
    <row r="225" spans="2:3">
      <c r="B225" s="11" t="s">
        <v>105</v>
      </c>
      <c r="C225" s="11" t="s">
        <v>106</v>
      </c>
    </row>
    <row r="226" spans="2:3">
      <c r="B226" s="11" t="s">
        <v>107</v>
      </c>
      <c r="C226" s="12" t="s">
        <v>172</v>
      </c>
    </row>
    <row r="227" spans="2:3">
      <c r="B227" s="11" t="s">
        <v>108</v>
      </c>
      <c r="C227" s="12" t="s">
        <v>173</v>
      </c>
    </row>
    <row r="228" spans="2:3">
      <c r="B228" s="11" t="s">
        <v>162</v>
      </c>
      <c r="C228" s="11" t="s">
        <v>342</v>
      </c>
    </row>
    <row r="229" spans="2:3">
      <c r="B229" s="11" t="s">
        <v>109</v>
      </c>
      <c r="C229" s="12" t="s">
        <v>175</v>
      </c>
    </row>
    <row r="230" spans="2:3">
      <c r="B230" s="11" t="s">
        <v>110</v>
      </c>
      <c r="C230" s="11" t="s">
        <v>111</v>
      </c>
    </row>
    <row r="231" spans="2:3">
      <c r="B231" s="11" t="s">
        <v>112</v>
      </c>
      <c r="C231" s="11" t="s">
        <v>113</v>
      </c>
    </row>
    <row r="232" spans="2:3">
      <c r="B232" s="11" t="s">
        <v>114</v>
      </c>
      <c r="C232" s="11" t="s">
        <v>116</v>
      </c>
    </row>
    <row r="233" spans="2:3">
      <c r="B233" s="11" t="s">
        <v>117</v>
      </c>
      <c r="C233" s="11" t="s">
        <v>118</v>
      </c>
    </row>
    <row r="234" spans="2:3">
      <c r="B234" s="11" t="s">
        <v>151</v>
      </c>
      <c r="C234" s="12" t="s">
        <v>176</v>
      </c>
    </row>
    <row r="235" spans="2:3">
      <c r="B235" s="11" t="s">
        <v>264</v>
      </c>
      <c r="C235" s="11" t="s">
        <v>286</v>
      </c>
    </row>
    <row r="236" spans="2:3">
      <c r="B236" s="11" t="s">
        <v>132</v>
      </c>
      <c r="C236" s="12" t="s">
        <v>177</v>
      </c>
    </row>
    <row r="237" spans="2:3">
      <c r="B237" s="11" t="s">
        <v>0</v>
      </c>
      <c r="C237" s="12" t="s">
        <v>133</v>
      </c>
    </row>
    <row r="238" spans="2:3">
      <c r="B238" s="11" t="s">
        <v>157</v>
      </c>
      <c r="C238" s="12" t="s">
        <v>135</v>
      </c>
    </row>
    <row r="239" spans="2:3">
      <c r="B239" s="11" t="s">
        <v>158</v>
      </c>
      <c r="C239" s="12" t="s">
        <v>137</v>
      </c>
    </row>
    <row r="240" spans="2:3">
      <c r="B240" s="11" t="s">
        <v>159</v>
      </c>
      <c r="C240" s="12" t="s">
        <v>138</v>
      </c>
    </row>
    <row r="241" spans="2:21">
      <c r="B241" s="11" t="s">
        <v>112</v>
      </c>
      <c r="C241" s="12" t="s">
        <v>139</v>
      </c>
    </row>
    <row r="242" spans="2:21">
      <c r="B242" s="11" t="s">
        <v>140</v>
      </c>
      <c r="C242" s="12" t="s">
        <v>141</v>
      </c>
    </row>
    <row r="243" spans="2:21">
      <c r="B243" s="11" t="s">
        <v>120</v>
      </c>
      <c r="C243" s="12" t="s">
        <v>142</v>
      </c>
    </row>
    <row r="244" spans="2:21">
      <c r="B244" s="11" t="s">
        <v>143</v>
      </c>
      <c r="C244" s="12" t="s">
        <v>144</v>
      </c>
    </row>
    <row r="245" spans="2:21">
      <c r="B245" s="11" t="s">
        <v>121</v>
      </c>
      <c r="C245" s="12" t="s">
        <v>145</v>
      </c>
    </row>
    <row r="246" spans="2:21">
      <c r="B246" s="11" t="s">
        <v>123</v>
      </c>
      <c r="C246" s="12" t="s">
        <v>147</v>
      </c>
    </row>
    <row r="247" spans="2:21">
      <c r="B247" s="11" t="s">
        <v>122</v>
      </c>
      <c r="C247" s="5" t="s">
        <v>146</v>
      </c>
    </row>
    <row r="248" spans="2:21">
      <c r="B248" s="11" t="s">
        <v>163</v>
      </c>
      <c r="C248" s="5" t="s">
        <v>274</v>
      </c>
    </row>
    <row r="249" spans="2:21">
      <c r="B249" s="11" t="s">
        <v>164</v>
      </c>
      <c r="C249" s="5" t="s">
        <v>275</v>
      </c>
    </row>
    <row r="250" spans="2:21">
      <c r="B250" s="11" t="s">
        <v>265</v>
      </c>
      <c r="C250" s="11" t="s">
        <v>273</v>
      </c>
    </row>
    <row r="253" spans="2:21">
      <c r="B253" s="357" t="s">
        <v>278</v>
      </c>
      <c r="C253" s="357"/>
      <c r="D253" s="357"/>
      <c r="E253" s="357"/>
      <c r="F253" s="357"/>
      <c r="G253" s="357"/>
      <c r="H253" s="357"/>
      <c r="I253" s="357"/>
      <c r="J253" s="357"/>
      <c r="K253" s="357"/>
      <c r="L253" s="357"/>
      <c r="M253" s="357"/>
      <c r="N253" s="357"/>
      <c r="O253" s="357"/>
      <c r="P253" s="357"/>
      <c r="Q253" s="357"/>
      <c r="R253" s="357"/>
      <c r="S253" s="357"/>
      <c r="T253" s="357"/>
    </row>
    <row r="256" spans="2:21">
      <c r="C256" s="11">
        <v>2006</v>
      </c>
      <c r="E256" s="11">
        <v>2007</v>
      </c>
      <c r="G256" s="11">
        <v>2008</v>
      </c>
      <c r="I256" s="11">
        <v>2009</v>
      </c>
      <c r="K256" s="11">
        <v>2010</v>
      </c>
      <c r="M256" s="11">
        <v>2011</v>
      </c>
      <c r="O256" s="11">
        <v>2012</v>
      </c>
      <c r="Q256" s="11">
        <v>2013</v>
      </c>
      <c r="S256" s="11">
        <v>2014</v>
      </c>
      <c r="U256" s="11">
        <v>2015</v>
      </c>
    </row>
    <row r="257" spans="2:22">
      <c r="B257" s="11" t="s">
        <v>234</v>
      </c>
      <c r="C257" s="11" t="s">
        <v>262</v>
      </c>
      <c r="D257" s="11" t="s">
        <v>152</v>
      </c>
      <c r="E257" s="11" t="s">
        <v>262</v>
      </c>
      <c r="F257" s="11" t="s">
        <v>152</v>
      </c>
      <c r="G257" s="11" t="s">
        <v>262</v>
      </c>
      <c r="H257" s="11" t="s">
        <v>152</v>
      </c>
      <c r="I257" s="11" t="s">
        <v>262</v>
      </c>
      <c r="J257" s="11" t="s">
        <v>152</v>
      </c>
      <c r="K257" s="11" t="s">
        <v>262</v>
      </c>
      <c r="L257" s="11" t="s">
        <v>152</v>
      </c>
      <c r="M257" s="11" t="s">
        <v>262</v>
      </c>
      <c r="N257" s="11" t="s">
        <v>152</v>
      </c>
      <c r="O257" s="11" t="s">
        <v>262</v>
      </c>
      <c r="P257" s="11" t="s">
        <v>152</v>
      </c>
      <c r="Q257" s="11" t="s">
        <v>262</v>
      </c>
      <c r="R257" s="11" t="s">
        <v>152</v>
      </c>
      <c r="S257" s="11" t="s">
        <v>262</v>
      </c>
      <c r="T257" s="11" t="s">
        <v>152</v>
      </c>
      <c r="U257" s="11" t="s">
        <v>262</v>
      </c>
      <c r="V257" s="1" t="s">
        <v>152</v>
      </c>
    </row>
    <row r="258" spans="2:22">
      <c r="B258" s="11" t="s">
        <v>191</v>
      </c>
      <c r="C258" s="11" t="s">
        <v>262</v>
      </c>
      <c r="D258" s="11" t="s">
        <v>256</v>
      </c>
      <c r="E258" s="11" t="s">
        <v>262</v>
      </c>
      <c r="F258" s="11" t="s">
        <v>256</v>
      </c>
      <c r="G258" s="11" t="s">
        <v>262</v>
      </c>
      <c r="H258" s="11" t="s">
        <v>256</v>
      </c>
      <c r="I258" s="11" t="s">
        <v>262</v>
      </c>
      <c r="J258" s="11" t="s">
        <v>256</v>
      </c>
      <c r="K258" s="11" t="s">
        <v>262</v>
      </c>
      <c r="L258" s="11" t="s">
        <v>256</v>
      </c>
      <c r="M258" s="11" t="s">
        <v>262</v>
      </c>
      <c r="N258" s="11" t="s">
        <v>256</v>
      </c>
      <c r="O258" s="11" t="s">
        <v>262</v>
      </c>
      <c r="P258" s="11" t="s">
        <v>256</v>
      </c>
      <c r="Q258" s="11" t="s">
        <v>262</v>
      </c>
      <c r="R258" s="11" t="s">
        <v>256</v>
      </c>
      <c r="S258" s="11" t="s">
        <v>262</v>
      </c>
      <c r="T258" s="11" t="s">
        <v>256</v>
      </c>
      <c r="U258" s="11" t="s">
        <v>262</v>
      </c>
      <c r="V258" s="1" t="s">
        <v>256</v>
      </c>
    </row>
    <row r="259" spans="2:22">
      <c r="B259" s="11" t="s">
        <v>127</v>
      </c>
      <c r="C259" s="11" t="s">
        <v>1</v>
      </c>
    </row>
    <row r="260" spans="2:22">
      <c r="B260" s="11" t="s">
        <v>2</v>
      </c>
      <c r="C260" s="11" t="s">
        <v>166</v>
      </c>
    </row>
    <row r="261" spans="2:22">
      <c r="B261" s="11" t="s">
        <v>3</v>
      </c>
      <c r="C261" s="11" t="s">
        <v>4</v>
      </c>
    </row>
    <row r="262" spans="2:22">
      <c r="B262" s="11" t="s">
        <v>5</v>
      </c>
      <c r="C262" s="11" t="s">
        <v>6</v>
      </c>
    </row>
    <row r="263" spans="2:22">
      <c r="B263" s="11" t="s">
        <v>7</v>
      </c>
      <c r="C263" s="11" t="s">
        <v>8</v>
      </c>
    </row>
    <row r="264" spans="2:22">
      <c r="B264" s="11" t="s">
        <v>9</v>
      </c>
      <c r="C264" s="11" t="s">
        <v>10</v>
      </c>
    </row>
    <row r="265" spans="2:22">
      <c r="B265" s="11" t="s">
        <v>12</v>
      </c>
      <c r="C265" s="11" t="s">
        <v>13</v>
      </c>
    </row>
    <row r="266" spans="2:22">
      <c r="B266" s="11" t="s">
        <v>14</v>
      </c>
      <c r="C266" s="11" t="s">
        <v>15</v>
      </c>
    </row>
    <row r="267" spans="2:22">
      <c r="B267" s="11" t="s">
        <v>11</v>
      </c>
      <c r="C267" s="11" t="s">
        <v>281</v>
      </c>
    </row>
    <row r="268" spans="2:22">
      <c r="B268" s="11" t="s">
        <v>16</v>
      </c>
      <c r="C268" s="11" t="s">
        <v>18</v>
      </c>
    </row>
    <row r="269" spans="2:22">
      <c r="B269" s="11" t="s">
        <v>19</v>
      </c>
      <c r="C269" s="11" t="s">
        <v>20</v>
      </c>
    </row>
    <row r="270" spans="2:22">
      <c r="B270" s="11" t="s">
        <v>21</v>
      </c>
      <c r="C270" s="11" t="s">
        <v>22</v>
      </c>
    </row>
    <row r="271" spans="2:22">
      <c r="B271" s="11" t="s">
        <v>23</v>
      </c>
      <c r="C271" s="11" t="s">
        <v>24</v>
      </c>
    </row>
    <row r="272" spans="2:22">
      <c r="B272" s="11" t="s">
        <v>25</v>
      </c>
      <c r="C272" s="11" t="s">
        <v>26</v>
      </c>
    </row>
    <row r="273" spans="2:3">
      <c r="B273" s="11" t="s">
        <v>27</v>
      </c>
      <c r="C273" s="11" t="s">
        <v>28</v>
      </c>
    </row>
    <row r="274" spans="2:3">
      <c r="B274" s="11" t="s">
        <v>29</v>
      </c>
      <c r="C274" s="11" t="s">
        <v>30</v>
      </c>
    </row>
    <row r="275" spans="2:3">
      <c r="B275" s="11" t="s">
        <v>39</v>
      </c>
      <c r="C275" s="11" t="s">
        <v>167</v>
      </c>
    </row>
    <row r="276" spans="2:3">
      <c r="B276" s="11" t="s">
        <v>53</v>
      </c>
      <c r="C276" s="11" t="s">
        <v>54</v>
      </c>
    </row>
    <row r="277" spans="2:3">
      <c r="B277" s="7" t="s">
        <v>408</v>
      </c>
      <c r="C277" s="11" t="s">
        <v>461</v>
      </c>
    </row>
    <row r="278" spans="2:3">
      <c r="B278" s="11" t="s">
        <v>234</v>
      </c>
      <c r="C278" s="11" t="s">
        <v>282</v>
      </c>
    </row>
    <row r="279" spans="2:3">
      <c r="B279" s="11" t="s">
        <v>279</v>
      </c>
      <c r="C279" s="11" t="s">
        <v>283</v>
      </c>
    </row>
    <row r="280" spans="2:3">
      <c r="B280" s="11" t="s">
        <v>62</v>
      </c>
      <c r="C280" s="11" t="s">
        <v>340</v>
      </c>
    </row>
    <row r="281" spans="2:3">
      <c r="B281" s="11" t="s">
        <v>63</v>
      </c>
      <c r="C281" s="11" t="s">
        <v>64</v>
      </c>
    </row>
    <row r="282" spans="2:3">
      <c r="B282" s="11" t="s">
        <v>65</v>
      </c>
      <c r="C282" s="11" t="s">
        <v>66</v>
      </c>
    </row>
    <row r="283" spans="2:3">
      <c r="B283" s="11" t="s">
        <v>67</v>
      </c>
      <c r="C283" s="11" t="s">
        <v>68</v>
      </c>
    </row>
    <row r="284" spans="2:3">
      <c r="B284" s="11" t="s">
        <v>69</v>
      </c>
      <c r="C284" s="11" t="s">
        <v>70</v>
      </c>
    </row>
    <row r="285" spans="2:3">
      <c r="B285" s="11" t="s">
        <v>71</v>
      </c>
      <c r="C285" s="11" t="s">
        <v>72</v>
      </c>
    </row>
    <row r="286" spans="2:3">
      <c r="B286" s="11" t="s">
        <v>153</v>
      </c>
      <c r="C286" s="11" t="s">
        <v>270</v>
      </c>
    </row>
    <row r="287" spans="2:3">
      <c r="B287" s="11" t="s">
        <v>74</v>
      </c>
      <c r="C287" s="11" t="s">
        <v>75</v>
      </c>
    </row>
    <row r="288" spans="2:3">
      <c r="B288" s="11" t="s">
        <v>76</v>
      </c>
      <c r="C288" s="11" t="s">
        <v>77</v>
      </c>
    </row>
    <row r="289" spans="2:3">
      <c r="B289" s="11" t="s">
        <v>78</v>
      </c>
      <c r="C289" s="11" t="s">
        <v>271</v>
      </c>
    </row>
    <row r="290" spans="2:3">
      <c r="B290" s="11" t="s">
        <v>79</v>
      </c>
      <c r="C290" s="11" t="s">
        <v>80</v>
      </c>
    </row>
    <row r="291" spans="2:3">
      <c r="B291" s="11" t="s">
        <v>81</v>
      </c>
      <c r="C291" s="11" t="s">
        <v>82</v>
      </c>
    </row>
    <row r="292" spans="2:3">
      <c r="B292" s="11" t="s">
        <v>83</v>
      </c>
      <c r="C292" s="11" t="s">
        <v>84</v>
      </c>
    </row>
    <row r="293" spans="2:3">
      <c r="B293" s="11" t="s">
        <v>85</v>
      </c>
      <c r="C293" s="11" t="s">
        <v>341</v>
      </c>
    </row>
    <row r="294" spans="2:3">
      <c r="B294" s="11" t="s">
        <v>154</v>
      </c>
      <c r="C294" s="11" t="s">
        <v>343</v>
      </c>
    </row>
    <row r="295" spans="2:3">
      <c r="B295" s="11" t="s">
        <v>86</v>
      </c>
      <c r="C295" s="11" t="s">
        <v>87</v>
      </c>
    </row>
    <row r="296" spans="2:3">
      <c r="B296" s="11" t="s">
        <v>88</v>
      </c>
      <c r="C296" s="11" t="s">
        <v>89</v>
      </c>
    </row>
    <row r="297" spans="2:3">
      <c r="B297" s="11" t="s">
        <v>90</v>
      </c>
      <c r="C297" s="11" t="s">
        <v>91</v>
      </c>
    </row>
    <row r="298" spans="2:3">
      <c r="B298" s="11" t="s">
        <v>92</v>
      </c>
      <c r="C298" s="11" t="s">
        <v>93</v>
      </c>
    </row>
    <row r="299" spans="2:3">
      <c r="B299" s="11" t="s">
        <v>94</v>
      </c>
      <c r="C299" s="11" t="s">
        <v>95</v>
      </c>
    </row>
    <row r="300" spans="2:3">
      <c r="B300" s="11" t="s">
        <v>96</v>
      </c>
      <c r="C300" s="11" t="s">
        <v>97</v>
      </c>
    </row>
    <row r="301" spans="2:3">
      <c r="B301" s="11" t="s">
        <v>155</v>
      </c>
      <c r="C301" s="11" t="s">
        <v>100</v>
      </c>
    </row>
    <row r="302" spans="2:3">
      <c r="B302" s="11" t="s">
        <v>101</v>
      </c>
      <c r="C302" s="11" t="s">
        <v>102</v>
      </c>
    </row>
    <row r="303" spans="2:3">
      <c r="B303" s="11" t="s">
        <v>103</v>
      </c>
      <c r="C303" s="11" t="s">
        <v>104</v>
      </c>
    </row>
    <row r="304" spans="2:3">
      <c r="B304" s="11" t="s">
        <v>108</v>
      </c>
      <c r="C304" s="12" t="s">
        <v>173</v>
      </c>
    </row>
    <row r="305" spans="2:3">
      <c r="B305" s="11" t="s">
        <v>105</v>
      </c>
      <c r="C305" s="11" t="s">
        <v>106</v>
      </c>
    </row>
    <row r="306" spans="2:3">
      <c r="B306" s="11" t="s">
        <v>280</v>
      </c>
      <c r="C306" s="11" t="s">
        <v>342</v>
      </c>
    </row>
    <row r="307" spans="2:3">
      <c r="B307" s="11" t="s">
        <v>109</v>
      </c>
      <c r="C307" s="11" t="s">
        <v>284</v>
      </c>
    </row>
    <row r="308" spans="2:3">
      <c r="B308" s="11" t="s">
        <v>156</v>
      </c>
      <c r="C308" s="11" t="s">
        <v>285</v>
      </c>
    </row>
    <row r="309" spans="2:3">
      <c r="B309" s="11" t="s">
        <v>110</v>
      </c>
      <c r="C309" s="11" t="s">
        <v>111</v>
      </c>
    </row>
    <row r="310" spans="2:3">
      <c r="B310" s="11" t="s">
        <v>112</v>
      </c>
      <c r="C310" s="11" t="s">
        <v>113</v>
      </c>
    </row>
    <row r="311" spans="2:3">
      <c r="B311" s="11" t="s">
        <v>115</v>
      </c>
      <c r="C311" s="11" t="s">
        <v>116</v>
      </c>
    </row>
    <row r="312" spans="2:3">
      <c r="B312" s="11" t="s">
        <v>117</v>
      </c>
      <c r="C312" s="11" t="s">
        <v>118</v>
      </c>
    </row>
    <row r="313" spans="2:3">
      <c r="B313" s="11" t="s">
        <v>151</v>
      </c>
      <c r="C313" s="12" t="s">
        <v>176</v>
      </c>
    </row>
    <row r="314" spans="2:3">
      <c r="B314" s="11" t="s">
        <v>264</v>
      </c>
      <c r="C314" s="11" t="s">
        <v>286</v>
      </c>
    </row>
    <row r="315" spans="2:3">
      <c r="B315" s="11" t="s">
        <v>132</v>
      </c>
      <c r="C315" s="12" t="s">
        <v>177</v>
      </c>
    </row>
    <row r="316" spans="2:3">
      <c r="B316" s="11" t="s">
        <v>0</v>
      </c>
      <c r="C316" s="12" t="s">
        <v>133</v>
      </c>
    </row>
    <row r="317" spans="2:3">
      <c r="B317" s="11" t="s">
        <v>157</v>
      </c>
      <c r="C317" s="12" t="s">
        <v>135</v>
      </c>
    </row>
    <row r="318" spans="2:3">
      <c r="B318" s="11" t="s">
        <v>158</v>
      </c>
      <c r="C318" s="12" t="s">
        <v>137</v>
      </c>
    </row>
    <row r="319" spans="2:3">
      <c r="B319" s="11" t="s">
        <v>115</v>
      </c>
      <c r="C319" s="12" t="s">
        <v>138</v>
      </c>
    </row>
    <row r="320" spans="2:3">
      <c r="B320" s="11" t="s">
        <v>112</v>
      </c>
      <c r="C320" s="12" t="s">
        <v>139</v>
      </c>
    </row>
    <row r="321" spans="2:20">
      <c r="B321" s="11" t="s">
        <v>140</v>
      </c>
      <c r="C321" s="12" t="s">
        <v>141</v>
      </c>
    </row>
    <row r="322" spans="2:20">
      <c r="B322" s="11" t="s">
        <v>120</v>
      </c>
      <c r="C322" s="12" t="s">
        <v>287</v>
      </c>
    </row>
    <row r="323" spans="2:20">
      <c r="B323" s="11" t="s">
        <v>143</v>
      </c>
      <c r="C323" s="12" t="s">
        <v>144</v>
      </c>
    </row>
    <row r="324" spans="2:20">
      <c r="B324" s="11" t="s">
        <v>121</v>
      </c>
      <c r="C324" s="12" t="s">
        <v>145</v>
      </c>
    </row>
    <row r="325" spans="2:20">
      <c r="B325" s="11" t="s">
        <v>122</v>
      </c>
      <c r="C325" s="5" t="s">
        <v>146</v>
      </c>
    </row>
    <row r="326" spans="2:20">
      <c r="B326" s="11" t="s">
        <v>123</v>
      </c>
      <c r="C326" s="12" t="s">
        <v>288</v>
      </c>
    </row>
    <row r="327" spans="2:20">
      <c r="B327" s="11" t="s">
        <v>160</v>
      </c>
      <c r="C327" s="12" t="s">
        <v>148</v>
      </c>
    </row>
    <row r="328" spans="2:20">
      <c r="B328" s="11" t="s">
        <v>265</v>
      </c>
      <c r="C328" s="11" t="s">
        <v>273</v>
      </c>
    </row>
    <row r="331" spans="2:20">
      <c r="B331" s="357" t="s">
        <v>314</v>
      </c>
      <c r="C331" s="357"/>
      <c r="D331" s="357"/>
      <c r="E331" s="357"/>
      <c r="F331" s="357"/>
      <c r="G331" s="357"/>
      <c r="H331" s="357"/>
      <c r="I331" s="357"/>
      <c r="J331" s="357"/>
      <c r="K331" s="357"/>
      <c r="L331" s="357"/>
      <c r="M331" s="357"/>
      <c r="N331" s="357"/>
      <c r="O331" s="357"/>
      <c r="P331" s="357"/>
      <c r="Q331" s="357"/>
      <c r="R331" s="357"/>
      <c r="S331" s="357"/>
      <c r="T331" s="357"/>
    </row>
    <row r="334" spans="2:20">
      <c r="C334" s="11">
        <v>2013</v>
      </c>
    </row>
    <row r="335" spans="2:20">
      <c r="B335" s="11" t="s">
        <v>384</v>
      </c>
      <c r="C335" s="11" t="s">
        <v>292</v>
      </c>
      <c r="D335" s="11" t="s">
        <v>293</v>
      </c>
      <c r="E335" s="11" t="s">
        <v>294</v>
      </c>
      <c r="F335" s="11" t="s">
        <v>295</v>
      </c>
      <c r="G335" s="11" t="s">
        <v>296</v>
      </c>
      <c r="H335" s="11" t="s">
        <v>297</v>
      </c>
      <c r="I335" s="11" t="s">
        <v>298</v>
      </c>
      <c r="J335" s="11" t="s">
        <v>299</v>
      </c>
      <c r="K335" s="11" t="s">
        <v>300</v>
      </c>
      <c r="L335" s="11" t="s">
        <v>301</v>
      </c>
      <c r="M335" s="11" t="s">
        <v>302</v>
      </c>
      <c r="N335" s="11" t="s">
        <v>303</v>
      </c>
      <c r="O335" s="11" t="s">
        <v>383</v>
      </c>
    </row>
    <row r="336" spans="2:20">
      <c r="B336" s="11" t="s">
        <v>385</v>
      </c>
      <c r="C336" s="11" t="s">
        <v>315</v>
      </c>
      <c r="D336" s="11" t="s">
        <v>316</v>
      </c>
      <c r="E336" s="11" t="s">
        <v>317</v>
      </c>
      <c r="F336" s="11" t="s">
        <v>295</v>
      </c>
      <c r="G336" s="11" t="s">
        <v>318</v>
      </c>
      <c r="H336" s="11" t="s">
        <v>319</v>
      </c>
      <c r="I336" s="11" t="s">
        <v>320</v>
      </c>
      <c r="J336" s="11" t="s">
        <v>321</v>
      </c>
      <c r="K336" s="11" t="s">
        <v>322</v>
      </c>
      <c r="L336" s="11" t="s">
        <v>323</v>
      </c>
      <c r="M336" s="11" t="s">
        <v>324</v>
      </c>
      <c r="N336" s="11" t="s">
        <v>325</v>
      </c>
      <c r="O336" s="11" t="s">
        <v>382</v>
      </c>
    </row>
    <row r="337" spans="2:3">
      <c r="B337" s="11" t="s">
        <v>127</v>
      </c>
      <c r="C337" s="11" t="s">
        <v>1</v>
      </c>
    </row>
    <row r="338" spans="2:3">
      <c r="B338" s="11" t="s">
        <v>2</v>
      </c>
      <c r="C338" s="11" t="s">
        <v>166</v>
      </c>
    </row>
    <row r="339" spans="2:3">
      <c r="B339" s="11" t="s">
        <v>3</v>
      </c>
      <c r="C339" s="11" t="s">
        <v>4</v>
      </c>
    </row>
    <row r="340" spans="2:3">
      <c r="B340" s="11" t="s">
        <v>5</v>
      </c>
      <c r="C340" s="11" t="s">
        <v>6</v>
      </c>
    </row>
    <row r="341" spans="2:3">
      <c r="B341" s="11" t="s">
        <v>304</v>
      </c>
      <c r="C341" s="11" t="s">
        <v>8</v>
      </c>
    </row>
    <row r="342" spans="2:3">
      <c r="B342" s="11" t="s">
        <v>9</v>
      </c>
      <c r="C342" s="11" t="s">
        <v>10</v>
      </c>
    </row>
    <row r="343" spans="2:3">
      <c r="B343" s="11" t="s">
        <v>305</v>
      </c>
      <c r="C343" s="11" t="s">
        <v>13</v>
      </c>
    </row>
    <row r="344" spans="2:3">
      <c r="B344" s="11" t="s">
        <v>306</v>
      </c>
      <c r="C344" s="11" t="s">
        <v>15</v>
      </c>
    </row>
    <row r="345" spans="2:3">
      <c r="B345" s="11" t="s">
        <v>457</v>
      </c>
      <c r="C345" s="11" t="s">
        <v>458</v>
      </c>
    </row>
    <row r="346" spans="2:3">
      <c r="B346" s="11" t="s">
        <v>19</v>
      </c>
      <c r="C346" s="11" t="s">
        <v>20</v>
      </c>
    </row>
    <row r="347" spans="2:3">
      <c r="B347" s="11" t="s">
        <v>307</v>
      </c>
      <c r="C347" s="11" t="s">
        <v>22</v>
      </c>
    </row>
    <row r="348" spans="2:3">
      <c r="B348" s="11" t="s">
        <v>308</v>
      </c>
      <c r="C348" s="11" t="s">
        <v>24</v>
      </c>
    </row>
    <row r="349" spans="2:3">
      <c r="B349" s="11" t="s">
        <v>309</v>
      </c>
      <c r="C349" s="11" t="s">
        <v>26</v>
      </c>
    </row>
    <row r="350" spans="2:3">
      <c r="B350" s="11" t="s">
        <v>27</v>
      </c>
      <c r="C350" s="11" t="s">
        <v>28</v>
      </c>
    </row>
    <row r="351" spans="2:3">
      <c r="B351" s="11" t="s">
        <v>29</v>
      </c>
      <c r="C351" s="11" t="s">
        <v>30</v>
      </c>
    </row>
    <row r="352" spans="2:3">
      <c r="B352" s="11" t="s">
        <v>31</v>
      </c>
      <c r="C352" s="11" t="s">
        <v>174</v>
      </c>
    </row>
    <row r="353" spans="2:3">
      <c r="B353" s="11" t="s">
        <v>32</v>
      </c>
      <c r="C353" s="11" t="s">
        <v>33</v>
      </c>
    </row>
    <row r="354" spans="2:3">
      <c r="B354" s="11" t="s">
        <v>34</v>
      </c>
      <c r="C354" s="11" t="s">
        <v>35</v>
      </c>
    </row>
    <row r="355" spans="2:3">
      <c r="B355" s="11" t="s">
        <v>37</v>
      </c>
      <c r="C355" s="11" t="s">
        <v>38</v>
      </c>
    </row>
    <row r="356" spans="2:3">
      <c r="B356" s="11" t="s">
        <v>39</v>
      </c>
      <c r="C356" s="11" t="s">
        <v>167</v>
      </c>
    </row>
    <row r="357" spans="2:3">
      <c r="B357" s="11" t="s">
        <v>327</v>
      </c>
      <c r="C357" s="11" t="s">
        <v>41</v>
      </c>
    </row>
    <row r="358" spans="2:3">
      <c r="B358" s="11" t="s">
        <v>310</v>
      </c>
      <c r="C358" s="11" t="s">
        <v>43</v>
      </c>
    </row>
    <row r="359" spans="2:3">
      <c r="B359" s="11" t="s">
        <v>45</v>
      </c>
      <c r="C359" s="11" t="s">
        <v>46</v>
      </c>
    </row>
    <row r="360" spans="2:3">
      <c r="B360" s="11" t="s">
        <v>311</v>
      </c>
      <c r="C360" s="11" t="s">
        <v>48</v>
      </c>
    </row>
    <row r="361" spans="2:3">
      <c r="B361" s="11" t="s">
        <v>312</v>
      </c>
      <c r="C361" s="11" t="s">
        <v>168</v>
      </c>
    </row>
    <row r="362" spans="2:3">
      <c r="B362" s="11" t="s">
        <v>51</v>
      </c>
      <c r="C362" s="11" t="s">
        <v>52</v>
      </c>
    </row>
    <row r="363" spans="2:3">
      <c r="B363" s="11" t="s">
        <v>53</v>
      </c>
      <c r="C363" s="11" t="s">
        <v>54</v>
      </c>
    </row>
    <row r="364" spans="2:3">
      <c r="B364" s="11" t="s">
        <v>55</v>
      </c>
      <c r="C364" s="11" t="s">
        <v>56</v>
      </c>
    </row>
    <row r="365" spans="2:3">
      <c r="B365" s="11" t="s">
        <v>57</v>
      </c>
      <c r="C365" s="11" t="s">
        <v>58</v>
      </c>
    </row>
    <row r="366" spans="2:3">
      <c r="B366" s="11" t="s">
        <v>313</v>
      </c>
      <c r="C366" s="11" t="s">
        <v>60</v>
      </c>
    </row>
    <row r="367" spans="2:3">
      <c r="B367" s="11" t="s">
        <v>53</v>
      </c>
      <c r="C367" s="11" t="s">
        <v>54</v>
      </c>
    </row>
    <row r="368" spans="2:3">
      <c r="B368" s="7" t="s">
        <v>408</v>
      </c>
      <c r="C368" s="11" t="s">
        <v>460</v>
      </c>
    </row>
    <row r="369" spans="2:3">
      <c r="B369" s="11" t="s">
        <v>61</v>
      </c>
      <c r="C369" s="11" t="s">
        <v>339</v>
      </c>
    </row>
    <row r="370" spans="2:3">
      <c r="B370" s="11" t="s">
        <v>125</v>
      </c>
      <c r="C370" s="11" t="s">
        <v>169</v>
      </c>
    </row>
    <row r="371" spans="2:3">
      <c r="B371" s="11" t="s">
        <v>62</v>
      </c>
      <c r="C371" s="11" t="s">
        <v>340</v>
      </c>
    </row>
    <row r="372" spans="2:3">
      <c r="B372" s="11" t="s">
        <v>63</v>
      </c>
      <c r="C372" s="11" t="s">
        <v>64</v>
      </c>
    </row>
    <row r="373" spans="2:3">
      <c r="B373" s="11" t="s">
        <v>65</v>
      </c>
      <c r="C373" s="11" t="s">
        <v>66</v>
      </c>
    </row>
    <row r="374" spans="2:3">
      <c r="B374" s="11" t="s">
        <v>67</v>
      </c>
      <c r="C374" s="11" t="s">
        <v>68</v>
      </c>
    </row>
    <row r="375" spans="2:3">
      <c r="B375" s="11" t="s">
        <v>69</v>
      </c>
      <c r="C375" s="11" t="s">
        <v>70</v>
      </c>
    </row>
    <row r="376" spans="2:3">
      <c r="B376" s="11" t="s">
        <v>71</v>
      </c>
      <c r="C376" s="11" t="s">
        <v>72</v>
      </c>
    </row>
    <row r="377" spans="2:3">
      <c r="B377" s="11" t="s">
        <v>128</v>
      </c>
      <c r="C377" s="11" t="s">
        <v>178</v>
      </c>
    </row>
    <row r="378" spans="2:3">
      <c r="B378" s="11" t="s">
        <v>74</v>
      </c>
      <c r="C378" s="11" t="s">
        <v>75</v>
      </c>
    </row>
    <row r="379" spans="2:3">
      <c r="B379" s="11" t="s">
        <v>76</v>
      </c>
      <c r="C379" s="11" t="s">
        <v>77</v>
      </c>
    </row>
    <row r="380" spans="2:3">
      <c r="B380" s="11" t="s">
        <v>78</v>
      </c>
      <c r="C380" s="11" t="s">
        <v>150</v>
      </c>
    </row>
    <row r="381" spans="2:3">
      <c r="B381" s="11" t="s">
        <v>79</v>
      </c>
      <c r="C381" s="11" t="s">
        <v>80</v>
      </c>
    </row>
    <row r="382" spans="2:3">
      <c r="B382" s="11" t="s">
        <v>81</v>
      </c>
      <c r="C382" s="11" t="s">
        <v>82</v>
      </c>
    </row>
    <row r="383" spans="2:3">
      <c r="B383" s="11" t="s">
        <v>83</v>
      </c>
      <c r="C383" s="11" t="s">
        <v>84</v>
      </c>
    </row>
    <row r="384" spans="2:3">
      <c r="B384" s="11" t="s">
        <v>85</v>
      </c>
      <c r="C384" s="11" t="s">
        <v>341</v>
      </c>
    </row>
    <row r="385" spans="2:3">
      <c r="B385" s="11" t="s">
        <v>129</v>
      </c>
      <c r="C385" s="11" t="s">
        <v>179</v>
      </c>
    </row>
    <row r="386" spans="2:3">
      <c r="B386" s="11" t="s">
        <v>86</v>
      </c>
      <c r="C386" s="11" t="s">
        <v>87</v>
      </c>
    </row>
    <row r="387" spans="2:3">
      <c r="B387" s="11" t="s">
        <v>88</v>
      </c>
      <c r="C387" s="11" t="s">
        <v>89</v>
      </c>
    </row>
    <row r="388" spans="2:3">
      <c r="B388" s="11" t="s">
        <v>90</v>
      </c>
      <c r="C388" s="11" t="s">
        <v>91</v>
      </c>
    </row>
    <row r="389" spans="2:3">
      <c r="B389" s="11" t="s">
        <v>92</v>
      </c>
      <c r="C389" s="11" t="s">
        <v>93</v>
      </c>
    </row>
    <row r="390" spans="2:3">
      <c r="B390" s="11" t="s">
        <v>94</v>
      </c>
      <c r="C390" s="11" t="s">
        <v>95</v>
      </c>
    </row>
    <row r="391" spans="2:3">
      <c r="B391" s="11" t="s">
        <v>96</v>
      </c>
      <c r="C391" s="11" t="s">
        <v>97</v>
      </c>
    </row>
    <row r="392" spans="2:3">
      <c r="B392" s="11" t="s">
        <v>99</v>
      </c>
      <c r="C392" s="11" t="s">
        <v>100</v>
      </c>
    </row>
    <row r="393" spans="2:3">
      <c r="B393" s="11" t="s">
        <v>101</v>
      </c>
      <c r="C393" s="11" t="s">
        <v>102</v>
      </c>
    </row>
    <row r="394" spans="2:3">
      <c r="B394" s="11" t="s">
        <v>103</v>
      </c>
      <c r="C394" s="11" t="s">
        <v>104</v>
      </c>
    </row>
    <row r="395" spans="2:3">
      <c r="B395" s="11" t="s">
        <v>105</v>
      </c>
      <c r="C395" s="11" t="s">
        <v>106</v>
      </c>
    </row>
    <row r="396" spans="2:3">
      <c r="B396" s="11" t="s">
        <v>107</v>
      </c>
      <c r="C396" s="11" t="s">
        <v>172</v>
      </c>
    </row>
    <row r="397" spans="2:3">
      <c r="B397" s="11" t="s">
        <v>108</v>
      </c>
      <c r="C397" s="11" t="s">
        <v>173</v>
      </c>
    </row>
    <row r="398" spans="2:3">
      <c r="B398" s="11" t="s">
        <v>130</v>
      </c>
      <c r="C398" s="11" t="s">
        <v>372</v>
      </c>
    </row>
    <row r="399" spans="2:3">
      <c r="B399" s="11" t="s">
        <v>110</v>
      </c>
      <c r="C399" s="11" t="s">
        <v>111</v>
      </c>
    </row>
    <row r="400" spans="2:3">
      <c r="B400" s="11" t="s">
        <v>117</v>
      </c>
      <c r="C400" s="11" t="s">
        <v>118</v>
      </c>
    </row>
    <row r="401" spans="2:3">
      <c r="B401" s="11" t="s">
        <v>151</v>
      </c>
      <c r="C401" s="11" t="s">
        <v>176</v>
      </c>
    </row>
    <row r="402" spans="2:3">
      <c r="B402" s="11" t="s">
        <v>131</v>
      </c>
      <c r="C402" s="11" t="s">
        <v>119</v>
      </c>
    </row>
    <row r="403" spans="2:3">
      <c r="B403" s="11" t="s">
        <v>132</v>
      </c>
      <c r="C403" s="11" t="s">
        <v>177</v>
      </c>
    </row>
    <row r="404" spans="2:3">
      <c r="B404" s="11" t="s">
        <v>0</v>
      </c>
      <c r="C404" s="11" t="s">
        <v>133</v>
      </c>
    </row>
    <row r="405" spans="2:3">
      <c r="B405" s="11" t="s">
        <v>134</v>
      </c>
      <c r="C405" s="11" t="s">
        <v>135</v>
      </c>
    </row>
    <row r="406" spans="2:3">
      <c r="B406" s="11" t="s">
        <v>136</v>
      </c>
      <c r="C406" s="11" t="s">
        <v>137</v>
      </c>
    </row>
    <row r="407" spans="2:3">
      <c r="B407" s="11" t="s">
        <v>115</v>
      </c>
      <c r="C407" s="11" t="s">
        <v>138</v>
      </c>
    </row>
    <row r="408" spans="2:3">
      <c r="B408" s="11" t="s">
        <v>112</v>
      </c>
      <c r="C408" s="11" t="s">
        <v>139</v>
      </c>
    </row>
    <row r="409" spans="2:3">
      <c r="B409" s="11" t="s">
        <v>140</v>
      </c>
      <c r="C409" s="11" t="s">
        <v>141</v>
      </c>
    </row>
    <row r="410" spans="2:3">
      <c r="B410" s="11" t="s">
        <v>120</v>
      </c>
      <c r="C410" s="11" t="s">
        <v>142</v>
      </c>
    </row>
    <row r="411" spans="2:3">
      <c r="B411" s="11" t="s">
        <v>143</v>
      </c>
      <c r="C411" s="11" t="s">
        <v>144</v>
      </c>
    </row>
    <row r="412" spans="2:3">
      <c r="B412" s="11" t="s">
        <v>121</v>
      </c>
      <c r="C412" s="11" t="s">
        <v>145</v>
      </c>
    </row>
    <row r="413" spans="2:3">
      <c r="B413" s="11" t="s">
        <v>122</v>
      </c>
      <c r="C413" s="11" t="s">
        <v>146</v>
      </c>
    </row>
    <row r="414" spans="2:3">
      <c r="B414" s="11" t="s">
        <v>328</v>
      </c>
      <c r="C414" s="11" t="s">
        <v>147</v>
      </c>
    </row>
    <row r="415" spans="2:3">
      <c r="B415" s="11" t="s">
        <v>124</v>
      </c>
      <c r="C415" s="11" t="s">
        <v>148</v>
      </c>
    </row>
    <row r="416" spans="2:3">
      <c r="B416" s="11" t="s">
        <v>265</v>
      </c>
      <c r="C416" s="11" t="s">
        <v>266</v>
      </c>
    </row>
    <row r="419" spans="2:23">
      <c r="B419" s="357" t="s">
        <v>386</v>
      </c>
      <c r="C419" s="358"/>
      <c r="D419" s="358"/>
      <c r="E419" s="358"/>
      <c r="F419" s="358"/>
      <c r="G419" s="358"/>
      <c r="H419" s="358"/>
      <c r="I419" s="358"/>
      <c r="J419" s="358"/>
      <c r="K419" s="358"/>
      <c r="L419" s="358"/>
      <c r="M419" s="358"/>
      <c r="N419" s="358"/>
      <c r="O419" s="358"/>
      <c r="P419" s="358"/>
      <c r="Q419" s="358"/>
      <c r="R419" s="358"/>
      <c r="S419" s="358"/>
      <c r="T419" s="358"/>
    </row>
    <row r="421" spans="2:23">
      <c r="B421" s="11" t="s">
        <v>326</v>
      </c>
    </row>
    <row r="422" spans="2:23">
      <c r="B422" s="11" t="s">
        <v>333</v>
      </c>
      <c r="O422" s="1"/>
    </row>
    <row r="424" spans="2:23">
      <c r="B424" s="11" t="s">
        <v>388</v>
      </c>
    </row>
    <row r="425" spans="2:23">
      <c r="B425" s="11" t="s">
        <v>388</v>
      </c>
    </row>
    <row r="427" spans="2:23">
      <c r="B427" s="357" t="s">
        <v>329</v>
      </c>
      <c r="C427" s="357"/>
      <c r="D427" s="357"/>
      <c r="E427" s="357"/>
      <c r="F427" s="357"/>
      <c r="G427" s="357"/>
      <c r="H427" s="357"/>
      <c r="I427" s="357"/>
      <c r="J427" s="357"/>
      <c r="K427" s="357"/>
      <c r="L427" s="357"/>
      <c r="M427" s="357"/>
      <c r="N427" s="357"/>
      <c r="O427" s="357"/>
      <c r="P427" s="357"/>
      <c r="Q427" s="357"/>
      <c r="R427" s="357"/>
      <c r="S427" s="357"/>
      <c r="T427" s="357"/>
    </row>
    <row r="429" spans="2:23">
      <c r="B429" s="11" t="s">
        <v>334</v>
      </c>
      <c r="C429" s="11" t="s">
        <v>239</v>
      </c>
      <c r="D429" s="11" t="s">
        <v>387</v>
      </c>
      <c r="E429" s="27" t="s">
        <v>389</v>
      </c>
      <c r="F429" s="27" t="s">
        <v>390</v>
      </c>
    </row>
    <row r="430" spans="2:23">
      <c r="B430" s="11" t="s">
        <v>335</v>
      </c>
      <c r="C430" s="11" t="s">
        <v>338</v>
      </c>
      <c r="D430" s="11" t="s">
        <v>387</v>
      </c>
      <c r="E430" s="27" t="s">
        <v>389</v>
      </c>
      <c r="F430" s="27" t="s">
        <v>391</v>
      </c>
      <c r="W430" s="28"/>
    </row>
    <row r="432" spans="2:23">
      <c r="B432" s="357" t="s">
        <v>344</v>
      </c>
      <c r="C432" s="357"/>
      <c r="D432" s="357"/>
      <c r="E432" s="357"/>
      <c r="F432" s="357"/>
      <c r="G432" s="357"/>
      <c r="H432" s="357"/>
      <c r="I432" s="357"/>
      <c r="J432" s="357"/>
      <c r="K432" s="357"/>
      <c r="L432" s="357"/>
      <c r="M432" s="357"/>
      <c r="N432" s="357"/>
      <c r="O432" s="357"/>
      <c r="P432" s="357"/>
      <c r="Q432" s="357"/>
      <c r="R432" s="357"/>
      <c r="S432" s="357"/>
      <c r="T432" s="357"/>
    </row>
    <row r="435" spans="2:6">
      <c r="B435" s="11" t="s">
        <v>352</v>
      </c>
      <c r="C435" s="11" t="s">
        <v>353</v>
      </c>
    </row>
    <row r="437" spans="2:6">
      <c r="B437" s="11" t="s">
        <v>345</v>
      </c>
      <c r="C437" s="11" t="s">
        <v>344</v>
      </c>
    </row>
    <row r="438" spans="2:6">
      <c r="B438" s="11" t="s">
        <v>346</v>
      </c>
      <c r="C438" s="11" t="s">
        <v>354</v>
      </c>
    </row>
    <row r="439" spans="2:6">
      <c r="B439" s="11" t="s">
        <v>347</v>
      </c>
      <c r="C439" s="11" t="s">
        <v>355</v>
      </c>
    </row>
    <row r="441" spans="2:6">
      <c r="B441" s="11" t="s">
        <v>356</v>
      </c>
      <c r="C441" s="11" t="s">
        <v>348</v>
      </c>
      <c r="D441" s="11" t="s">
        <v>349</v>
      </c>
      <c r="E441" s="11" t="s">
        <v>350</v>
      </c>
      <c r="F441" s="11" t="s">
        <v>351</v>
      </c>
    </row>
    <row r="442" spans="2:6">
      <c r="B442" s="11" t="s">
        <v>357</v>
      </c>
      <c r="C442" s="11" t="s">
        <v>358</v>
      </c>
      <c r="D442" s="11" t="s">
        <v>359</v>
      </c>
      <c r="E442" s="11" t="s">
        <v>360</v>
      </c>
      <c r="F442" s="11" t="s">
        <v>361</v>
      </c>
    </row>
    <row r="443" spans="2:6">
      <c r="B443" s="11" t="s">
        <v>362</v>
      </c>
    </row>
    <row r="444" spans="2:6">
      <c r="B444" s="11" t="s">
        <v>363</v>
      </c>
    </row>
  </sheetData>
  <mergeCells count="21"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  <mergeCell ref="B40:C41"/>
    <mergeCell ref="B419:T419"/>
    <mergeCell ref="B432:T432"/>
    <mergeCell ref="B427:T427"/>
    <mergeCell ref="B331:T33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C4:P7"/>
  <sheetViews>
    <sheetView workbookViewId="0">
      <selection activeCell="P5" sqref="P5:P7"/>
    </sheetView>
  </sheetViews>
  <sheetFormatPr defaultRowHeight="12.75"/>
  <cols>
    <col min="3" max="3" width="28.28515625" bestFit="1" customWidth="1"/>
  </cols>
  <sheetData>
    <row r="4" spans="3:16">
      <c r="D4" s="141" t="s">
        <v>292</v>
      </c>
      <c r="E4" s="141" t="s">
        <v>293</v>
      </c>
      <c r="F4" s="141" t="s">
        <v>294</v>
      </c>
      <c r="G4" s="141" t="s">
        <v>295</v>
      </c>
      <c r="H4" s="141" t="s">
        <v>296</v>
      </c>
      <c r="I4" s="141" t="s">
        <v>297</v>
      </c>
      <c r="J4" s="141" t="s">
        <v>298</v>
      </c>
      <c r="K4" s="141" t="s">
        <v>299</v>
      </c>
      <c r="L4" s="141" t="s">
        <v>300</v>
      </c>
      <c r="M4" s="141" t="s">
        <v>301</v>
      </c>
      <c r="N4" s="141" t="s">
        <v>302</v>
      </c>
      <c r="O4" s="141" t="s">
        <v>303</v>
      </c>
    </row>
    <row r="5" spans="3:16">
      <c r="C5" s="141" t="s">
        <v>435</v>
      </c>
      <c r="D5" s="142">
        <v>62425293.156965584</v>
      </c>
      <c r="E5" s="142">
        <v>79762187.59852089</v>
      </c>
      <c r="F5" s="142">
        <v>89318688.151918903</v>
      </c>
      <c r="G5" s="142">
        <v>106294081.27535464</v>
      </c>
      <c r="H5" s="142">
        <v>97189661.825924918</v>
      </c>
      <c r="I5" s="142">
        <v>105191801.34506513</v>
      </c>
      <c r="J5" s="142">
        <v>123272889.17858437</v>
      </c>
      <c r="K5" s="142">
        <v>125579133.65326507</v>
      </c>
      <c r="L5" s="142">
        <v>121047897.33843082</v>
      </c>
      <c r="M5" s="142">
        <v>114789505.85515907</v>
      </c>
      <c r="N5" s="142">
        <v>97406301.479715049</v>
      </c>
      <c r="O5" s="142">
        <v>145778958.57826602</v>
      </c>
      <c r="P5" s="142">
        <f>+SUM(D5:O5)</f>
        <v>1268056399.4371705</v>
      </c>
    </row>
    <row r="6" spans="3:16">
      <c r="C6" s="141" t="s">
        <v>436</v>
      </c>
      <c r="D6" s="142">
        <v>70632268.589999989</v>
      </c>
      <c r="E6" s="142">
        <v>81381758.450000018</v>
      </c>
      <c r="F6" s="142">
        <v>100495765.61000001</v>
      </c>
      <c r="G6" s="142">
        <v>107356417.33534782</v>
      </c>
      <c r="H6" s="142">
        <v>98816734.644163221</v>
      </c>
      <c r="I6" s="142">
        <v>107147051.5707173</v>
      </c>
      <c r="J6" s="142">
        <v>125666748.8575906</v>
      </c>
      <c r="K6" s="142">
        <v>127890096.38694921</v>
      </c>
      <c r="L6" s="142">
        <v>123465322.33433203</v>
      </c>
      <c r="M6" s="142">
        <v>117130344.73943919</v>
      </c>
      <c r="N6" s="142">
        <v>99294843.070796907</v>
      </c>
      <c r="O6" s="142">
        <v>149056317.49743444</v>
      </c>
      <c r="P6" s="142">
        <f>+SUM(D6:O6)</f>
        <v>1308333669.0867708</v>
      </c>
    </row>
    <row r="7" spans="3:16">
      <c r="C7" s="141" t="s">
        <v>437</v>
      </c>
      <c r="D7" s="142">
        <v>54757461.979999989</v>
      </c>
      <c r="E7" s="142">
        <v>75673443.909999996</v>
      </c>
      <c r="F7" s="142">
        <v>88296245.580000013</v>
      </c>
      <c r="G7" s="142">
        <v>103948239.19999999</v>
      </c>
      <c r="H7" s="142">
        <v>93997829.679999992</v>
      </c>
      <c r="I7" s="142">
        <v>99561632.659999996</v>
      </c>
      <c r="J7" s="142">
        <v>122021331.04999998</v>
      </c>
      <c r="K7" s="142">
        <v>125053427.64999999</v>
      </c>
      <c r="L7" s="142">
        <v>116342017.78000002</v>
      </c>
      <c r="M7" s="142">
        <v>117283627.60000001</v>
      </c>
      <c r="N7" s="142">
        <v>95781753.159999996</v>
      </c>
      <c r="O7" s="142">
        <v>142429369.22999999</v>
      </c>
      <c r="P7" s="142">
        <f>+SUM(D7:O7)</f>
        <v>1235146379.48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M80"/>
  <sheetViews>
    <sheetView workbookViewId="0">
      <selection activeCell="G63" sqref="G63"/>
    </sheetView>
  </sheetViews>
  <sheetFormatPr defaultRowHeight="12.75"/>
  <cols>
    <col min="2" max="2" width="43.28515625" customWidth="1"/>
    <col min="3" max="3" width="7.42578125" bestFit="1" customWidth="1"/>
    <col min="4" max="4" width="7.85546875" bestFit="1" customWidth="1"/>
    <col min="5" max="5" width="7.7109375" style="80" customWidth="1"/>
    <col min="6" max="6" width="6" style="80" customWidth="1"/>
    <col min="7" max="7" width="7.7109375" style="80" customWidth="1"/>
    <col min="8" max="8" width="7" style="80" bestFit="1" customWidth="1"/>
    <col min="12" max="12" width="11.5703125" bestFit="1" customWidth="1"/>
  </cols>
  <sheetData>
    <row r="1" spans="2:13">
      <c r="E1" s="82"/>
      <c r="F1" s="82"/>
      <c r="G1" s="82"/>
      <c r="H1" s="82"/>
    </row>
    <row r="2" spans="2:13" ht="13.5" thickBot="1">
      <c r="E2" s="82"/>
      <c r="F2" s="82"/>
      <c r="G2" s="82"/>
      <c r="H2" s="82"/>
    </row>
    <row r="3" spans="2:13" ht="14.25" thickTop="1" thickBot="1">
      <c r="C3" s="326">
        <v>3335894492.1291356</v>
      </c>
      <c r="D3" s="326"/>
      <c r="E3" s="319">
        <v>3516156889.9792166</v>
      </c>
      <c r="F3" s="320"/>
      <c r="G3" s="320"/>
      <c r="H3" s="321"/>
    </row>
    <row r="4" spans="2:13" ht="13.5" thickTop="1">
      <c r="E4" s="83"/>
      <c r="F4" s="83"/>
      <c r="G4" s="82"/>
      <c r="H4" s="82"/>
    </row>
    <row r="5" spans="2:13" ht="13.5" thickBot="1">
      <c r="E5" s="133"/>
      <c r="F5" s="133"/>
      <c r="G5" s="133"/>
      <c r="H5" s="133"/>
    </row>
    <row r="6" spans="2:13" ht="13.5" thickTop="1">
      <c r="B6" t="s">
        <v>126</v>
      </c>
      <c r="C6" s="317">
        <v>2013</v>
      </c>
      <c r="D6" s="318"/>
      <c r="E6" s="317" t="s">
        <v>392</v>
      </c>
      <c r="F6" s="318"/>
      <c r="G6" s="317" t="s">
        <v>426</v>
      </c>
      <c r="H6" s="318"/>
      <c r="I6" s="317" t="s">
        <v>438</v>
      </c>
      <c r="J6" s="318"/>
    </row>
    <row r="7" spans="2:13" ht="13.5" thickBot="1">
      <c r="C7" s="88" t="str">
        <f>+E7</f>
        <v>mil. €</v>
      </c>
      <c r="D7" s="89" t="str">
        <f>+F7</f>
        <v>% BDP</v>
      </c>
      <c r="E7" s="88" t="s">
        <v>262</v>
      </c>
      <c r="F7" s="89" t="s">
        <v>149</v>
      </c>
      <c r="G7" s="88" t="s">
        <v>262</v>
      </c>
      <c r="H7" s="89" t="s">
        <v>149</v>
      </c>
      <c r="I7" s="144" t="s">
        <v>262</v>
      </c>
      <c r="J7" s="144" t="s">
        <v>439</v>
      </c>
    </row>
    <row r="8" spans="2:13" ht="14.25" thickTop="1" thickBot="1">
      <c r="B8" s="90" t="s">
        <v>127</v>
      </c>
      <c r="C8" s="134">
        <f>C9+C17+C22+C27+C34+C39</f>
        <v>1235146379.48</v>
      </c>
      <c r="D8" s="92">
        <f>C8/C$3*100</f>
        <v>37.025942588839719</v>
      </c>
      <c r="E8" s="134">
        <f>+E9+E17+E22+E27+E34+E39+E40</f>
        <v>1276056399.4371703</v>
      </c>
      <c r="F8" s="92">
        <f>E8/E$3*100</f>
        <v>36.291224748071834</v>
      </c>
      <c r="G8" s="131">
        <f>+G9+G17+G22+G27+G34+G39+G40</f>
        <v>1316333669.0867703</v>
      </c>
      <c r="H8" s="92">
        <f>G8/E$3*100</f>
        <v>37.436716002014087</v>
      </c>
      <c r="I8" s="131">
        <f>+G8-E8</f>
        <v>40277269.649600029</v>
      </c>
      <c r="J8" s="92">
        <f>+G8/E8*100-100</f>
        <v>3.1563863217460693</v>
      </c>
    </row>
    <row r="9" spans="2:13" ht="13.5" thickTop="1">
      <c r="B9" s="93" t="s">
        <v>2</v>
      </c>
      <c r="C9" s="125">
        <f>SUM(C10:C16)</f>
        <v>755696459.51000011</v>
      </c>
      <c r="D9" s="95">
        <f t="shared" ref="D9:D72" si="0">C9/C$3*100</f>
        <v>22.653488031261944</v>
      </c>
      <c r="E9" s="125">
        <f>+SUM(E10:E16)</f>
        <v>797828901.35953081</v>
      </c>
      <c r="F9" s="96">
        <f t="shared" ref="F9:F73" si="1">E9/E$3*100</f>
        <v>22.690366963808792</v>
      </c>
      <c r="G9" s="125">
        <f>+SUM(G10:G16)</f>
        <v>819077478.06873</v>
      </c>
      <c r="H9" s="96">
        <f t="shared" ref="H9:H72" si="2">G9/E$3*100</f>
        <v>23.294679495190881</v>
      </c>
      <c r="I9" s="125">
        <f t="shared" ref="I9:I41" si="3">+G9-E9</f>
        <v>21248576.70919919</v>
      </c>
      <c r="J9" s="96">
        <f t="shared" ref="J9:J73" si="4">+G9/E9*100-100</f>
        <v>2.6632999472682428</v>
      </c>
    </row>
    <row r="10" spans="2:13">
      <c r="B10" s="97" t="s">
        <v>3</v>
      </c>
      <c r="C10" s="126">
        <v>95618433.909999996</v>
      </c>
      <c r="D10" s="98">
        <f t="shared" si="0"/>
        <v>2.8663506635358695</v>
      </c>
      <c r="E10" s="126">
        <v>96011654.614494905</v>
      </c>
      <c r="F10" s="98">
        <f t="shared" si="1"/>
        <v>2.7305850568875618</v>
      </c>
      <c r="G10" s="127">
        <v>96781150.729929999</v>
      </c>
      <c r="H10" s="98">
        <f t="shared" si="2"/>
        <v>2.7524696354064582</v>
      </c>
      <c r="I10" s="127">
        <f t="shared" si="3"/>
        <v>769496.11543509364</v>
      </c>
      <c r="J10" s="98">
        <f t="shared" si="4"/>
        <v>0.80146115440335564</v>
      </c>
    </row>
    <row r="11" spans="2:13">
      <c r="B11" s="97" t="s">
        <v>5</v>
      </c>
      <c r="C11" s="127">
        <v>40638726.390000008</v>
      </c>
      <c r="D11" s="98">
        <f t="shared" si="0"/>
        <v>1.2182257708055488</v>
      </c>
      <c r="E11" s="127">
        <v>44395641.531501003</v>
      </c>
      <c r="F11" s="98">
        <f t="shared" si="1"/>
        <v>1.2626183336137604</v>
      </c>
      <c r="G11" s="127">
        <v>50018934.706970006</v>
      </c>
      <c r="H11" s="98">
        <f t="shared" si="2"/>
        <v>1.4225455880401758</v>
      </c>
      <c r="I11" s="127">
        <f t="shared" si="3"/>
        <v>5623293.1754690036</v>
      </c>
      <c r="J11" s="98">
        <f t="shared" si="4"/>
        <v>12.666318092236565</v>
      </c>
    </row>
    <row r="12" spans="2:13">
      <c r="B12" s="97" t="s">
        <v>7</v>
      </c>
      <c r="C12" s="127">
        <v>1440565.3199999998</v>
      </c>
      <c r="D12" s="98">
        <f t="shared" si="0"/>
        <v>4.318377944503151E-2</v>
      </c>
      <c r="E12" s="127">
        <v>1544536.6728920399</v>
      </c>
      <c r="F12" s="98">
        <f t="shared" si="1"/>
        <v>4.3926841754241781E-2</v>
      </c>
      <c r="G12" s="127">
        <v>1489198.0023599996</v>
      </c>
      <c r="H12" s="98">
        <f t="shared" si="2"/>
        <v>4.2353002125818169E-2</v>
      </c>
      <c r="I12" s="127">
        <f t="shared" si="3"/>
        <v>-55338.670532040298</v>
      </c>
      <c r="J12" s="98">
        <f t="shared" si="4"/>
        <v>-3.5828654316392772</v>
      </c>
    </row>
    <row r="13" spans="2:13">
      <c r="B13" s="97" t="s">
        <v>9</v>
      </c>
      <c r="C13" s="126">
        <v>429195069.32999998</v>
      </c>
      <c r="D13" s="98">
        <f t="shared" si="0"/>
        <v>12.865966544885122</v>
      </c>
      <c r="E13" s="126">
        <v>455945630.52919102</v>
      </c>
      <c r="F13" s="98">
        <f t="shared" si="1"/>
        <v>12.967158315051353</v>
      </c>
      <c r="G13" s="127">
        <v>473642045.78458995</v>
      </c>
      <c r="H13" s="98">
        <f t="shared" si="2"/>
        <v>13.470446871538474</v>
      </c>
      <c r="I13" s="127">
        <f t="shared" si="3"/>
        <v>17696415.255398929</v>
      </c>
      <c r="J13" s="98">
        <f t="shared" si="4"/>
        <v>3.8812555862986784</v>
      </c>
      <c r="L13" s="127">
        <f>+G13-C13</f>
        <v>44446976.454589963</v>
      </c>
      <c r="M13">
        <f>+G13/C13*100-100</f>
        <v>10.355891675077828</v>
      </c>
    </row>
    <row r="14" spans="2:13">
      <c r="B14" s="97" t="s">
        <v>12</v>
      </c>
      <c r="C14" s="127">
        <v>161445470.17000002</v>
      </c>
      <c r="D14" s="98">
        <f t="shared" si="0"/>
        <v>4.8396455748502225</v>
      </c>
      <c r="E14" s="127">
        <v>171111988.52539012</v>
      </c>
      <c r="F14" s="98">
        <f t="shared" si="1"/>
        <v>4.8664491909631922</v>
      </c>
      <c r="G14" s="127">
        <v>169158715.98390999</v>
      </c>
      <c r="H14" s="98">
        <f t="shared" si="2"/>
        <v>4.8108978432105705</v>
      </c>
      <c r="I14" s="127">
        <f t="shared" si="3"/>
        <v>-1953272.541480124</v>
      </c>
      <c r="J14" s="98">
        <f t="shared" si="4"/>
        <v>-1.1415170604427232</v>
      </c>
    </row>
    <row r="15" spans="2:13">
      <c r="B15" s="97" t="s">
        <v>14</v>
      </c>
      <c r="C15" s="127">
        <v>22269382.640000001</v>
      </c>
      <c r="D15" s="98">
        <f t="shared" si="0"/>
        <v>0.66756855447746977</v>
      </c>
      <c r="E15" s="127">
        <v>23735353.696558259</v>
      </c>
      <c r="F15" s="98">
        <f t="shared" si="1"/>
        <v>0.67503682114419394</v>
      </c>
      <c r="G15" s="127">
        <v>22781578.440719999</v>
      </c>
      <c r="H15" s="98">
        <f t="shared" si="2"/>
        <v>0.64791131776985811</v>
      </c>
      <c r="I15" s="127">
        <f t="shared" si="3"/>
        <v>-953775.25583826005</v>
      </c>
      <c r="J15" s="98">
        <f t="shared" si="4"/>
        <v>-4.0183738908283573</v>
      </c>
    </row>
    <row r="16" spans="2:13">
      <c r="B16" s="97" t="s">
        <v>17</v>
      </c>
      <c r="C16" s="127">
        <v>5088811.75</v>
      </c>
      <c r="D16" s="98">
        <f t="shared" si="0"/>
        <v>0.15254714326267749</v>
      </c>
      <c r="E16" s="127">
        <v>5084095.7895035082</v>
      </c>
      <c r="F16" s="98">
        <f t="shared" si="1"/>
        <v>0.14459240439449103</v>
      </c>
      <c r="G16" s="127">
        <v>5205854.4202499995</v>
      </c>
      <c r="H16" s="98">
        <f t="shared" si="2"/>
        <v>0.14805523709952459</v>
      </c>
      <c r="I16" s="127">
        <f t="shared" si="3"/>
        <v>121758.63074649125</v>
      </c>
      <c r="J16" s="98">
        <f t="shared" si="4"/>
        <v>2.394892539158505</v>
      </c>
      <c r="L16">
        <f>+G13/G8*100</f>
        <v>35.981913773670129</v>
      </c>
    </row>
    <row r="17" spans="2:12">
      <c r="B17" s="93" t="s">
        <v>19</v>
      </c>
      <c r="C17" s="135">
        <f>SUM(C18:C21)</f>
        <v>398494284.19</v>
      </c>
      <c r="D17" s="96">
        <f t="shared" si="0"/>
        <v>11.94565011364196</v>
      </c>
      <c r="E17" s="125">
        <f>+SUM(E18:E21)</f>
        <v>397823173.70918262</v>
      </c>
      <c r="F17" s="96">
        <f t="shared" si="1"/>
        <v>11.314147410286179</v>
      </c>
      <c r="G17" s="125">
        <f>+SUM(G18:G21)</f>
        <v>417559652.73636997</v>
      </c>
      <c r="H17" s="96">
        <f t="shared" si="2"/>
        <v>11.87545566940951</v>
      </c>
      <c r="I17" s="125">
        <f t="shared" si="3"/>
        <v>19736479.027187347</v>
      </c>
      <c r="J17" s="96">
        <f t="shared" si="4"/>
        <v>4.9611184896974265</v>
      </c>
    </row>
    <row r="18" spans="2:12">
      <c r="B18" s="97" t="s">
        <v>21</v>
      </c>
      <c r="C18" s="127">
        <v>241949355.72999999</v>
      </c>
      <c r="D18" s="98">
        <f t="shared" si="0"/>
        <v>7.2529079172277937</v>
      </c>
      <c r="E18" s="127">
        <v>234882396.70208701</v>
      </c>
      <c r="F18" s="98">
        <f t="shared" si="1"/>
        <v>6.6800886323213922</v>
      </c>
      <c r="G18" s="127">
        <v>254875867.28178996</v>
      </c>
      <c r="H18" s="98">
        <f t="shared" si="2"/>
        <v>7.2487057676000486</v>
      </c>
      <c r="I18" s="127">
        <f t="shared" si="3"/>
        <v>19993470.579702944</v>
      </c>
      <c r="J18" s="98">
        <f t="shared" si="4"/>
        <v>8.5121196225963445</v>
      </c>
      <c r="L18" s="127">
        <f>+G18-C18</f>
        <v>12926511.551789969</v>
      </c>
    </row>
    <row r="19" spans="2:12">
      <c r="B19" s="97" t="s">
        <v>23</v>
      </c>
      <c r="C19" s="127">
        <v>134703897.09</v>
      </c>
      <c r="D19" s="98">
        <f t="shared" si="0"/>
        <v>4.038014313936686</v>
      </c>
      <c r="E19" s="127">
        <v>138667298.82084399</v>
      </c>
      <c r="F19" s="98">
        <f t="shared" si="1"/>
        <v>3.9437176201106214</v>
      </c>
      <c r="G19" s="127">
        <v>139196347.37307</v>
      </c>
      <c r="H19" s="98">
        <f t="shared" si="2"/>
        <v>3.9587638358734543</v>
      </c>
      <c r="I19" s="127">
        <f t="shared" si="3"/>
        <v>529048.55222600698</v>
      </c>
      <c r="J19" s="98">
        <f t="shared" si="4"/>
        <v>0.3815236589482538</v>
      </c>
    </row>
    <row r="20" spans="2:12">
      <c r="B20" s="97" t="s">
        <v>25</v>
      </c>
      <c r="C20" s="127">
        <v>10770190.189999999</v>
      </c>
      <c r="D20" s="98">
        <f t="shared" si="0"/>
        <v>0.32285763879558199</v>
      </c>
      <c r="E20" s="127">
        <v>11617385.520490499</v>
      </c>
      <c r="F20" s="98">
        <f t="shared" si="1"/>
        <v>0.33040008975706336</v>
      </c>
      <c r="G20" s="127">
        <v>11434714.104369998</v>
      </c>
      <c r="H20" s="98">
        <f t="shared" si="2"/>
        <v>0.3252048888079504</v>
      </c>
      <c r="I20" s="127">
        <f t="shared" si="3"/>
        <v>-182671.41612050124</v>
      </c>
      <c r="J20" s="98">
        <f t="shared" si="4"/>
        <v>-1.5723969545325787</v>
      </c>
    </row>
    <row r="21" spans="2:12">
      <c r="B21" s="97" t="s">
        <v>27</v>
      </c>
      <c r="C21" s="127">
        <v>11070841.180000002</v>
      </c>
      <c r="D21" s="98">
        <f t="shared" si="0"/>
        <v>0.33187024368189877</v>
      </c>
      <c r="E21" s="126">
        <v>12656092.6657611</v>
      </c>
      <c r="F21" s="98">
        <f t="shared" si="1"/>
        <v>0.3599410680971038</v>
      </c>
      <c r="G21" s="127">
        <v>12052723.97714</v>
      </c>
      <c r="H21" s="98">
        <f t="shared" si="2"/>
        <v>0.34278117712805589</v>
      </c>
      <c r="I21" s="127">
        <f t="shared" si="3"/>
        <v>-603368.68862110004</v>
      </c>
      <c r="J21" s="98">
        <f t="shared" si="4"/>
        <v>-4.7674168051361647</v>
      </c>
    </row>
    <row r="22" spans="2:12">
      <c r="B22" s="93" t="s">
        <v>29</v>
      </c>
      <c r="C22" s="125">
        <f>SUM(C23:C26)</f>
        <v>27069458</v>
      </c>
      <c r="D22" s="96">
        <f t="shared" si="0"/>
        <v>0.81146025642804165</v>
      </c>
      <c r="E22" s="125">
        <f>+SUM(E23:E26)</f>
        <v>20923047.198280636</v>
      </c>
      <c r="F22" s="96">
        <f t="shared" si="1"/>
        <v>0.59505442598166625</v>
      </c>
      <c r="G22" s="125">
        <f>+SUM(G23:G26)</f>
        <v>19923047.198280636</v>
      </c>
      <c r="H22" s="96">
        <f t="shared" si="2"/>
        <v>0.56661428433582772</v>
      </c>
      <c r="I22" s="125">
        <f t="shared" si="3"/>
        <v>-1000000</v>
      </c>
      <c r="J22" s="96">
        <f t="shared" si="4"/>
        <v>-4.7794185546843977</v>
      </c>
    </row>
    <row r="23" spans="2:12">
      <c r="B23" s="97" t="s">
        <v>31</v>
      </c>
      <c r="C23" s="127">
        <v>7881462.9399999995</v>
      </c>
      <c r="D23" s="98">
        <f t="shared" si="0"/>
        <v>0.23626235657620134</v>
      </c>
      <c r="E23" s="127">
        <v>8144616.5029747505</v>
      </c>
      <c r="F23" s="98">
        <f t="shared" si="1"/>
        <v>0.23163404699563594</v>
      </c>
      <c r="G23" s="127">
        <v>8144616.5029747505</v>
      </c>
      <c r="H23" s="98">
        <f t="shared" si="2"/>
        <v>0.23163404699563594</v>
      </c>
      <c r="I23" s="127">
        <f t="shared" si="3"/>
        <v>0</v>
      </c>
      <c r="J23" s="98">
        <f t="shared" si="4"/>
        <v>0</v>
      </c>
    </row>
    <row r="24" spans="2:12">
      <c r="B24" s="97" t="s">
        <v>32</v>
      </c>
      <c r="C24" s="127">
        <v>4557791.26</v>
      </c>
      <c r="D24" s="98">
        <f t="shared" si="0"/>
        <v>0.13662875941531916</v>
      </c>
      <c r="E24" s="127">
        <v>3676083.5729169641</v>
      </c>
      <c r="F24" s="98">
        <f t="shared" si="1"/>
        <v>0.10454833751569864</v>
      </c>
      <c r="G24" s="127">
        <v>5176083.5729169641</v>
      </c>
      <c r="H24" s="98">
        <f t="shared" si="2"/>
        <v>0.14720854998445643</v>
      </c>
      <c r="I24" s="127">
        <f t="shared" si="3"/>
        <v>1500000</v>
      </c>
      <c r="J24" s="98">
        <f t="shared" si="4"/>
        <v>40.804295393364868</v>
      </c>
    </row>
    <row r="25" spans="2:12">
      <c r="B25" s="97" t="s">
        <v>34</v>
      </c>
      <c r="C25" s="127">
        <v>767936.98999999987</v>
      </c>
      <c r="D25" s="98">
        <f t="shared" si="0"/>
        <v>2.3020422013103413E-2</v>
      </c>
      <c r="E25" s="127">
        <v>762511.44191594806</v>
      </c>
      <c r="F25" s="98">
        <f t="shared" si="1"/>
        <v>2.1685933414662142E-2</v>
      </c>
      <c r="G25" s="127">
        <v>762511.44191594806</v>
      </c>
      <c r="H25" s="98">
        <f t="shared" si="2"/>
        <v>2.1685933414662142E-2</v>
      </c>
      <c r="I25" s="127">
        <f t="shared" si="3"/>
        <v>0</v>
      </c>
      <c r="J25" s="98">
        <f t="shared" si="4"/>
        <v>0</v>
      </c>
    </row>
    <row r="26" spans="2:12">
      <c r="B26" s="97" t="s">
        <v>37</v>
      </c>
      <c r="C26" s="126">
        <v>13862266.809999999</v>
      </c>
      <c r="D26" s="98">
        <f t="shared" si="0"/>
        <v>0.41554871842341756</v>
      </c>
      <c r="E26" s="126">
        <v>8339835.6804729737</v>
      </c>
      <c r="F26" s="98">
        <f t="shared" si="1"/>
        <v>0.23718610805566953</v>
      </c>
      <c r="G26" s="126">
        <v>5839835.6804729737</v>
      </c>
      <c r="H26" s="98">
        <f t="shared" si="2"/>
        <v>0.16608575394107319</v>
      </c>
      <c r="I26" s="126">
        <f t="shared" si="3"/>
        <v>-2500000</v>
      </c>
      <c r="J26" s="98">
        <f t="shared" si="4"/>
        <v>-29.976609801240343</v>
      </c>
    </row>
    <row r="27" spans="2:12">
      <c r="B27" s="93" t="s">
        <v>39</v>
      </c>
      <c r="C27" s="125">
        <f>SUM(C28:C33)</f>
        <v>13233490.18</v>
      </c>
      <c r="D27" s="96">
        <f t="shared" si="0"/>
        <v>0.39669990196703492</v>
      </c>
      <c r="E27" s="125">
        <f>+SUM(E28:E33)</f>
        <v>13024243.76827177</v>
      </c>
      <c r="F27" s="96">
        <f t="shared" si="1"/>
        <v>0.37041133759957889</v>
      </c>
      <c r="G27" s="125">
        <f>+SUM(G28:G33)</f>
        <v>12724243.76827177</v>
      </c>
      <c r="H27" s="96">
        <f t="shared" si="2"/>
        <v>0.36187929510582734</v>
      </c>
      <c r="I27" s="125">
        <f t="shared" si="3"/>
        <v>-300000</v>
      </c>
      <c r="J27" s="96">
        <f t="shared" si="4"/>
        <v>-2.3033966911063715</v>
      </c>
    </row>
    <row r="28" spans="2:12">
      <c r="B28" s="97" t="s">
        <v>40</v>
      </c>
      <c r="C28" s="127">
        <v>647266.8600000001</v>
      </c>
      <c r="D28" s="98">
        <f t="shared" si="0"/>
        <v>1.9403097475870164E-2</v>
      </c>
      <c r="E28" s="127">
        <v>698651.48499726248</v>
      </c>
      <c r="F28" s="98">
        <f t="shared" si="1"/>
        <v>1.9869747194397578E-2</v>
      </c>
      <c r="G28" s="127">
        <v>698651.48499726248</v>
      </c>
      <c r="H28" s="98">
        <f t="shared" si="2"/>
        <v>1.9869747194397578E-2</v>
      </c>
      <c r="I28" s="127">
        <f t="shared" si="3"/>
        <v>0</v>
      </c>
      <c r="J28" s="98">
        <f t="shared" si="4"/>
        <v>0</v>
      </c>
    </row>
    <row r="29" spans="2:12">
      <c r="B29" s="97" t="s">
        <v>42</v>
      </c>
      <c r="C29" s="127">
        <v>1995183.6300000001</v>
      </c>
      <c r="D29" s="98">
        <f t="shared" si="0"/>
        <v>5.9809554370125591E-2</v>
      </c>
      <c r="E29" s="127">
        <v>1997965.7673730874</v>
      </c>
      <c r="F29" s="98">
        <f t="shared" si="1"/>
        <v>5.6822429427627073E-2</v>
      </c>
      <c r="G29" s="127">
        <v>1997965.7673730874</v>
      </c>
      <c r="H29" s="98">
        <f t="shared" si="2"/>
        <v>5.6822429427627073E-2</v>
      </c>
      <c r="I29" s="127">
        <f t="shared" si="3"/>
        <v>0</v>
      </c>
      <c r="J29" s="98">
        <f t="shared" si="4"/>
        <v>0</v>
      </c>
    </row>
    <row r="30" spans="2:12">
      <c r="B30" s="97" t="s">
        <v>45</v>
      </c>
      <c r="C30" s="127">
        <v>309851.25</v>
      </c>
      <c r="D30" s="98">
        <f t="shared" si="0"/>
        <v>9.2884007791936302E-3</v>
      </c>
      <c r="E30" s="127">
        <v>424373.88097611902</v>
      </c>
      <c r="F30" s="98">
        <f t="shared" si="1"/>
        <v>1.2069253285755047E-2</v>
      </c>
      <c r="G30" s="127">
        <v>424373.88097611902</v>
      </c>
      <c r="H30" s="98">
        <f t="shared" si="2"/>
        <v>1.2069253285755047E-2</v>
      </c>
      <c r="I30" s="127">
        <f t="shared" si="3"/>
        <v>0</v>
      </c>
      <c r="J30" s="98">
        <f t="shared" si="4"/>
        <v>0</v>
      </c>
    </row>
    <row r="31" spans="2:12">
      <c r="B31" s="97" t="s">
        <v>47</v>
      </c>
      <c r="C31" s="127">
        <v>3324177.16</v>
      </c>
      <c r="D31" s="98">
        <f t="shared" si="0"/>
        <v>9.9648749918296836E-2</v>
      </c>
      <c r="E31" s="127">
        <v>3266343.0516235088</v>
      </c>
      <c r="F31" s="98">
        <f t="shared" si="1"/>
        <v>9.2895259052073062E-2</v>
      </c>
      <c r="G31" s="127">
        <v>3666343.0516235088</v>
      </c>
      <c r="H31" s="98">
        <f t="shared" si="2"/>
        <v>0.10427131571040847</v>
      </c>
      <c r="I31" s="127">
        <f t="shared" si="3"/>
        <v>400000</v>
      </c>
      <c r="J31" s="98">
        <f t="shared" si="4"/>
        <v>12.246111130341419</v>
      </c>
    </row>
    <row r="32" spans="2:12">
      <c r="B32" s="97" t="s">
        <v>50</v>
      </c>
      <c r="C32" s="127">
        <v>3659024.1899999995</v>
      </c>
      <c r="D32" s="98">
        <f t="shared" si="0"/>
        <v>0.10968644837638813</v>
      </c>
      <c r="E32" s="127">
        <v>3355752.0175728933</v>
      </c>
      <c r="F32" s="98">
        <f t="shared" si="1"/>
        <v>9.5438062708081514E-2</v>
      </c>
      <c r="G32" s="127">
        <v>3355752.0175728933</v>
      </c>
      <c r="H32" s="98">
        <f t="shared" si="2"/>
        <v>9.5438062708081514E-2</v>
      </c>
      <c r="I32" s="127">
        <f t="shared" si="3"/>
        <v>0</v>
      </c>
      <c r="J32" s="98">
        <f t="shared" si="4"/>
        <v>0</v>
      </c>
    </row>
    <row r="33" spans="2:10">
      <c r="B33" s="97" t="s">
        <v>51</v>
      </c>
      <c r="C33" s="127">
        <v>3297987.09</v>
      </c>
      <c r="D33" s="98">
        <f t="shared" si="0"/>
        <v>9.8863651047160633E-2</v>
      </c>
      <c r="E33" s="127">
        <v>3281157.5657288986</v>
      </c>
      <c r="F33" s="98">
        <f t="shared" si="1"/>
        <v>9.331658593164463E-2</v>
      </c>
      <c r="G33" s="127">
        <v>2581157.5657288986</v>
      </c>
      <c r="H33" s="98">
        <f t="shared" si="2"/>
        <v>7.340848677955765E-2</v>
      </c>
      <c r="I33" s="127">
        <f t="shared" si="3"/>
        <v>-700000</v>
      </c>
      <c r="J33" s="98">
        <f t="shared" si="4"/>
        <v>-21.333934319746618</v>
      </c>
    </row>
    <row r="34" spans="2:10">
      <c r="B34" s="93" t="s">
        <v>53</v>
      </c>
      <c r="C34" s="125">
        <f>SUM(C35:C38)</f>
        <v>33088194.540000003</v>
      </c>
      <c r="D34" s="96">
        <f t="shared" si="0"/>
        <v>0.99188372468223518</v>
      </c>
      <c r="E34" s="125">
        <f>+SUM(E35:E38)</f>
        <v>31410770.914738216</v>
      </c>
      <c r="F34" s="96">
        <f t="shared" si="1"/>
        <v>0.89332677402013982</v>
      </c>
      <c r="G34" s="125">
        <f>+SUM(G35:G38)</f>
        <v>31310770.914738216</v>
      </c>
      <c r="H34" s="96">
        <f t="shared" si="2"/>
        <v>0.89048275985555603</v>
      </c>
      <c r="I34" s="125">
        <f t="shared" si="3"/>
        <v>-100000</v>
      </c>
      <c r="J34" s="96">
        <f t="shared" si="4"/>
        <v>-0.318362132121635</v>
      </c>
    </row>
    <row r="35" spans="2:10">
      <c r="B35" s="97" t="s">
        <v>55</v>
      </c>
      <c r="C35" s="127">
        <v>6034873.3200000003</v>
      </c>
      <c r="D35" s="98">
        <f t="shared" si="0"/>
        <v>0.18090719998006413</v>
      </c>
      <c r="E35" s="127">
        <v>5533606.7424404304</v>
      </c>
      <c r="F35" s="98">
        <f t="shared" si="1"/>
        <v>0.15737655956737298</v>
      </c>
      <c r="G35" s="127">
        <v>6533606.7424404304</v>
      </c>
      <c r="H35" s="98">
        <f t="shared" si="2"/>
        <v>0.1858167012132115</v>
      </c>
      <c r="I35" s="127">
        <f t="shared" si="3"/>
        <v>1000000</v>
      </c>
      <c r="J35" s="98">
        <f t="shared" si="4"/>
        <v>18.071396225727824</v>
      </c>
    </row>
    <row r="36" spans="2:10">
      <c r="B36" s="97" t="s">
        <v>57</v>
      </c>
      <c r="C36" s="127">
        <v>12316700.43</v>
      </c>
      <c r="D36" s="98">
        <f t="shared" si="0"/>
        <v>0.36921732563966259</v>
      </c>
      <c r="E36" s="127">
        <v>11824073.889814863</v>
      </c>
      <c r="F36" s="98">
        <f t="shared" si="1"/>
        <v>0.33627833625719566</v>
      </c>
      <c r="G36" s="127">
        <v>12424073.889814863</v>
      </c>
      <c r="H36" s="98">
        <f t="shared" si="2"/>
        <v>0.35334242124469878</v>
      </c>
      <c r="I36" s="127">
        <f t="shared" si="3"/>
        <v>600000</v>
      </c>
      <c r="J36" s="98">
        <f t="shared" si="4"/>
        <v>5.0743931879251249</v>
      </c>
    </row>
    <row r="37" spans="2:10">
      <c r="B37" s="97" t="s">
        <v>59</v>
      </c>
      <c r="C37" s="127">
        <v>2179410.2600000002</v>
      </c>
      <c r="D37" s="98">
        <f t="shared" si="0"/>
        <v>6.5332110027526411E-2</v>
      </c>
      <c r="E37" s="127">
        <v>2220205.3434794326</v>
      </c>
      <c r="F37" s="98">
        <f t="shared" si="1"/>
        <v>6.3142954451402653E-2</v>
      </c>
      <c r="G37" s="127">
        <v>2220205.3434794326</v>
      </c>
      <c r="H37" s="98">
        <f t="shared" si="2"/>
        <v>6.3142954451402653E-2</v>
      </c>
      <c r="I37" s="127">
        <f t="shared" si="3"/>
        <v>0</v>
      </c>
      <c r="J37" s="98">
        <f t="shared" si="4"/>
        <v>0</v>
      </c>
    </row>
    <row r="38" spans="2:10">
      <c r="B38" s="97" t="s">
        <v>53</v>
      </c>
      <c r="C38" s="127">
        <v>12557210.530000001</v>
      </c>
      <c r="D38" s="98">
        <f t="shared" si="0"/>
        <v>0.37642708903498195</v>
      </c>
      <c r="E38" s="127">
        <v>11832884.939003492</v>
      </c>
      <c r="F38" s="98">
        <f t="shared" si="1"/>
        <v>0.33652892374416871</v>
      </c>
      <c r="G38" s="127">
        <v>10132884.939003492</v>
      </c>
      <c r="H38" s="98">
        <f t="shared" si="2"/>
        <v>0.28818068294624322</v>
      </c>
      <c r="I38" s="127">
        <f t="shared" si="3"/>
        <v>-1700000</v>
      </c>
      <c r="J38" s="98">
        <f t="shared" si="4"/>
        <v>-14.366741574545941</v>
      </c>
    </row>
    <row r="39" spans="2:10">
      <c r="B39" s="93" t="s">
        <v>254</v>
      </c>
      <c r="C39" s="125">
        <v>7564493.0600000005</v>
      </c>
      <c r="D39" s="96">
        <f t="shared" si="0"/>
        <v>0.22676056085850488</v>
      </c>
      <c r="E39" s="125">
        <v>7046262.4871663069</v>
      </c>
      <c r="F39" s="96">
        <f t="shared" si="1"/>
        <v>0.20039670320876826</v>
      </c>
      <c r="G39" s="125">
        <v>7738476.4003799995</v>
      </c>
      <c r="H39" s="96">
        <f t="shared" si="2"/>
        <v>0.22008336494978584</v>
      </c>
      <c r="I39" s="125">
        <f t="shared" si="3"/>
        <v>692213.91321369261</v>
      </c>
      <c r="J39" s="96">
        <f t="shared" si="4"/>
        <v>9.8238451161087852</v>
      </c>
    </row>
    <row r="40" spans="2:10" ht="13.5" thickBot="1">
      <c r="B40" s="93" t="s">
        <v>122</v>
      </c>
      <c r="C40" s="127">
        <v>6615451.54</v>
      </c>
      <c r="D40" s="98">
        <f t="shared" si="0"/>
        <v>0.19831117427750797</v>
      </c>
      <c r="E40" s="125">
        <v>8000000</v>
      </c>
      <c r="F40" s="96">
        <f t="shared" si="1"/>
        <v>0.22752113316670824</v>
      </c>
      <c r="G40" s="125">
        <v>8000000</v>
      </c>
      <c r="H40" s="96">
        <f t="shared" si="2"/>
        <v>0.22752113316670824</v>
      </c>
      <c r="I40" s="125">
        <f t="shared" si="3"/>
        <v>0</v>
      </c>
      <c r="J40" s="96">
        <f t="shared" si="4"/>
        <v>0</v>
      </c>
    </row>
    <row r="41" spans="2:10" ht="14.25" thickTop="1" thickBot="1">
      <c r="B41" s="90" t="s">
        <v>61</v>
      </c>
      <c r="C41" s="91">
        <f>+C43+C54+C60+SUM(C63:C67)</f>
        <v>1363467004.0629177</v>
      </c>
      <c r="D41" s="92">
        <f t="shared" si="0"/>
        <v>40.87260575176898</v>
      </c>
      <c r="E41" s="91">
        <f>+E43+E54+E60+SUM(E63:E67)</f>
        <v>1327102106.4899998</v>
      </c>
      <c r="F41" s="92">
        <f t="shared" si="1"/>
        <v>37.742971887066275</v>
      </c>
      <c r="G41" s="91">
        <f>+G43+G54+G60+SUM(G63:G67)</f>
        <v>1342758271.0799997</v>
      </c>
      <c r="H41" s="92">
        <f t="shared" si="2"/>
        <v>38.188235425636442</v>
      </c>
      <c r="I41" s="91">
        <f t="shared" si="3"/>
        <v>15656164.589999914</v>
      </c>
      <c r="J41" s="92">
        <f t="shared" si="4"/>
        <v>1.1797256980782294</v>
      </c>
    </row>
    <row r="42" spans="2:10" ht="14.25" thickTop="1" thickBot="1">
      <c r="B42" s="90" t="s">
        <v>125</v>
      </c>
      <c r="C42" s="91">
        <f>+C41-C63</f>
        <v>1301681501.2029178</v>
      </c>
      <c r="D42" s="92">
        <f t="shared" si="0"/>
        <v>39.020463754898891</v>
      </c>
      <c r="E42" s="91">
        <f>+E41-E63</f>
        <v>1225281606.4899998</v>
      </c>
      <c r="F42" s="92">
        <f t="shared" si="1"/>
        <v>34.84718244461618</v>
      </c>
      <c r="G42" s="91">
        <f>+G41-G63</f>
        <v>1240937771.0799997</v>
      </c>
      <c r="H42" s="92">
        <f t="shared" si="2"/>
        <v>35.29244598318634</v>
      </c>
      <c r="I42" s="91">
        <f t="shared" ref="I42:I73" si="5">+G42-E42</f>
        <v>15656164.589999914</v>
      </c>
      <c r="J42" s="92">
        <f t="shared" si="4"/>
        <v>1.2777605170169295</v>
      </c>
    </row>
    <row r="43" spans="2:10" ht="13.5" thickTop="1">
      <c r="B43" s="93" t="s">
        <v>62</v>
      </c>
      <c r="C43" s="94">
        <f>+SUM(C44:C53)</f>
        <v>600287648.01291776</v>
      </c>
      <c r="D43" s="96">
        <f t="shared" si="0"/>
        <v>17.994803175857761</v>
      </c>
      <c r="E43" s="94">
        <f>+SUM(E44:E53)</f>
        <v>615023510.13</v>
      </c>
      <c r="F43" s="96">
        <f t="shared" si="1"/>
        <v>17.491355743618005</v>
      </c>
      <c r="G43" s="94">
        <f>+SUM(G44:G53)</f>
        <v>625526473.45999992</v>
      </c>
      <c r="H43" s="96">
        <f t="shared" si="2"/>
        <v>17.790061508424255</v>
      </c>
      <c r="I43" s="94">
        <f t="shared" si="5"/>
        <v>10502963.329999924</v>
      </c>
      <c r="J43" s="96">
        <f t="shared" si="4"/>
        <v>1.7077336324557564</v>
      </c>
    </row>
    <row r="44" spans="2:10">
      <c r="B44" s="93" t="s">
        <v>63</v>
      </c>
      <c r="C44" s="125">
        <v>366128508.17291778</v>
      </c>
      <c r="D44" s="96">
        <f t="shared" si="0"/>
        <v>10.975422305375018</v>
      </c>
      <c r="E44" s="125">
        <v>386488693.71999997</v>
      </c>
      <c r="F44" s="96">
        <f t="shared" si="1"/>
        <v>10.991793193911903</v>
      </c>
      <c r="G44" s="125">
        <v>386488693.71999997</v>
      </c>
      <c r="H44" s="96">
        <f t="shared" si="2"/>
        <v>10.991793193911903</v>
      </c>
      <c r="I44" s="125">
        <f t="shared" si="5"/>
        <v>0</v>
      </c>
      <c r="J44" s="96">
        <f t="shared" si="4"/>
        <v>0</v>
      </c>
    </row>
    <row r="45" spans="2:10">
      <c r="B45" s="93" t="s">
        <v>74</v>
      </c>
      <c r="C45" s="125">
        <v>12022159.040000001</v>
      </c>
      <c r="D45" s="96">
        <f t="shared" si="0"/>
        <v>0.36038786803256645</v>
      </c>
      <c r="E45" s="125">
        <v>11478163.960000001</v>
      </c>
      <c r="F45" s="96">
        <f t="shared" si="1"/>
        <v>0.3264406088565589</v>
      </c>
      <c r="G45" s="125">
        <v>11478163.960000001</v>
      </c>
      <c r="H45" s="96">
        <f t="shared" si="2"/>
        <v>0.3264406088565589</v>
      </c>
      <c r="I45" s="125">
        <f t="shared" si="5"/>
        <v>0</v>
      </c>
      <c r="J45" s="96">
        <f t="shared" si="4"/>
        <v>0</v>
      </c>
    </row>
    <row r="46" spans="2:10">
      <c r="B46" s="93" t="s">
        <v>428</v>
      </c>
      <c r="C46" s="125">
        <v>90442340.840000004</v>
      </c>
      <c r="D46" s="96">
        <f t="shared" si="0"/>
        <v>2.7111870910004456</v>
      </c>
      <c r="E46" s="125">
        <v>89210330.25999999</v>
      </c>
      <c r="F46" s="96">
        <f t="shared" si="1"/>
        <v>2.5371544288664349</v>
      </c>
      <c r="G46" s="125">
        <v>29295302.830000002</v>
      </c>
      <c r="H46" s="96">
        <f t="shared" si="2"/>
        <v>0.83316256204293437</v>
      </c>
      <c r="I46" s="125">
        <f t="shared" si="5"/>
        <v>-59915027.429999992</v>
      </c>
      <c r="J46" s="96">
        <f t="shared" si="4"/>
        <v>-67.161535278907735</v>
      </c>
    </row>
    <row r="47" spans="2:10">
      <c r="B47" s="93" t="s">
        <v>429</v>
      </c>
      <c r="C47" s="125"/>
      <c r="D47" s="96">
        <f t="shared" si="0"/>
        <v>0</v>
      </c>
      <c r="E47" s="125"/>
      <c r="F47" s="96">
        <f t="shared" si="1"/>
        <v>0</v>
      </c>
      <c r="G47" s="125">
        <v>40692845.799999997</v>
      </c>
      <c r="H47" s="96">
        <f t="shared" si="2"/>
        <v>1.1573102985242654</v>
      </c>
      <c r="I47" s="125">
        <f t="shared" si="5"/>
        <v>40692845.799999997</v>
      </c>
      <c r="J47" s="96" t="e">
        <f t="shared" si="4"/>
        <v>#DIV/0!</v>
      </c>
    </row>
    <row r="48" spans="2:10">
      <c r="B48" s="93" t="s">
        <v>430</v>
      </c>
      <c r="C48" s="125">
        <v>20416485.639999997</v>
      </c>
      <c r="D48" s="96">
        <f t="shared" si="0"/>
        <v>0.61202432175752564</v>
      </c>
      <c r="E48" s="125">
        <v>21655403.200000003</v>
      </c>
      <c r="F48" s="96">
        <f t="shared" si="1"/>
        <v>0.61588273440574504</v>
      </c>
      <c r="G48" s="125">
        <v>21655403.200000003</v>
      </c>
      <c r="H48" s="96">
        <f t="shared" si="2"/>
        <v>0.61588273440574504</v>
      </c>
      <c r="I48" s="125">
        <f t="shared" si="5"/>
        <v>0</v>
      </c>
      <c r="J48" s="96">
        <f t="shared" si="4"/>
        <v>0</v>
      </c>
    </row>
    <row r="49" spans="2:10">
      <c r="B49" s="93" t="s">
        <v>79</v>
      </c>
      <c r="C49" s="125">
        <v>67427730.789999992</v>
      </c>
      <c r="D49" s="96">
        <f t="shared" si="0"/>
        <v>2.0212788788462022</v>
      </c>
      <c r="E49" s="125">
        <v>73316123.120000005</v>
      </c>
      <c r="F49" s="96">
        <f t="shared" si="1"/>
        <v>2.0851209264565371</v>
      </c>
      <c r="G49" s="125">
        <v>73316123.120000005</v>
      </c>
      <c r="H49" s="96">
        <f t="shared" si="2"/>
        <v>2.0851209264565371</v>
      </c>
      <c r="I49" s="125">
        <f t="shared" si="5"/>
        <v>0</v>
      </c>
      <c r="J49" s="96">
        <f t="shared" si="4"/>
        <v>0</v>
      </c>
    </row>
    <row r="50" spans="2:10">
      <c r="B50" s="93" t="s">
        <v>81</v>
      </c>
      <c r="C50" s="125">
        <v>7928041.8100000005</v>
      </c>
      <c r="D50" s="96">
        <f t="shared" si="0"/>
        <v>0.23765864983757101</v>
      </c>
      <c r="E50" s="125">
        <v>8172802.1399999997</v>
      </c>
      <c r="F50" s="96">
        <f t="shared" si="1"/>
        <v>0.23243565050501225</v>
      </c>
      <c r="G50" s="125">
        <v>8172802.1399999997</v>
      </c>
      <c r="H50" s="96">
        <f t="shared" si="2"/>
        <v>0.23243565050501225</v>
      </c>
      <c r="I50" s="125">
        <f t="shared" si="5"/>
        <v>0</v>
      </c>
      <c r="J50" s="96">
        <f t="shared" si="4"/>
        <v>0</v>
      </c>
    </row>
    <row r="51" spans="2:10">
      <c r="B51" s="93" t="s">
        <v>83</v>
      </c>
      <c r="C51" s="125">
        <v>17426749.959999997</v>
      </c>
      <c r="D51" s="96">
        <f t="shared" si="0"/>
        <v>0.52240111313824467</v>
      </c>
      <c r="E51" s="125">
        <v>18874600</v>
      </c>
      <c r="F51" s="96">
        <f t="shared" si="1"/>
        <v>0.53679629750854385</v>
      </c>
      <c r="G51" s="125">
        <v>18874600</v>
      </c>
      <c r="H51" s="96">
        <f t="shared" si="2"/>
        <v>0.53679629750854385</v>
      </c>
      <c r="I51" s="125">
        <f t="shared" si="5"/>
        <v>0</v>
      </c>
      <c r="J51" s="96">
        <f t="shared" si="4"/>
        <v>0</v>
      </c>
    </row>
    <row r="52" spans="2:10">
      <c r="B52" s="93" t="s">
        <v>85</v>
      </c>
      <c r="C52" s="125">
        <v>6279093.0100000007</v>
      </c>
      <c r="D52" s="96">
        <f t="shared" si="0"/>
        <v>0.18822816563339112</v>
      </c>
      <c r="E52" s="125">
        <v>5827393.7300000023</v>
      </c>
      <c r="F52" s="96">
        <f t="shared" si="1"/>
        <v>0.16573190310727137</v>
      </c>
      <c r="G52" s="125">
        <v>25049575.370000001</v>
      </c>
      <c r="H52" s="96">
        <f t="shared" si="2"/>
        <v>0.71241347169090818</v>
      </c>
      <c r="I52" s="125">
        <f t="shared" si="5"/>
        <v>19222181.640000001</v>
      </c>
      <c r="J52" s="96">
        <f>+G52/E52*100-100</f>
        <v>329.85898208734892</v>
      </c>
    </row>
    <row r="53" spans="2:10">
      <c r="B53" s="93" t="s">
        <v>129</v>
      </c>
      <c r="C53" s="125">
        <v>12216538.75</v>
      </c>
      <c r="D53" s="129">
        <f t="shared" si="0"/>
        <v>0.36621478223679643</v>
      </c>
      <c r="E53" s="125"/>
      <c r="F53" s="129">
        <f t="shared" si="1"/>
        <v>0</v>
      </c>
      <c r="G53" s="125">
        <v>10502963.32</v>
      </c>
      <c r="H53" s="129">
        <f t="shared" si="2"/>
        <v>0.2987057645218465</v>
      </c>
      <c r="I53" s="125">
        <f t="shared" si="5"/>
        <v>10502963.32</v>
      </c>
      <c r="J53" s="129" t="e">
        <f t="shared" si="4"/>
        <v>#DIV/0!</v>
      </c>
    </row>
    <row r="54" spans="2:10">
      <c r="B54" s="93" t="s">
        <v>86</v>
      </c>
      <c r="C54" s="94">
        <f>+SUM(C55:C59)</f>
        <v>482967769.27999985</v>
      </c>
      <c r="D54" s="96">
        <f t="shared" si="0"/>
        <v>14.47790901119734</v>
      </c>
      <c r="E54" s="94">
        <f>+SUM(E55:E59)</f>
        <v>498223398.96999997</v>
      </c>
      <c r="F54" s="96">
        <f t="shared" si="1"/>
        <v>14.169544037977921</v>
      </c>
      <c r="G54" s="94">
        <f>+SUM(G55:G59)</f>
        <v>498223398.96999997</v>
      </c>
      <c r="H54" s="96">
        <f t="shared" si="2"/>
        <v>14.169544037977921</v>
      </c>
      <c r="I54" s="94">
        <f t="shared" si="5"/>
        <v>0</v>
      </c>
      <c r="J54" s="96">
        <f t="shared" si="4"/>
        <v>0</v>
      </c>
    </row>
    <row r="55" spans="2:10">
      <c r="B55" s="97" t="s">
        <v>88</v>
      </c>
      <c r="C55" s="127">
        <v>64036543.990000002</v>
      </c>
      <c r="D55" s="98">
        <f t="shared" si="0"/>
        <v>1.919621383142986</v>
      </c>
      <c r="E55" s="127">
        <v>58645000</v>
      </c>
      <c r="F55" s="98">
        <f t="shared" si="1"/>
        <v>1.6678721068202007</v>
      </c>
      <c r="G55" s="127">
        <v>58645000</v>
      </c>
      <c r="H55" s="98">
        <f t="shared" si="2"/>
        <v>1.6678721068202007</v>
      </c>
      <c r="I55" s="127">
        <f t="shared" si="5"/>
        <v>0</v>
      </c>
      <c r="J55" s="98">
        <f t="shared" si="4"/>
        <v>0</v>
      </c>
    </row>
    <row r="56" spans="2:10">
      <c r="B56" s="97" t="s">
        <v>90</v>
      </c>
      <c r="C56" s="127">
        <v>13086355.520000001</v>
      </c>
      <c r="D56" s="98">
        <f t="shared" si="0"/>
        <v>0.39228925108022916</v>
      </c>
      <c r="E56" s="127">
        <v>20758124</v>
      </c>
      <c r="F56" s="98">
        <f t="shared" si="1"/>
        <v>0.59036398686188019</v>
      </c>
      <c r="G56" s="127">
        <v>20758124</v>
      </c>
      <c r="H56" s="98">
        <f t="shared" si="2"/>
        <v>0.59036398686188019</v>
      </c>
      <c r="I56" s="127">
        <f t="shared" si="5"/>
        <v>0</v>
      </c>
      <c r="J56" s="98">
        <f t="shared" si="4"/>
        <v>0</v>
      </c>
    </row>
    <row r="57" spans="2:10">
      <c r="B57" s="97" t="s">
        <v>92</v>
      </c>
      <c r="C57" s="127">
        <v>383190248.31999987</v>
      </c>
      <c r="D57" s="98">
        <f t="shared" si="0"/>
        <v>11.486881531298929</v>
      </c>
      <c r="E57" s="127">
        <v>397320274.96999997</v>
      </c>
      <c r="F57" s="98">
        <f t="shared" si="1"/>
        <v>11.299844898910312</v>
      </c>
      <c r="G57" s="127">
        <v>397320274.96999997</v>
      </c>
      <c r="H57" s="98">
        <f t="shared" si="2"/>
        <v>11.299844898910312</v>
      </c>
      <c r="I57" s="127">
        <f t="shared" si="5"/>
        <v>0</v>
      </c>
      <c r="J57" s="98">
        <f t="shared" si="4"/>
        <v>0</v>
      </c>
    </row>
    <row r="58" spans="2:10">
      <c r="B58" s="97" t="s">
        <v>94</v>
      </c>
      <c r="C58" s="127">
        <v>14792096.089999998</v>
      </c>
      <c r="D58" s="98">
        <f t="shared" si="0"/>
        <v>0.44342218031478986</v>
      </c>
      <c r="E58" s="127">
        <v>14500000</v>
      </c>
      <c r="F58" s="98">
        <f t="shared" si="1"/>
        <v>0.4123820538646587</v>
      </c>
      <c r="G58" s="127">
        <v>14500000</v>
      </c>
      <c r="H58" s="98">
        <f t="shared" si="2"/>
        <v>0.4123820538646587</v>
      </c>
      <c r="I58" s="127">
        <f t="shared" si="5"/>
        <v>0</v>
      </c>
      <c r="J58" s="98">
        <f t="shared" si="4"/>
        <v>0</v>
      </c>
    </row>
    <row r="59" spans="2:10">
      <c r="B59" s="97" t="s">
        <v>431</v>
      </c>
      <c r="C59" s="127">
        <v>7862525.3600000013</v>
      </c>
      <c r="D59" s="98">
        <f t="shared" si="0"/>
        <v>0.23569466536040659</v>
      </c>
      <c r="E59" s="127">
        <v>7000000</v>
      </c>
      <c r="F59" s="98">
        <f t="shared" si="1"/>
        <v>0.19908099152086972</v>
      </c>
      <c r="G59" s="127">
        <v>7000000</v>
      </c>
      <c r="H59" s="98">
        <f t="shared" si="2"/>
        <v>0.19908099152086972</v>
      </c>
      <c r="I59" s="127">
        <f t="shared" si="5"/>
        <v>0</v>
      </c>
      <c r="J59" s="98">
        <f t="shared" si="4"/>
        <v>0</v>
      </c>
    </row>
    <row r="60" spans="2:10">
      <c r="B60" s="93" t="s">
        <v>432</v>
      </c>
      <c r="C60" s="94">
        <f>+SUM(C61:C62)</f>
        <v>94307106.209999993</v>
      </c>
      <c r="D60" s="96">
        <f t="shared" si="0"/>
        <v>2.8270410359953697</v>
      </c>
      <c r="E60" s="94">
        <f>+SUM(E61:E62)</f>
        <v>101040047.61999999</v>
      </c>
      <c r="F60" s="96">
        <f t="shared" si="1"/>
        <v>2.8735932662150696</v>
      </c>
      <c r="G60" s="94">
        <f>+SUM(G61:G62)</f>
        <v>101040047.61999999</v>
      </c>
      <c r="H60" s="96">
        <f t="shared" si="2"/>
        <v>2.8735932662150696</v>
      </c>
      <c r="I60" s="94">
        <f t="shared" si="5"/>
        <v>0</v>
      </c>
      <c r="J60" s="96">
        <f t="shared" si="4"/>
        <v>0</v>
      </c>
    </row>
    <row r="61" spans="2:10">
      <c r="B61" s="97" t="s">
        <v>432</v>
      </c>
      <c r="C61" s="127">
        <v>94307106.209999993</v>
      </c>
      <c r="D61" s="98">
        <f t="shared" si="0"/>
        <v>2.8270410359953697</v>
      </c>
      <c r="E61" s="127">
        <v>101040047.61999999</v>
      </c>
      <c r="F61" s="98">
        <f t="shared" si="1"/>
        <v>2.8735932662150696</v>
      </c>
      <c r="G61" s="127">
        <v>101040047.61999999</v>
      </c>
      <c r="H61" s="98">
        <f t="shared" si="2"/>
        <v>2.8735932662150696</v>
      </c>
      <c r="I61" s="127">
        <f t="shared" si="5"/>
        <v>0</v>
      </c>
      <c r="J61" s="98">
        <f t="shared" si="4"/>
        <v>0</v>
      </c>
    </row>
    <row r="62" spans="2:10" ht="13.5" thickBot="1">
      <c r="B62" s="97" t="s">
        <v>433</v>
      </c>
      <c r="C62" s="127"/>
      <c r="D62" s="98">
        <f t="shared" si="0"/>
        <v>0</v>
      </c>
      <c r="E62" s="127"/>
      <c r="F62" s="98">
        <f t="shared" si="1"/>
        <v>0</v>
      </c>
      <c r="G62" s="127"/>
      <c r="H62" s="98">
        <f t="shared" si="2"/>
        <v>0</v>
      </c>
      <c r="I62" s="127">
        <f t="shared" si="5"/>
        <v>0</v>
      </c>
      <c r="J62" s="98" t="e">
        <f t="shared" si="4"/>
        <v>#DIV/0!</v>
      </c>
    </row>
    <row r="63" spans="2:10" ht="14.25" thickTop="1" thickBot="1">
      <c r="B63" s="90" t="s">
        <v>130</v>
      </c>
      <c r="C63" s="131">
        <v>61785502.860000007</v>
      </c>
      <c r="D63" s="92">
        <f t="shared" si="0"/>
        <v>1.8521419968700925</v>
      </c>
      <c r="E63" s="131">
        <v>101820500</v>
      </c>
      <c r="F63" s="92">
        <f t="shared" si="1"/>
        <v>2.8957894424501021</v>
      </c>
      <c r="G63" s="131">
        <v>101820500</v>
      </c>
      <c r="H63" s="92">
        <f t="shared" si="2"/>
        <v>2.8957894424501021</v>
      </c>
      <c r="I63" s="131">
        <f t="shared" si="5"/>
        <v>0</v>
      </c>
      <c r="J63" s="92">
        <f t="shared" si="4"/>
        <v>0</v>
      </c>
    </row>
    <row r="64" spans="2:10" ht="13.5" thickTop="1">
      <c r="B64" s="93" t="s">
        <v>110</v>
      </c>
      <c r="C64" s="125">
        <v>2752781.9799999995</v>
      </c>
      <c r="D64" s="96">
        <f t="shared" si="0"/>
        <v>8.2520055310353516E-2</v>
      </c>
      <c r="E64" s="125">
        <v>2140000</v>
      </c>
      <c r="F64" s="96">
        <f t="shared" si="1"/>
        <v>6.0861903122094448E-2</v>
      </c>
      <c r="G64" s="125">
        <v>2140000</v>
      </c>
      <c r="H64" s="96">
        <f t="shared" si="2"/>
        <v>6.0861903122094448E-2</v>
      </c>
      <c r="I64" s="125">
        <f t="shared" si="5"/>
        <v>0</v>
      </c>
      <c r="J64" s="96">
        <f t="shared" si="4"/>
        <v>0</v>
      </c>
    </row>
    <row r="65" spans="2:10" ht="13.5" thickBot="1">
      <c r="B65" s="93" t="s">
        <v>117</v>
      </c>
      <c r="C65" s="125">
        <v>14126844.789999999</v>
      </c>
      <c r="D65" s="96">
        <f t="shared" si="0"/>
        <v>0.42347996386970665</v>
      </c>
      <c r="E65" s="125">
        <v>8854649.7699999996</v>
      </c>
      <c r="F65" s="96">
        <f t="shared" si="1"/>
        <v>0.25182749368309154</v>
      </c>
      <c r="G65" s="125">
        <v>8854649.7699999996</v>
      </c>
      <c r="H65" s="96">
        <f t="shared" si="2"/>
        <v>0.25182749368309154</v>
      </c>
      <c r="I65" s="125">
        <f t="shared" si="5"/>
        <v>0</v>
      </c>
      <c r="J65" s="96">
        <f t="shared" si="4"/>
        <v>0</v>
      </c>
    </row>
    <row r="66" spans="2:10" ht="14.25" thickTop="1" thickBot="1">
      <c r="B66" s="119" t="s">
        <v>112</v>
      </c>
      <c r="C66" s="132">
        <v>107239350.92999999</v>
      </c>
      <c r="D66" s="121">
        <f t="shared" si="0"/>
        <v>3.2147105126683559</v>
      </c>
      <c r="E66" s="132">
        <v>0</v>
      </c>
      <c r="F66" s="121">
        <f t="shared" si="1"/>
        <v>0</v>
      </c>
      <c r="G66" s="132">
        <v>5153201.26</v>
      </c>
      <c r="H66" s="121">
        <f t="shared" si="2"/>
        <v>0.14655777376391357</v>
      </c>
      <c r="I66" s="132">
        <f t="shared" si="5"/>
        <v>5153201.26</v>
      </c>
      <c r="J66" s="121" t="e">
        <f t="shared" si="4"/>
        <v>#DIV/0!</v>
      </c>
    </row>
    <row r="67" spans="2:10" ht="14.25" thickTop="1" thickBot="1">
      <c r="B67" s="143" t="s">
        <v>151</v>
      </c>
      <c r="C67" s="125">
        <v>0</v>
      </c>
      <c r="D67" s="96">
        <f t="shared" si="0"/>
        <v>0</v>
      </c>
      <c r="E67" s="125">
        <v>0</v>
      </c>
      <c r="F67" s="96">
        <f t="shared" si="1"/>
        <v>0</v>
      </c>
      <c r="G67" s="125">
        <v>0</v>
      </c>
      <c r="H67" s="96">
        <f t="shared" si="2"/>
        <v>0</v>
      </c>
      <c r="I67" s="125">
        <f t="shared" si="5"/>
        <v>0</v>
      </c>
      <c r="J67" s="96" t="e">
        <f t="shared" si="4"/>
        <v>#DIV/0!</v>
      </c>
    </row>
    <row r="68" spans="2:10" ht="14.25" thickTop="1" thickBot="1">
      <c r="B68" s="90" t="s">
        <v>131</v>
      </c>
      <c r="C68" s="91">
        <f>+C8-C41</f>
        <v>-128320624.58291769</v>
      </c>
      <c r="D68" s="92">
        <f t="shared" si="0"/>
        <v>-3.8466631629292634</v>
      </c>
      <c r="E68" s="91">
        <f>+E8-E41</f>
        <v>-51045707.052829504</v>
      </c>
      <c r="F68" s="92">
        <f t="shared" si="1"/>
        <v>-1.4517471389944498</v>
      </c>
      <c r="G68" s="91">
        <f>+G8-G41</f>
        <v>-26424601.993229389</v>
      </c>
      <c r="H68" s="92">
        <f t="shared" si="2"/>
        <v>-0.75151942362235102</v>
      </c>
      <c r="I68" s="91">
        <f t="shared" si="5"/>
        <v>24621105.059600115</v>
      </c>
      <c r="J68" s="92">
        <f t="shared" si="4"/>
        <v>-48.23344896392291</v>
      </c>
    </row>
    <row r="69" spans="2:10" ht="14.25" thickTop="1" thickBot="1">
      <c r="B69" s="90" t="s">
        <v>132</v>
      </c>
      <c r="C69" s="91">
        <f>+C68+C49</f>
        <v>-60892893.792917699</v>
      </c>
      <c r="D69" s="92">
        <f t="shared" si="0"/>
        <v>-1.8253842840830612</v>
      </c>
      <c r="E69" s="91">
        <f>+E68+E49</f>
        <v>22270416.067170501</v>
      </c>
      <c r="F69" s="92">
        <f t="shared" si="1"/>
        <v>0.63337378746208728</v>
      </c>
      <c r="G69" s="91">
        <f>+G68+G49</f>
        <v>46891521.126770616</v>
      </c>
      <c r="H69" s="92">
        <f t="shared" si="2"/>
        <v>1.3336015028341861</v>
      </c>
      <c r="I69" s="91">
        <f t="shared" si="5"/>
        <v>24621105.059600115</v>
      </c>
      <c r="J69" s="92">
        <f t="shared" si="4"/>
        <v>110.55520914086037</v>
      </c>
    </row>
    <row r="70" spans="2:10" ht="14.25" thickTop="1" thickBot="1">
      <c r="B70" s="90" t="s">
        <v>0</v>
      </c>
      <c r="C70" s="91">
        <f>+SUM(C71:C73)</f>
        <v>241777428.00999996</v>
      </c>
      <c r="D70" s="92">
        <f t="shared" si="0"/>
        <v>7.2477540455928944</v>
      </c>
      <c r="E70" s="91">
        <f>+SUM(E71:E73)</f>
        <v>171426905.49000001</v>
      </c>
      <c r="F70" s="92">
        <f t="shared" si="1"/>
        <v>4.875405474043375</v>
      </c>
      <c r="G70" s="91">
        <f>+SUM(G71:G73)</f>
        <v>171426905.49000001</v>
      </c>
      <c r="H70" s="92">
        <f t="shared" si="2"/>
        <v>4.875405474043375</v>
      </c>
      <c r="I70" s="91">
        <f t="shared" si="5"/>
        <v>0</v>
      </c>
      <c r="J70" s="92">
        <f t="shared" si="4"/>
        <v>0</v>
      </c>
    </row>
    <row r="71" spans="2:10" ht="13.5" thickTop="1">
      <c r="B71" s="97" t="s">
        <v>134</v>
      </c>
      <c r="C71" s="127">
        <v>112695950.91</v>
      </c>
      <c r="D71" s="98">
        <f t="shared" si="0"/>
        <v>3.3782828316632929</v>
      </c>
      <c r="E71" s="127">
        <v>30008345.27</v>
      </c>
      <c r="F71" s="98">
        <f t="shared" si="1"/>
        <v>0.8534415900360286</v>
      </c>
      <c r="G71" s="127">
        <v>30008345.27</v>
      </c>
      <c r="H71" s="98">
        <f t="shared" si="2"/>
        <v>0.8534415900360286</v>
      </c>
      <c r="I71" s="127">
        <f t="shared" si="5"/>
        <v>0</v>
      </c>
      <c r="J71" s="98">
        <f t="shared" si="4"/>
        <v>0</v>
      </c>
    </row>
    <row r="72" spans="2:10">
      <c r="B72" s="97" t="s">
        <v>136</v>
      </c>
      <c r="C72" s="127">
        <v>68802905.489999995</v>
      </c>
      <c r="D72" s="98">
        <f t="shared" si="0"/>
        <v>2.0625024458158605</v>
      </c>
      <c r="E72" s="127">
        <v>108080400.25</v>
      </c>
      <c r="F72" s="98">
        <f t="shared" si="1"/>
        <v>3.073821892248922</v>
      </c>
      <c r="G72" s="127">
        <v>108080400.25</v>
      </c>
      <c r="H72" s="98">
        <f t="shared" si="2"/>
        <v>3.073821892248922</v>
      </c>
      <c r="I72" s="127">
        <f t="shared" si="5"/>
        <v>0</v>
      </c>
      <c r="J72" s="98">
        <f t="shared" si="4"/>
        <v>0</v>
      </c>
    </row>
    <row r="73" spans="2:10" ht="13.5" thickBot="1">
      <c r="B73" s="97" t="s">
        <v>115</v>
      </c>
      <c r="C73" s="127">
        <v>60278571.609999992</v>
      </c>
      <c r="D73" s="98">
        <f t="shared" ref="D73:D79" si="6">C73/C$3*100</f>
        <v>1.8069687681137414</v>
      </c>
      <c r="E73" s="127">
        <v>33338159.969999999</v>
      </c>
      <c r="F73" s="98">
        <f t="shared" si="1"/>
        <v>0.94814199175842395</v>
      </c>
      <c r="G73" s="127">
        <v>33338159.969999999</v>
      </c>
      <c r="H73" s="98">
        <f t="shared" ref="H73:H79" si="7">G73/E$3*100</f>
        <v>0.94814199175842395</v>
      </c>
      <c r="I73" s="127">
        <f t="shared" si="5"/>
        <v>0</v>
      </c>
      <c r="J73" s="98">
        <f t="shared" si="4"/>
        <v>0</v>
      </c>
    </row>
    <row r="74" spans="2:10" ht="14.25" thickTop="1" thickBot="1">
      <c r="B74" s="90" t="s">
        <v>140</v>
      </c>
      <c r="C74" s="91">
        <f>+C68-C70</f>
        <v>-370098052.59291768</v>
      </c>
      <c r="D74" s="92">
        <f t="shared" si="6"/>
        <v>-11.09441720852216</v>
      </c>
      <c r="E74" s="91">
        <f>+E68-E70</f>
        <v>-222472612.54282951</v>
      </c>
      <c r="F74" s="92">
        <f t="shared" ref="F74:F79" si="8">E74/E$3*100</f>
        <v>-6.3271526130378248</v>
      </c>
      <c r="G74" s="91">
        <v>-205851507.4832294</v>
      </c>
      <c r="H74" s="92">
        <f t="shared" si="7"/>
        <v>-5.8544460308324338</v>
      </c>
      <c r="I74" s="91">
        <f t="shared" ref="I74:I79" si="9">+G74-E74</f>
        <v>16621105.059600115</v>
      </c>
      <c r="J74" s="92">
        <f t="shared" ref="J74:J79" si="10">+G74/E74*100-100</f>
        <v>-7.4710791902083145</v>
      </c>
    </row>
    <row r="75" spans="2:10" ht="14.25" thickTop="1" thickBot="1">
      <c r="B75" s="90" t="s">
        <v>120</v>
      </c>
      <c r="C75" s="91">
        <f>+SUM(C76:C80)</f>
        <v>370098052.59291768</v>
      </c>
      <c r="D75" s="92">
        <f t="shared" si="6"/>
        <v>11.09441720852216</v>
      </c>
      <c r="E75" s="91">
        <f>+SUM(E76:E79)</f>
        <v>222472612.54282951</v>
      </c>
      <c r="F75" s="92">
        <f t="shared" si="8"/>
        <v>6.3271526130378248</v>
      </c>
      <c r="G75" s="91">
        <f>+SUM(G76:G79)</f>
        <v>205851507.4832294</v>
      </c>
      <c r="H75" s="92">
        <f t="shared" si="7"/>
        <v>5.8544460308324338</v>
      </c>
      <c r="I75" s="91">
        <f t="shared" si="9"/>
        <v>-16621105.059600115</v>
      </c>
      <c r="J75" s="92">
        <f t="shared" si="10"/>
        <v>-7.4710791902083145</v>
      </c>
    </row>
    <row r="76" spans="2:10" ht="13.5" thickTop="1">
      <c r="B76" s="97" t="s">
        <v>143</v>
      </c>
      <c r="C76" s="127">
        <v>102834751.84999999</v>
      </c>
      <c r="D76" s="98">
        <f t="shared" si="6"/>
        <v>3.0826739902186082</v>
      </c>
      <c r="E76" s="127">
        <v>0</v>
      </c>
      <c r="F76" s="98">
        <f t="shared" si="8"/>
        <v>0</v>
      </c>
      <c r="G76" s="145">
        <v>0</v>
      </c>
      <c r="H76" s="146">
        <f t="shared" si="7"/>
        <v>0</v>
      </c>
      <c r="I76" s="127">
        <f t="shared" si="9"/>
        <v>0</v>
      </c>
      <c r="J76" s="98" t="e">
        <f t="shared" si="10"/>
        <v>#DIV/0!</v>
      </c>
    </row>
    <row r="77" spans="2:10">
      <c r="B77" s="97" t="s">
        <v>121</v>
      </c>
      <c r="C77" s="127">
        <v>230537476.81999999</v>
      </c>
      <c r="D77" s="98">
        <f t="shared" si="6"/>
        <v>6.910814396676539</v>
      </c>
      <c r="E77" s="127">
        <v>227975575.86282945</v>
      </c>
      <c r="F77" s="98">
        <f t="shared" si="8"/>
        <v>6.4836576693304764</v>
      </c>
      <c r="G77" s="145">
        <v>227975575.86282945</v>
      </c>
      <c r="H77" s="146">
        <f t="shared" si="7"/>
        <v>6.4836576693304764</v>
      </c>
      <c r="I77" s="127">
        <f t="shared" si="9"/>
        <v>0</v>
      </c>
      <c r="J77" s="98">
        <f t="shared" si="10"/>
        <v>0</v>
      </c>
    </row>
    <row r="78" spans="2:10" ht="13.5" thickBot="1">
      <c r="B78" s="103" t="s">
        <v>328</v>
      </c>
      <c r="C78" s="127">
        <v>11948846.35</v>
      </c>
      <c r="D78" s="104">
        <f t="shared" si="6"/>
        <v>0.35819017592410862</v>
      </c>
      <c r="E78" s="127">
        <v>5000000</v>
      </c>
      <c r="F78" s="104">
        <f t="shared" si="8"/>
        <v>0.14220070822919265</v>
      </c>
      <c r="G78" s="145">
        <v>5000000</v>
      </c>
      <c r="H78" s="146">
        <f t="shared" si="7"/>
        <v>0.14220070822919265</v>
      </c>
      <c r="I78" s="127">
        <f t="shared" si="9"/>
        <v>0</v>
      </c>
      <c r="J78" s="104">
        <f t="shared" si="10"/>
        <v>0</v>
      </c>
    </row>
    <row r="79" spans="2:10" ht="14.25" thickTop="1" thickBot="1">
      <c r="B79" s="119" t="s">
        <v>124</v>
      </c>
      <c r="C79" s="120">
        <f>-C74-SUM(C76:C78)</f>
        <v>24776977.5729177</v>
      </c>
      <c r="D79" s="121">
        <f t="shared" si="6"/>
        <v>0.74273864570290371</v>
      </c>
      <c r="E79" s="120">
        <f>-E74-SUM(E76:E78)</f>
        <v>-10502963.319999933</v>
      </c>
      <c r="F79" s="121">
        <f t="shared" si="8"/>
        <v>-0.29870576452184461</v>
      </c>
      <c r="G79" s="147">
        <f>-G74-SUM(G76:G78)</f>
        <v>-27124068.379600048</v>
      </c>
      <c r="H79" s="148">
        <f t="shared" si="7"/>
        <v>-0.77141234672723535</v>
      </c>
      <c r="I79" s="120">
        <f t="shared" si="9"/>
        <v>-16621105.059600115</v>
      </c>
      <c r="J79" s="121">
        <f t="shared" si="10"/>
        <v>158.25157675215246</v>
      </c>
    </row>
    <row r="80" spans="2:10" ht="13.5" thickTop="1"/>
  </sheetData>
  <mergeCells count="6">
    <mergeCell ref="I6:J6"/>
    <mergeCell ref="E3:H3"/>
    <mergeCell ref="C6:D6"/>
    <mergeCell ref="C3:D3"/>
    <mergeCell ref="E6:F6"/>
    <mergeCell ref="G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C4:G6"/>
  <sheetViews>
    <sheetView workbookViewId="0">
      <selection activeCell="N16" sqref="N16"/>
    </sheetView>
  </sheetViews>
  <sheetFormatPr defaultRowHeight="12.75"/>
  <cols>
    <col min="3" max="3" width="27.85546875" bestFit="1" customWidth="1"/>
    <col min="4" max="4" width="15.140625" bestFit="1" customWidth="1"/>
    <col min="5" max="7" width="16.140625" bestFit="1" customWidth="1"/>
  </cols>
  <sheetData>
    <row r="4" spans="3:7">
      <c r="D4" t="s">
        <v>442</v>
      </c>
      <c r="E4">
        <v>2015</v>
      </c>
      <c r="F4">
        <v>2016</v>
      </c>
      <c r="G4">
        <v>2017</v>
      </c>
    </row>
    <row r="5" spans="3:7">
      <c r="C5" t="s">
        <v>440</v>
      </c>
      <c r="D5" s="142">
        <v>-26424601.993229389</v>
      </c>
      <c r="E5" s="142">
        <v>-24569497.372829676</v>
      </c>
      <c r="F5" s="142">
        <v>33498994.005818129</v>
      </c>
      <c r="G5" s="142">
        <v>103834080.12588143</v>
      </c>
    </row>
    <row r="6" spans="3:7">
      <c r="C6" t="s">
        <v>441</v>
      </c>
      <c r="D6" s="142">
        <v>-51424601.993229389</v>
      </c>
      <c r="E6" s="142">
        <v>-149569497.37282968</v>
      </c>
      <c r="F6" s="142">
        <v>-191501005.99418187</v>
      </c>
      <c r="G6" s="142">
        <v>-221165919.87411857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Cental Budget</vt:lpstr>
      <vt:lpstr>Local Government</vt:lpstr>
      <vt:lpstr>Public Expenditure</vt:lpstr>
      <vt:lpstr>PRIMICI</vt:lpstr>
      <vt:lpstr>DEFICIT Tabela</vt:lpstr>
      <vt:lpstr>MasterSheet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Tatjana Minic</cp:lastModifiedBy>
  <cp:lastPrinted>2016-06-30T08:34:04Z</cp:lastPrinted>
  <dcterms:created xsi:type="dcterms:W3CDTF">2008-03-17T08:49:23Z</dcterms:created>
  <dcterms:modified xsi:type="dcterms:W3CDTF">2020-03-06T11:39:10Z</dcterms:modified>
</cp:coreProperties>
</file>