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jela.bulatovic\Desktop\"/>
    </mc:Choice>
  </mc:AlternateContent>
  <workbookProtection workbookAlgorithmName="SHA-512" workbookHashValue="4Wr8Sa7p/1W9TpjCFSbZ5tkGM4XNGIzmoVY0Vo36leviF8MeQF/jFOxnKvDWTx3i3PzSPTnb2CiN8XO9jJYHTQ==" workbookSaltValue="NdN9Dbr8khY4szTm7C3Hvw==" workbookSpinCount="100000" lockStructure="1"/>
  <bookViews>
    <workbookView xWindow="0" yWindow="0" windowWidth="11970" windowHeight="6045" tabRatio="587" firstSheet="1" activeTab="2"/>
  </bookViews>
  <sheets>
    <sheet name="Analitika - 2014" sheetId="3" state="hidden" r:id="rId1"/>
    <sheet name="Pregled" sheetId="1" r:id="rId2"/>
    <sheet name="Analitka - 2021" sheetId="11" r:id="rId3"/>
    <sheet name="2021" sheetId="22" r:id="rId4"/>
    <sheet name="2020" sheetId="19" state="hidden" r:id="rId5"/>
    <sheet name="2019" sheetId="20" state="hidden" r:id="rId6"/>
    <sheet name="2018" sheetId="21" state="hidden" r:id="rId7"/>
    <sheet name="DataEx" sheetId="6" state="hidden" r:id="rId8"/>
    <sheet name="Master" sheetId="2" state="hidden" r:id="rId9"/>
  </sheets>
  <definedNames>
    <definedName name="_2015plan" localSheetId="6">'2018'!$A$103:$A$162</definedName>
    <definedName name="_2015plan" localSheetId="5">'2019'!$A$100:$A$159</definedName>
    <definedName name="_2015plan" localSheetId="4">'2020'!$A$100:$A$157</definedName>
    <definedName name="_2015plan" localSheetId="3">'2021'!$A$81:$A$138</definedName>
  </definedNames>
  <calcPr calcId="162913"/>
</workbook>
</file>

<file path=xl/calcChain.xml><?xml version="1.0" encoding="utf-8"?>
<calcChain xmlns="http://schemas.openxmlformats.org/spreadsheetml/2006/main"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10" i="11"/>
  <c r="G5" i="19" l="1"/>
  <c r="H5" i="19"/>
  <c r="I5" i="19"/>
  <c r="J5" i="19"/>
  <c r="K5" i="19"/>
  <c r="L5" i="19"/>
  <c r="M5" i="19"/>
  <c r="N5" i="19"/>
  <c r="O5" i="19"/>
  <c r="P5" i="19"/>
  <c r="Q5" i="19"/>
  <c r="R5" i="19"/>
  <c r="G5" i="22" l="1"/>
  <c r="H5" i="22"/>
  <c r="I5" i="22"/>
  <c r="J5" i="22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6" i="11"/>
  <c r="O57" i="11"/>
  <c r="O58" i="11"/>
  <c r="O61" i="11"/>
  <c r="O62" i="11"/>
  <c r="O63" i="11"/>
  <c r="O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61" i="11"/>
  <c r="N62" i="11"/>
  <c r="N63" i="11"/>
  <c r="K48" i="11"/>
  <c r="H52" i="11" l="1"/>
  <c r="H58" i="11"/>
  <c r="H61" i="11"/>
  <c r="H21" i="1" l="1"/>
  <c r="G21" i="1"/>
  <c r="H17" i="1"/>
  <c r="G17" i="1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T48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P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T135" i="22" s="1"/>
  <c r="A135" i="22"/>
  <c r="A134" i="22"/>
  <c r="A133" i="22"/>
  <c r="S132" i="22"/>
  <c r="T132" i="22" s="1"/>
  <c r="A132" i="22"/>
  <c r="S131" i="22"/>
  <c r="A131" i="22"/>
  <c r="S130" i="22"/>
  <c r="A130" i="22"/>
  <c r="R129" i="22"/>
  <c r="Q129" i="22"/>
  <c r="P129" i="22"/>
  <c r="O129" i="22"/>
  <c r="N129" i="22"/>
  <c r="M129" i="22"/>
  <c r="L129" i="22"/>
  <c r="K129" i="22"/>
  <c r="J129" i="22"/>
  <c r="O55" i="11" s="1"/>
  <c r="I129" i="22"/>
  <c r="H129" i="22"/>
  <c r="A129" i="22"/>
  <c r="A128" i="22"/>
  <c r="A127" i="22"/>
  <c r="S126" i="22"/>
  <c r="A126" i="22"/>
  <c r="S125" i="22"/>
  <c r="H51" i="11" s="1"/>
  <c r="A125" i="22"/>
  <c r="S124" i="22"/>
  <c r="H50" i="11" s="1"/>
  <c r="A124" i="22"/>
  <c r="S123" i="22"/>
  <c r="H49" i="11" s="1"/>
  <c r="A123" i="22"/>
  <c r="S122" i="22"/>
  <c r="H48" i="11" s="1"/>
  <c r="A122" i="22"/>
  <c r="S121" i="22"/>
  <c r="H47" i="11" s="1"/>
  <c r="A121" i="22"/>
  <c r="S120" i="22"/>
  <c r="H46" i="11" s="1"/>
  <c r="A120" i="22"/>
  <c r="S119" i="22"/>
  <c r="H45" i="11" s="1"/>
  <c r="A119" i="22"/>
  <c r="S118" i="22"/>
  <c r="H44" i="11" s="1"/>
  <c r="A118" i="22"/>
  <c r="S117" i="22"/>
  <c r="H43" i="11" s="1"/>
  <c r="A117" i="22"/>
  <c r="S116" i="22"/>
  <c r="H42" i="11" s="1"/>
  <c r="A116" i="22"/>
  <c r="S115" i="22"/>
  <c r="H41" i="11" s="1"/>
  <c r="A115" i="22"/>
  <c r="R114" i="22"/>
  <c r="Q114" i="22"/>
  <c r="Q103" i="22" s="1"/>
  <c r="P114" i="22"/>
  <c r="P103" i="22" s="1"/>
  <c r="O114" i="22"/>
  <c r="N114" i="22"/>
  <c r="M114" i="22"/>
  <c r="L114" i="22"/>
  <c r="K114" i="22"/>
  <c r="J114" i="22"/>
  <c r="O40" i="11" s="1"/>
  <c r="I114" i="22"/>
  <c r="H114" i="22"/>
  <c r="G114" i="22"/>
  <c r="A114" i="22"/>
  <c r="S113" i="22"/>
  <c r="A113" i="22"/>
  <c r="S112" i="22"/>
  <c r="A112" i="22"/>
  <c r="S111" i="22"/>
  <c r="A111" i="22"/>
  <c r="S110" i="22"/>
  <c r="H36" i="11" s="1"/>
  <c r="A110" i="22"/>
  <c r="S109" i="22"/>
  <c r="A109" i="22"/>
  <c r="S108" i="22"/>
  <c r="H34" i="11" s="1"/>
  <c r="A108" i="22"/>
  <c r="S107" i="22"/>
  <c r="A107" i="22"/>
  <c r="S106" i="22"/>
  <c r="H32" i="11" s="1"/>
  <c r="A106" i="22"/>
  <c r="S105" i="22"/>
  <c r="A105" i="22"/>
  <c r="R104" i="22"/>
  <c r="Q104" i="22"/>
  <c r="P104" i="22"/>
  <c r="O104" i="22"/>
  <c r="O103" i="22" s="1"/>
  <c r="N104" i="22"/>
  <c r="M104" i="22"/>
  <c r="L104" i="22"/>
  <c r="L103" i="22" s="1"/>
  <c r="K104" i="22"/>
  <c r="K103" i="22" s="1"/>
  <c r="J104" i="22"/>
  <c r="O30" i="11" s="1"/>
  <c r="I104" i="22"/>
  <c r="H104" i="22"/>
  <c r="G104" i="22"/>
  <c r="A104" i="22"/>
  <c r="M103" i="22"/>
  <c r="A103" i="22"/>
  <c r="S102" i="22"/>
  <c r="H28" i="11" s="1"/>
  <c r="A102" i="22"/>
  <c r="S101" i="22"/>
  <c r="A101" i="22"/>
  <c r="S100" i="22"/>
  <c r="H26" i="11" s="1"/>
  <c r="A100" i="22"/>
  <c r="S99" i="22"/>
  <c r="A99" i="22"/>
  <c r="S98" i="22"/>
  <c r="H24" i="11" s="1"/>
  <c r="A98" i="22"/>
  <c r="S97" i="22"/>
  <c r="A97" i="22"/>
  <c r="S96" i="22"/>
  <c r="H22" i="11" s="1"/>
  <c r="A96" i="22"/>
  <c r="S95" i="22"/>
  <c r="A95" i="22"/>
  <c r="S94" i="22"/>
  <c r="H20" i="11" s="1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H17" i="11" s="1"/>
  <c r="A91" i="22"/>
  <c r="S90" i="22"/>
  <c r="A90" i="22"/>
  <c r="S89" i="22"/>
  <c r="H15" i="11" s="1"/>
  <c r="A89" i="22"/>
  <c r="S88" i="22"/>
  <c r="A88" i="22"/>
  <c r="S87" i="22"/>
  <c r="H13" i="11" s="1"/>
  <c r="A87" i="22"/>
  <c r="S86" i="22"/>
  <c r="A86" i="22"/>
  <c r="R85" i="22"/>
  <c r="Q85" i="22"/>
  <c r="P85" i="22"/>
  <c r="O85" i="22"/>
  <c r="N85" i="22"/>
  <c r="M85" i="22"/>
  <c r="L85" i="22"/>
  <c r="K85" i="22"/>
  <c r="J85" i="22"/>
  <c r="I85" i="22"/>
  <c r="P11" i="11" s="1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N55" i="11" s="1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N40" i="11" s="1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T34" i="22" s="1"/>
  <c r="S33" i="22"/>
  <c r="T33" i="22" s="1"/>
  <c r="S32" i="22"/>
  <c r="T32" i="22" s="1"/>
  <c r="R30" i="22"/>
  <c r="P30" i="22"/>
  <c r="N30" i="22"/>
  <c r="L30" i="22"/>
  <c r="J30" i="22"/>
  <c r="N30" i="11" s="1"/>
  <c r="H30" i="22"/>
  <c r="S31" i="22"/>
  <c r="T31" i="22" s="1"/>
  <c r="Q30" i="22"/>
  <c r="O30" i="22"/>
  <c r="M30" i="22"/>
  <c r="K30" i="22"/>
  <c r="I30" i="22"/>
  <c r="G30" i="22"/>
  <c r="S26" i="22"/>
  <c r="T26" i="22" s="1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P10" i="22" s="1"/>
  <c r="N11" i="22"/>
  <c r="L11" i="22"/>
  <c r="L10" i="22" s="1"/>
  <c r="J11" i="22"/>
  <c r="H11" i="22"/>
  <c r="S12" i="22"/>
  <c r="T12" i="22" s="1"/>
  <c r="Q11" i="22"/>
  <c r="Q10" i="22" s="1"/>
  <c r="O11" i="22"/>
  <c r="O10" i="22" s="1"/>
  <c r="M11" i="22"/>
  <c r="K11" i="22"/>
  <c r="K10" i="22" s="1"/>
  <c r="I11" i="22"/>
  <c r="I10" i="22" s="1"/>
  <c r="G11" i="22"/>
  <c r="R5" i="22"/>
  <c r="Q5" i="22"/>
  <c r="P5" i="22"/>
  <c r="O5" i="22"/>
  <c r="N5" i="22"/>
  <c r="M5" i="22"/>
  <c r="L5" i="22"/>
  <c r="K5" i="22"/>
  <c r="T137" i="22" l="1"/>
  <c r="H63" i="11"/>
  <c r="T136" i="22"/>
  <c r="H62" i="11"/>
  <c r="T131" i="22"/>
  <c r="H57" i="11"/>
  <c r="T130" i="22"/>
  <c r="H56" i="11"/>
  <c r="T113" i="22"/>
  <c r="H39" i="11"/>
  <c r="T112" i="22"/>
  <c r="H38" i="11"/>
  <c r="T111" i="22"/>
  <c r="H37" i="11"/>
  <c r="T109" i="22"/>
  <c r="H35" i="11"/>
  <c r="T107" i="22"/>
  <c r="H33" i="11"/>
  <c r="T105" i="22"/>
  <c r="H31" i="11"/>
  <c r="I103" i="22"/>
  <c r="T101" i="22"/>
  <c r="H27" i="11"/>
  <c r="T99" i="22"/>
  <c r="H25" i="11"/>
  <c r="T95" i="22"/>
  <c r="H21" i="11"/>
  <c r="T97" i="22"/>
  <c r="H23" i="11"/>
  <c r="T86" i="22"/>
  <c r="H12" i="11"/>
  <c r="T88" i="22"/>
  <c r="H14" i="11"/>
  <c r="T90" i="22"/>
  <c r="H16" i="11"/>
  <c r="T92" i="22"/>
  <c r="H18" i="11"/>
  <c r="H103" i="22"/>
  <c r="H10" i="22"/>
  <c r="G29" i="22"/>
  <c r="N84" i="22"/>
  <c r="S11" i="22"/>
  <c r="T11" i="22" s="1"/>
  <c r="G10" i="22"/>
  <c r="J103" i="22"/>
  <c r="O29" i="11" s="1"/>
  <c r="N103" i="22"/>
  <c r="R103" i="22"/>
  <c r="M10" i="22"/>
  <c r="J84" i="22"/>
  <c r="R84" i="22"/>
  <c r="G103" i="22"/>
  <c r="K29" i="22"/>
  <c r="K53" i="22" s="1"/>
  <c r="K54" i="22" s="1"/>
  <c r="O29" i="22"/>
  <c r="O53" i="22" s="1"/>
  <c r="O59" i="22" s="1"/>
  <c r="O64" i="22" s="1"/>
  <c r="O60" i="22" s="1"/>
  <c r="L29" i="22"/>
  <c r="L53" i="22" s="1"/>
  <c r="L54" i="22" s="1"/>
  <c r="P29" i="22"/>
  <c r="P53" i="22" s="1"/>
  <c r="P54" i="22" s="1"/>
  <c r="H29" i="22"/>
  <c r="J10" i="22"/>
  <c r="N10" i="11" s="1"/>
  <c r="N10" i="22"/>
  <c r="R10" i="22"/>
  <c r="S129" i="22"/>
  <c r="L84" i="22"/>
  <c r="P84" i="22"/>
  <c r="I84" i="22"/>
  <c r="K84" i="22"/>
  <c r="K127" i="22" s="1"/>
  <c r="K128" i="22" s="1"/>
  <c r="M84" i="22"/>
  <c r="M127" i="22" s="1"/>
  <c r="M133" i="22" s="1"/>
  <c r="M138" i="22" s="1"/>
  <c r="M134" i="22" s="1"/>
  <c r="O84" i="22"/>
  <c r="O127" i="22" s="1"/>
  <c r="O128" i="22" s="1"/>
  <c r="Q84" i="22"/>
  <c r="Q127" i="22" s="1"/>
  <c r="Q133" i="22" s="1"/>
  <c r="Q138" i="22" s="1"/>
  <c r="Q134" i="22" s="1"/>
  <c r="H84" i="22"/>
  <c r="G43" i="11"/>
  <c r="G31" i="11"/>
  <c r="G58" i="11"/>
  <c r="G57" i="11"/>
  <c r="S55" i="22"/>
  <c r="T55" i="22" s="1"/>
  <c r="G56" i="11"/>
  <c r="G52" i="11"/>
  <c r="G51" i="11"/>
  <c r="G50" i="11"/>
  <c r="G49" i="11"/>
  <c r="G48" i="11"/>
  <c r="G47" i="11"/>
  <c r="I47" i="11" s="1"/>
  <c r="G46" i="11"/>
  <c r="G45" i="11"/>
  <c r="G44" i="11"/>
  <c r="G42" i="11"/>
  <c r="G41" i="11"/>
  <c r="Q40" i="11"/>
  <c r="G39" i="11"/>
  <c r="G38" i="11"/>
  <c r="G37" i="11"/>
  <c r="G36" i="11"/>
  <c r="G35" i="11"/>
  <c r="G34" i="11"/>
  <c r="G33" i="11"/>
  <c r="G32" i="11"/>
  <c r="G61" i="11"/>
  <c r="G62" i="11"/>
  <c r="G63" i="11"/>
  <c r="G27" i="11"/>
  <c r="G28" i="11"/>
  <c r="G26" i="11"/>
  <c r="G25" i="11"/>
  <c r="G24" i="11"/>
  <c r="G20" i="11"/>
  <c r="G21" i="11"/>
  <c r="G22" i="11"/>
  <c r="G23" i="11"/>
  <c r="G12" i="11"/>
  <c r="G13" i="11"/>
  <c r="G14" i="11"/>
  <c r="G15" i="11"/>
  <c r="G16" i="11"/>
  <c r="G17" i="11"/>
  <c r="G18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L127" i="22"/>
  <c r="L133" i="22" s="1"/>
  <c r="L138" i="22" s="1"/>
  <c r="L134" i="22" s="1"/>
  <c r="P127" i="22"/>
  <c r="P133" i="22" s="1"/>
  <c r="P138" i="22" s="1"/>
  <c r="P134" i="22" s="1"/>
  <c r="S104" i="22"/>
  <c r="G84" i="22"/>
  <c r="I29" i="22"/>
  <c r="M29" i="22"/>
  <c r="Q29" i="22"/>
  <c r="Q53" i="22" s="1"/>
  <c r="Q54" i="22" s="1"/>
  <c r="J29" i="22"/>
  <c r="N29" i="11" s="1"/>
  <c r="N29" i="22"/>
  <c r="R29" i="22"/>
  <c r="S40" i="22"/>
  <c r="T40" i="22" s="1"/>
  <c r="S19" i="22"/>
  <c r="T19" i="22" s="1"/>
  <c r="S30" i="22"/>
  <c r="T30" i="22" s="1"/>
  <c r="K133" i="22"/>
  <c r="K138" i="22" s="1"/>
  <c r="K134" i="22" s="1"/>
  <c r="J127" i="22" l="1"/>
  <c r="O53" i="11" s="1"/>
  <c r="J128" i="22"/>
  <c r="O54" i="11" s="1"/>
  <c r="I53" i="22"/>
  <c r="Q29" i="11"/>
  <c r="T129" i="22"/>
  <c r="H55" i="11"/>
  <c r="T114" i="22"/>
  <c r="H40" i="11"/>
  <c r="T104" i="22"/>
  <c r="H30" i="11"/>
  <c r="T93" i="22"/>
  <c r="H19" i="11"/>
  <c r="I127" i="22"/>
  <c r="I128" i="22" s="1"/>
  <c r="P10" i="11"/>
  <c r="T85" i="22"/>
  <c r="H11" i="11"/>
  <c r="H127" i="22"/>
  <c r="H133" i="22" s="1"/>
  <c r="Q10" i="11"/>
  <c r="H53" i="22"/>
  <c r="S10" i="22"/>
  <c r="T10" i="22" s="1"/>
  <c r="M53" i="22"/>
  <c r="M59" i="22" s="1"/>
  <c r="M64" i="22" s="1"/>
  <c r="M60" i="22" s="1"/>
  <c r="R127" i="22"/>
  <c r="R133" i="22" s="1"/>
  <c r="R138" i="22" s="1"/>
  <c r="R134" i="22" s="1"/>
  <c r="N127" i="22"/>
  <c r="N53" i="22"/>
  <c r="N59" i="22" s="1"/>
  <c r="N64" i="22" s="1"/>
  <c r="N60" i="22" s="1"/>
  <c r="S103" i="22"/>
  <c r="L59" i="22"/>
  <c r="L64" i="22" s="1"/>
  <c r="L60" i="22" s="1"/>
  <c r="R53" i="22"/>
  <c r="R54" i="22" s="1"/>
  <c r="I59" i="22"/>
  <c r="Q59" i="22"/>
  <c r="Q64" i="22" s="1"/>
  <c r="Q60" i="22" s="1"/>
  <c r="K59" i="22"/>
  <c r="K64" i="22" s="1"/>
  <c r="K60" i="22" s="1"/>
  <c r="L128" i="22"/>
  <c r="P128" i="22"/>
  <c r="O133" i="22"/>
  <c r="O138" i="22" s="1"/>
  <c r="O134" i="22" s="1"/>
  <c r="S84" i="22"/>
  <c r="M128" i="22"/>
  <c r="Q128" i="22"/>
  <c r="J43" i="11"/>
  <c r="I43" i="11"/>
  <c r="J31" i="11"/>
  <c r="I31" i="11"/>
  <c r="J58" i="11"/>
  <c r="I58" i="11"/>
  <c r="J57" i="11"/>
  <c r="I57" i="11"/>
  <c r="J56" i="11"/>
  <c r="I56" i="11"/>
  <c r="Q55" i="11"/>
  <c r="G55" i="11"/>
  <c r="J52" i="11"/>
  <c r="I52" i="11"/>
  <c r="J51" i="11"/>
  <c r="I51" i="11"/>
  <c r="J50" i="11"/>
  <c r="I50" i="11"/>
  <c r="J49" i="11"/>
  <c r="I49" i="11"/>
  <c r="J48" i="11"/>
  <c r="L48" i="11"/>
  <c r="M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G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G30" i="11"/>
  <c r="S29" i="22"/>
  <c r="T29" i="22" s="1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G19" i="11"/>
  <c r="G11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54" i="22" s="1"/>
  <c r="G127" i="22"/>
  <c r="G128" i="22" s="1"/>
  <c r="P59" i="22"/>
  <c r="P64" i="22" s="1"/>
  <c r="P60" i="22" s="1"/>
  <c r="O54" i="22"/>
  <c r="J53" i="22"/>
  <c r="N53" i="11" s="1"/>
  <c r="M54" i="22"/>
  <c r="N54" i="22"/>
  <c r="A145" i="19"/>
  <c r="A144" i="19"/>
  <c r="A151" i="19"/>
  <c r="A157" i="19"/>
  <c r="A152" i="19"/>
  <c r="A153" i="19"/>
  <c r="J133" i="22" l="1"/>
  <c r="J138" i="22"/>
  <c r="O59" i="11"/>
  <c r="I64" i="22"/>
  <c r="I54" i="22"/>
  <c r="T103" i="22"/>
  <c r="H29" i="11"/>
  <c r="T84" i="22"/>
  <c r="H10" i="11"/>
  <c r="I133" i="22"/>
  <c r="H128" i="22"/>
  <c r="H138" i="22"/>
  <c r="H54" i="22"/>
  <c r="H59" i="22"/>
  <c r="N128" i="22"/>
  <c r="N133" i="22"/>
  <c r="N138" i="22" s="1"/>
  <c r="N134" i="22" s="1"/>
  <c r="S127" i="22"/>
  <c r="R128" i="22"/>
  <c r="G10" i="11"/>
  <c r="G12" i="1" s="1"/>
  <c r="H12" i="1" s="1"/>
  <c r="R59" i="22"/>
  <c r="R64" i="22" s="1"/>
  <c r="R60" i="22" s="1"/>
  <c r="J55" i="11"/>
  <c r="I55" i="11"/>
  <c r="J40" i="11"/>
  <c r="I40" i="11"/>
  <c r="G29" i="11"/>
  <c r="G16" i="1" s="1"/>
  <c r="H16" i="1" s="1"/>
  <c r="J30" i="11"/>
  <c r="I30" i="11"/>
  <c r="S53" i="22"/>
  <c r="T53" i="22" s="1"/>
  <c r="J19" i="11"/>
  <c r="I19" i="11"/>
  <c r="G59" i="22"/>
  <c r="J11" i="11"/>
  <c r="I11" i="11"/>
  <c r="G133" i="22"/>
  <c r="J59" i="22"/>
  <c r="J54" i="22"/>
  <c r="N54" i="11" s="1"/>
  <c r="R140" i="19"/>
  <c r="Q140" i="19"/>
  <c r="P140" i="19"/>
  <c r="O140" i="19"/>
  <c r="N140" i="19"/>
  <c r="M140" i="19"/>
  <c r="J134" i="22" l="1"/>
  <c r="O60" i="11" s="1"/>
  <c r="O64" i="11"/>
  <c r="J64" i="22"/>
  <c r="N59" i="11"/>
  <c r="I60" i="22"/>
  <c r="S54" i="22"/>
  <c r="T54" i="22" s="1"/>
  <c r="T127" i="22"/>
  <c r="H53" i="11"/>
  <c r="I138" i="22"/>
  <c r="Q59" i="11"/>
  <c r="H134" i="22"/>
  <c r="H64" i="22"/>
  <c r="I10" i="11"/>
  <c r="J10" i="11"/>
  <c r="Q53" i="11"/>
  <c r="P53" i="11"/>
  <c r="G64" i="22"/>
  <c r="J29" i="11"/>
  <c r="I29" i="11"/>
  <c r="G53" i="11"/>
  <c r="S59" i="22"/>
  <c r="T59" i="22" s="1"/>
  <c r="G54" i="11"/>
  <c r="G138" i="22"/>
  <c r="S133" i="22"/>
  <c r="Q54" i="11"/>
  <c r="S128" i="22"/>
  <c r="J60" i="22" l="1"/>
  <c r="N60" i="11" s="1"/>
  <c r="N64" i="11"/>
  <c r="Q64" i="11" s="1"/>
  <c r="T128" i="22"/>
  <c r="H54" i="11"/>
  <c r="I54" i="11" s="1"/>
  <c r="T133" i="22"/>
  <c r="H59" i="11"/>
  <c r="I134" i="22"/>
  <c r="H60" i="22"/>
  <c r="I53" i="11"/>
  <c r="G20" i="1"/>
  <c r="H20" i="1" s="1"/>
  <c r="S64" i="22"/>
  <c r="T64" i="22" s="1"/>
  <c r="J53" i="11"/>
  <c r="G60" i="22"/>
  <c r="S60" i="22" s="1"/>
  <c r="T60" i="22" s="1"/>
  <c r="G59" i="11"/>
  <c r="S138" i="22"/>
  <c r="G134" i="22"/>
  <c r="GC35" i="6"/>
  <c r="GC28" i="6"/>
  <c r="GC23" i="6"/>
  <c r="GC18" i="6"/>
  <c r="GC10" i="6"/>
  <c r="J54" i="11" l="1"/>
  <c r="T138" i="22"/>
  <c r="H64" i="11"/>
  <c r="G64" i="11"/>
  <c r="G60" i="11"/>
  <c r="J59" i="11"/>
  <c r="I59" i="11"/>
  <c r="S134" i="22"/>
  <c r="Q60" i="11"/>
  <c r="GB35" i="6"/>
  <c r="GB28" i="6"/>
  <c r="GB23" i="6"/>
  <c r="GB18" i="6"/>
  <c r="GB10" i="6"/>
  <c r="T134" i="22" l="1"/>
  <c r="H60" i="11"/>
  <c r="J60" i="11" s="1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59" i="6" s="1"/>
  <c r="GE261" i="6"/>
  <c r="FY35" i="6" l="1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I30" i="20" s="1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R32" i="20"/>
  <c r="G32" i="20"/>
  <c r="H30" i="20"/>
  <c r="L30" i="20"/>
  <c r="O30" i="20"/>
  <c r="Q30" i="20"/>
  <c r="R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P40" i="20" l="1"/>
  <c r="L40" i="20"/>
  <c r="H40" i="20"/>
  <c r="P55" i="20"/>
  <c r="P30" i="20"/>
  <c r="H29" i="20"/>
  <c r="G30" i="20"/>
  <c r="K30" i="20"/>
  <c r="P29" i="20"/>
  <c r="J30" i="20"/>
  <c r="L29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K29" i="20" l="1"/>
  <c r="M29" i="20"/>
  <c r="J29" i="20"/>
  <c r="G29" i="20"/>
  <c r="H151" i="19" l="1"/>
  <c r="I151" i="19"/>
  <c r="J151" i="19"/>
  <c r="K151" i="19"/>
  <c r="L151" i="19"/>
  <c r="M151" i="19"/>
  <c r="N151" i="19"/>
  <c r="O151" i="19"/>
  <c r="P151" i="19"/>
  <c r="Q151" i="19"/>
  <c r="R151" i="19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N55" i="21"/>
  <c r="N56" i="21" s="1"/>
  <c r="N62" i="21" s="1"/>
  <c r="N67" i="21" s="1"/>
  <c r="N63" i="21" s="1"/>
  <c r="G10" i="20"/>
  <c r="I126" i="21"/>
  <c r="N150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R54" i="20" l="1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N57" i="2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R62" i="21"/>
  <c r="R67" i="21" s="1"/>
  <c r="R63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4" i="20" l="1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S53" i="20"/>
  <c r="T53" i="20" s="1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K12" i="11" l="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9" i="11"/>
  <c r="K50" i="11"/>
  <c r="K51" i="11"/>
  <c r="K52" i="11"/>
  <c r="K56" i="11"/>
  <c r="K57" i="11"/>
  <c r="K58" i="11"/>
  <c r="K61" i="11"/>
  <c r="K62" i="11"/>
  <c r="K63" i="1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K30" i="11" s="1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K11" i="11" l="1"/>
  <c r="K55" i="11"/>
  <c r="K40" i="11"/>
  <c r="T40" i="1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K10" i="11" s="1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K29" i="11" s="1"/>
  <c r="N29" i="19"/>
  <c r="S10" i="11" l="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K53" i="11" l="1"/>
  <c r="G54" i="19"/>
  <c r="T53" i="11"/>
  <c r="M10" i="11"/>
  <c r="L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K59" i="11" l="1"/>
  <c r="K54" i="11"/>
  <c r="L53" i="1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K64" i="11" l="1"/>
  <c r="T64" i="1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K60" i="11" l="1"/>
  <c r="T60" i="1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R385" i="6" s="1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CL320" i="6"/>
  <c r="DD320" i="6"/>
  <c r="CZ385" i="6"/>
  <c r="DP385" i="6"/>
  <c r="CT350" i="6"/>
  <c r="DR350" i="6"/>
  <c r="CS350" i="6"/>
  <c r="DA350" i="6"/>
  <c r="H8" i="3" l="1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E253" i="2" l="1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48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<sst xmlns="http://schemas.openxmlformats.org/spreadsheetml/2006/main" count="1728" uniqueCount="828">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</sst>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03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vertical="center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22</xdr:row>
      <xdr:rowOff>76200</xdr:rowOff>
    </xdr:to>
    <xdr:sp macro="" textlink="">
      <xdr:nvSpPr>
        <xdr:cNvPr id="2" name="TextBox 1"/>
        <xdr:cNvSpPr txBox="1"/>
      </xdr:nvSpPr>
      <xdr:spPr>
        <a:xfrm>
          <a:off x="7019926" y="1323975"/>
          <a:ext cx="3152774" cy="29622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SAOPŠTENJE:</a:t>
          </a:r>
        </a:p>
        <a:p>
          <a:pPr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april 2021. godine iznosili su 491,8 mil. € ili 10,6% procijenjenog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veći su za 3,5 mil. € ili 0,7% u odnosu na planirane. U odnosu na isti period prethodne godine prihodi su manji za 8,5 mil. € ili 1,7%. </a:t>
          </a:r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april 2021. godine iznosili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633,9 mil. 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13,7% BDP-a i veći su za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10,9 mil. € ili 1,8% u odnosu na isti period prethodne godine. U odnosu na planirane, izdaci su manji za 60,3 mil. € ili 8,7%. U periodu januar - april 2021. godine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budžetski deficit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iznosio je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142,0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3,1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Ostale napomene: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Rješenjem o privremenom finansiranju budžeta za januar 2021. godine, Rješenjem o privremenom finansiranju budžeta za februar 2021. godine , Rješenjem o privremenom finansiranju budžeta za mart 2021. godine 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Rješenjem o privremenom finansiranju budžeta za april 2021. godine.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/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661555</xdr:colOff>
      <xdr:row>2</xdr:row>
      <xdr:rowOff>9524</xdr:rowOff>
    </xdr:from>
    <xdr:to>
      <xdr:col>12</xdr:col>
      <xdr:colOff>782620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/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 i socijalnog staranja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2021-04</v>
      </c>
      <c r="O6" s="143" t="str">
        <f>+CONCATENATE(N6,"p")</f>
        <v>2021-04p</v>
      </c>
      <c r="P6" s="130"/>
      <c r="Q6" s="130"/>
      <c r="R6" s="143" t="str">
        <f>+IF(Master!B3-10&gt;=0,CONCATENATE(Master!B4-1,"-",Master!B3),CONCATENATE(Master!B4-1,"-0",Master!B3))</f>
        <v>2020-04</v>
      </c>
      <c r="S6" s="130"/>
      <c r="T6" s="130"/>
    </row>
    <row r="7" spans="1:20">
      <c r="A7" s="144"/>
      <c r="B7" s="489" t="s">
        <v>692</v>
      </c>
      <c r="C7" s="490"/>
      <c r="D7" s="490"/>
      <c r="E7" s="490"/>
      <c r="F7" s="490"/>
      <c r="G7" s="498" t="s">
        <v>691</v>
      </c>
      <c r="H7" s="499"/>
      <c r="I7" s="499"/>
      <c r="J7" s="499"/>
      <c r="K7" s="499"/>
      <c r="L7" s="499"/>
      <c r="M7" s="500"/>
      <c r="N7" s="501" t="str">
        <f>+Master!G242</f>
        <v>Decembar</v>
      </c>
      <c r="O7" s="499"/>
      <c r="P7" s="499"/>
      <c r="Q7" s="499"/>
      <c r="R7" s="499"/>
      <c r="S7" s="499"/>
      <c r="T7" s="502"/>
    </row>
    <row r="8" spans="1:20">
      <c r="A8" s="144"/>
      <c r="B8" s="491"/>
      <c r="C8" s="492"/>
      <c r="D8" s="492"/>
      <c r="E8" s="492"/>
      <c r="F8" s="493"/>
      <c r="G8" s="145" t="str">
        <f>+Master!G25</f>
        <v>Ostvarenje</v>
      </c>
      <c r="H8" s="145" t="str">
        <f>+Master!G24</f>
        <v>Plan</v>
      </c>
      <c r="I8" s="485" t="str">
        <f>+Master!G260</f>
        <v>Odstupanje</v>
      </c>
      <c r="J8" s="485"/>
      <c r="K8" s="145" t="str">
        <f>+CONCATENATE(Master!G245," ",Master!B4-1)</f>
        <v>Jan - Apr 2020</v>
      </c>
      <c r="L8" s="485" t="str">
        <f>+I8</f>
        <v>Odstupanje</v>
      </c>
      <c r="M8" s="497"/>
      <c r="N8" s="146" t="str">
        <f>+G8</f>
        <v>Ostvarenje</v>
      </c>
      <c r="O8" s="145" t="str">
        <f>+H8</f>
        <v>Plan</v>
      </c>
      <c r="P8" s="485" t="str">
        <f>+I8</f>
        <v>Odstupanje</v>
      </c>
      <c r="Q8" s="485"/>
      <c r="R8" s="145" t="str">
        <f>+CONCATENATE(Master!G244," ",Master!B4-1)</f>
        <v>April 2020</v>
      </c>
      <c r="S8" s="485" t="str">
        <f>+P8</f>
        <v>Odstupanje</v>
      </c>
      <c r="T8" s="486"/>
    </row>
    <row r="9" spans="1:20" ht="15.75" thickBot="1">
      <c r="A9" s="144"/>
      <c r="B9" s="494"/>
      <c r="C9" s="495"/>
      <c r="D9" s="495"/>
      <c r="E9" s="495"/>
      <c r="F9" s="496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31" t="str">
        <f>+VLOOKUP($A10,Master!$D$29:$G$225,4,FALSE)</f>
        <v>Prihodi budžeta</v>
      </c>
      <c r="C10" s="532"/>
      <c r="D10" s="532"/>
      <c r="E10" s="532"/>
      <c r="F10" s="532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33" t="str">
        <f>+VLOOKUP($A11,Master!$D$29:$G$225,4,FALSE)</f>
        <v>Porezi</v>
      </c>
      <c r="C11" s="534"/>
      <c r="D11" s="534"/>
      <c r="E11" s="534"/>
      <c r="F11" s="534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19" t="str">
        <f>+VLOOKUP($A12,Master!$D$29:$G$225,4,FALSE)</f>
        <v>Porez na dohodak fizičkih lica</v>
      </c>
      <c r="C12" s="520"/>
      <c r="D12" s="520"/>
      <c r="E12" s="520"/>
      <c r="F12" s="520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19" t="str">
        <f>+VLOOKUP($A13,Master!$D$29:$G$225,4,FALSE)</f>
        <v>Porez na dobit pravnih lica</v>
      </c>
      <c r="C13" s="520"/>
      <c r="D13" s="520"/>
      <c r="E13" s="520"/>
      <c r="F13" s="520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19" t="str">
        <f>+VLOOKUP($A14,Master!$D$29:$G$225,4,FALSE)</f>
        <v>Porez na promet nepokretnosti</v>
      </c>
      <c r="C14" s="520"/>
      <c r="D14" s="520"/>
      <c r="E14" s="520"/>
      <c r="F14" s="520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19" t="str">
        <f>+VLOOKUP($A15,Master!$D$29:$G$225,4,FALSE)</f>
        <v>Porez na dodatu vrijednost</v>
      </c>
      <c r="C15" s="520"/>
      <c r="D15" s="520"/>
      <c r="E15" s="520"/>
      <c r="F15" s="520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19" t="str">
        <f>+VLOOKUP($A16,Master!$D$29:$G$225,4,FALSE)</f>
        <v>Akcize</v>
      </c>
      <c r="C16" s="520"/>
      <c r="D16" s="520"/>
      <c r="E16" s="520"/>
      <c r="F16" s="520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19" t="str">
        <f>+VLOOKUP($A17,Master!$D$29:$G$225,4,FALSE)</f>
        <v>Porez na međunarodnu trgovinu i transakcije</v>
      </c>
      <c r="C17" s="520"/>
      <c r="D17" s="520"/>
      <c r="E17" s="520"/>
      <c r="F17" s="520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19" t="e">
        <f>+VLOOKUP($A18,Master!$D$29:$G$225,4,FALSE)</f>
        <v>#N/A</v>
      </c>
      <c r="C18" s="520"/>
      <c r="D18" s="520"/>
      <c r="E18" s="520"/>
      <c r="F18" s="520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19" t="str">
        <f>+VLOOKUP($A19,Master!$D$29:$G$225,4,FALSE)</f>
        <v>Ostali državni porezi</v>
      </c>
      <c r="C19" s="520"/>
      <c r="D19" s="520"/>
      <c r="E19" s="520"/>
      <c r="F19" s="520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29" t="str">
        <f>+VLOOKUP($A20,Master!$D$29:$G$225,4,FALSE)</f>
        <v>Doprinosi</v>
      </c>
      <c r="C20" s="530"/>
      <c r="D20" s="530"/>
      <c r="E20" s="530"/>
      <c r="F20" s="530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19" t="str">
        <f>+VLOOKUP($A21,Master!$D$29:$G$225,4,FALSE)</f>
        <v>Doprinosi za penzijsko i invalidsko osiguranje</v>
      </c>
      <c r="C21" s="520"/>
      <c r="D21" s="520"/>
      <c r="E21" s="520"/>
      <c r="F21" s="520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19" t="str">
        <f>+VLOOKUP($A22,Master!$D$29:$G$225,4,FALSE)</f>
        <v>Doprinosi za zdravstveno osiguranje</v>
      </c>
      <c r="C22" s="520"/>
      <c r="D22" s="520"/>
      <c r="E22" s="520"/>
      <c r="F22" s="520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19" t="str">
        <f>+VLOOKUP($A23,Master!$D$29:$G$225,4,FALSE)</f>
        <v>Doprinosi za osiguranje od nezaposlenosti</v>
      </c>
      <c r="C23" s="520"/>
      <c r="D23" s="520"/>
      <c r="E23" s="520"/>
      <c r="F23" s="520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19" t="str">
        <f>+VLOOKUP($A24,Master!$D$29:$G$225,4,FALSE)</f>
        <v>Ostali doprinosi</v>
      </c>
      <c r="C24" s="520"/>
      <c r="D24" s="520"/>
      <c r="E24" s="520"/>
      <c r="F24" s="520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21" t="str">
        <f>+VLOOKUP($A25,Master!$D$29:$G$225,4,FALSE)</f>
        <v>Takse</v>
      </c>
      <c r="C25" s="522"/>
      <c r="D25" s="522"/>
      <c r="E25" s="522"/>
      <c r="F25" s="522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21" t="str">
        <f>+VLOOKUP($A26,Master!$D$29:$G$225,4,FALSE)</f>
        <v>Naknade</v>
      </c>
      <c r="C26" s="522"/>
      <c r="D26" s="522"/>
      <c r="E26" s="522"/>
      <c r="F26" s="522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21" t="str">
        <f>+VLOOKUP($A27,Master!$D$29:$G$225,4,FALSE)</f>
        <v>Ostali prihodi</v>
      </c>
      <c r="C27" s="522"/>
      <c r="D27" s="522"/>
      <c r="E27" s="522"/>
      <c r="F27" s="522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21" t="str">
        <f>+VLOOKUP($A28,Master!$D$29:$G$225,4,FALSE)</f>
        <v>Primici od otplate kredita i sredstva prenesena iz prethodne godine</v>
      </c>
      <c r="C28" s="522"/>
      <c r="D28" s="522"/>
      <c r="E28" s="522"/>
      <c r="F28" s="522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23" t="str">
        <f>+VLOOKUP($A29,Master!$D$29:$G$225,4,FALSE)</f>
        <v>Donacije i transferi</v>
      </c>
      <c r="C29" s="524"/>
      <c r="D29" s="524"/>
      <c r="E29" s="524"/>
      <c r="F29" s="524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09" t="str">
        <f>+VLOOKUP($A30,Master!$D$29:$G$225,4,FALSE)</f>
        <v>Izdaci budžeta</v>
      </c>
      <c r="C30" s="510"/>
      <c r="D30" s="510"/>
      <c r="E30" s="510"/>
      <c r="F30" s="510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25" t="str">
        <f>+VLOOKUP($A31,Master!$D$29:$G$225,4,FALSE)</f>
        <v>Tekući izdaci</v>
      </c>
      <c r="C31" s="526"/>
      <c r="D31" s="526"/>
      <c r="E31" s="526"/>
      <c r="F31" s="526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27" t="str">
        <f>+VLOOKUP($A32,Master!$D$29:$G$225,4,FALSE)</f>
        <v>Tekuća budžetska potrošnja</v>
      </c>
      <c r="C32" s="528"/>
      <c r="D32" s="528"/>
      <c r="E32" s="528"/>
      <c r="F32" s="528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19" t="str">
        <f>+VLOOKUP($A33,Master!$D$29:$G$225,4,FALSE)</f>
        <v>Bruto zarade i doprinosi na teret poslodavca</v>
      </c>
      <c r="C33" s="520"/>
      <c r="D33" s="520"/>
      <c r="E33" s="520"/>
      <c r="F33" s="520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19" t="str">
        <f>+VLOOKUP($A34,Master!$D$29:$G$225,4,FALSE)</f>
        <v>Ostala lična primanja</v>
      </c>
      <c r="C34" s="520"/>
      <c r="D34" s="520"/>
      <c r="E34" s="520"/>
      <c r="F34" s="520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19" t="str">
        <f>+VLOOKUP($A35,Master!$D$29:$G$225,4,FALSE)</f>
        <v>Rashodi za materijal</v>
      </c>
      <c r="C35" s="520"/>
      <c r="D35" s="520"/>
      <c r="E35" s="520"/>
      <c r="F35" s="520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19" t="str">
        <f>+VLOOKUP($A36,Master!$D$29:$G$225,4,FALSE)</f>
        <v>Rashodi za usluge</v>
      </c>
      <c r="C36" s="520"/>
      <c r="D36" s="520"/>
      <c r="E36" s="520"/>
      <c r="F36" s="520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19" t="str">
        <f>+VLOOKUP($A37,Master!$D$29:$G$225,4,FALSE)</f>
        <v>Rashodi za tekuće održavanje</v>
      </c>
      <c r="C37" s="520"/>
      <c r="D37" s="520"/>
      <c r="E37" s="520"/>
      <c r="F37" s="520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19" t="str">
        <f>+VLOOKUP($A38,Master!$D$29:$G$225,4,FALSE)</f>
        <v>Kamate</v>
      </c>
      <c r="C38" s="520"/>
      <c r="D38" s="520"/>
      <c r="E38" s="520"/>
      <c r="F38" s="520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19" t="str">
        <f>+VLOOKUP($A39,Master!$D$29:$G$225,4,FALSE)</f>
        <v>Renta</v>
      </c>
      <c r="C39" s="520"/>
      <c r="D39" s="520"/>
      <c r="E39" s="520"/>
      <c r="F39" s="520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19" t="str">
        <f>+VLOOKUP($A40,Master!$D$29:$G$225,4,FALSE)</f>
        <v>Subvencije</v>
      </c>
      <c r="C40" s="520"/>
      <c r="D40" s="520"/>
      <c r="E40" s="520"/>
      <c r="F40" s="520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19" t="str">
        <f>+VLOOKUP($A41,Master!$D$29:$G$225,4,FALSE)</f>
        <v>Ostali izdaci</v>
      </c>
      <c r="C41" s="520"/>
      <c r="D41" s="520"/>
      <c r="E41" s="520"/>
      <c r="F41" s="520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19" t="e">
        <f>+VLOOKUP($A42,Master!$D$29:$G$225,4,FALSE)</f>
        <v>#N/A</v>
      </c>
      <c r="C42" s="520"/>
      <c r="D42" s="520"/>
      <c r="E42" s="520"/>
      <c r="F42" s="520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15" t="str">
        <f>+VLOOKUP($A43,Master!$D$29:$G$225,4,FALSE)</f>
        <v>Transferi za socijalnu zaštitu</v>
      </c>
      <c r="C43" s="516"/>
      <c r="D43" s="516"/>
      <c r="E43" s="516"/>
      <c r="F43" s="516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19" t="str">
        <f>+VLOOKUP($A44,Master!$D$29:$G$225,4,FALSE)</f>
        <v>Prava iz oblasti socijalne zaštite</v>
      </c>
      <c r="C44" s="520"/>
      <c r="D44" s="520"/>
      <c r="E44" s="520"/>
      <c r="F44" s="520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19" t="str">
        <f>+VLOOKUP($A45,Master!$D$29:$G$225,4,FALSE)</f>
        <v>Sredstva za tehnološke viškove</v>
      </c>
      <c r="C45" s="520"/>
      <c r="D45" s="520"/>
      <c r="E45" s="520"/>
      <c r="F45" s="520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19" t="str">
        <f>+VLOOKUP($A46,Master!$D$29:$G$225,4,FALSE)</f>
        <v>Prava iz oblasti penzijskog i invalidskog osiguranja</v>
      </c>
      <c r="C46" s="520"/>
      <c r="D46" s="520"/>
      <c r="E46" s="520"/>
      <c r="F46" s="520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19" t="str">
        <f>+VLOOKUP($A47,Master!$D$29:$G$225,4,FALSE)</f>
        <v>Ostala prava iz oblasti zdravstvene zaštite</v>
      </c>
      <c r="C47" s="520"/>
      <c r="D47" s="520"/>
      <c r="E47" s="520"/>
      <c r="F47" s="520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19" t="str">
        <f>+VLOOKUP($A48,Master!$D$29:$G$225,4,FALSE)</f>
        <v>Ostala prava iz zdravstvenog osiguranja</v>
      </c>
      <c r="C48" s="520"/>
      <c r="D48" s="520"/>
      <c r="E48" s="520"/>
      <c r="F48" s="520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17" t="str">
        <f>+VLOOKUP($A49,Master!$D$29:$G$225,4,FALSE)</f>
        <v xml:space="preserve">Transferi institucijama, pojedincima, nevladinom i javnom sektoru </v>
      </c>
      <c r="C49" s="518"/>
      <c r="D49" s="518"/>
      <c r="E49" s="518"/>
      <c r="F49" s="518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17" t="str">
        <f>+VLOOKUP($A50,Master!$D$29:$G$225,4,FALSE)</f>
        <v>Kapitalni izdaci</v>
      </c>
      <c r="C50" s="518"/>
      <c r="D50" s="518"/>
      <c r="E50" s="518"/>
      <c r="F50" s="518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487" t="str">
        <f>+VLOOKUP($A51,Master!$D$29:$G$225,4,FALSE)</f>
        <v>Pozajmice i krediti</v>
      </c>
      <c r="C51" s="488"/>
      <c r="D51" s="488"/>
      <c r="E51" s="488"/>
      <c r="F51" s="488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487" t="str">
        <f>+VLOOKUP($A52,Master!$D$29:$G$225,4,FALSE)</f>
        <v>Rezerve</v>
      </c>
      <c r="C52" s="488"/>
      <c r="D52" s="488"/>
      <c r="E52" s="488"/>
      <c r="F52" s="488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05" t="str">
        <f>+VLOOKUP($A53,Master!$D$29:$G$225,4,FALSE)</f>
        <v>Otplata garancija</v>
      </c>
      <c r="C53" s="506"/>
      <c r="D53" s="506"/>
      <c r="E53" s="506"/>
      <c r="F53" s="506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05" t="str">
        <f>+VLOOKUP($A54,Master!$D$29:$G$225,4,FALSE)</f>
        <v>Otplata obaveza iz prethodnog perioda</v>
      </c>
      <c r="C54" s="506"/>
      <c r="D54" s="506"/>
      <c r="E54" s="506"/>
      <c r="F54" s="506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05" t="str">
        <f>+VLOOKUP($A55,Master!$D$29:$G$227,4,FALSE)</f>
        <v>Neto povećanje obaveza</v>
      </c>
      <c r="C55" s="506"/>
      <c r="D55" s="506"/>
      <c r="E55" s="506"/>
      <c r="F55" s="506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11" t="str">
        <f>+VLOOKUP($A56,Master!$D$29:$G$225,4,FALSE)</f>
        <v>Suficit / deficit</v>
      </c>
      <c r="C56" s="512"/>
      <c r="D56" s="512"/>
      <c r="E56" s="512"/>
      <c r="F56" s="512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13" t="str">
        <f>+VLOOKUP($A57,Master!$D$29:$G$225,4,FALSE)</f>
        <v>Primarni suficit/deficit</v>
      </c>
      <c r="C57" s="514"/>
      <c r="D57" s="514"/>
      <c r="E57" s="514"/>
      <c r="F57" s="514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15" t="str">
        <f>+VLOOKUP($A58,Master!$D$29:$G$225,4,FALSE)</f>
        <v>Otplata dugova</v>
      </c>
      <c r="C58" s="516"/>
      <c r="D58" s="516"/>
      <c r="E58" s="516"/>
      <c r="F58" s="516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03" t="str">
        <f>+VLOOKUP($A59,Master!$D$29:$G$225,4,FALSE)</f>
        <v>Otplata hartija od vrijednosti i kredita rezidentima</v>
      </c>
      <c r="C59" s="504"/>
      <c r="D59" s="504"/>
      <c r="E59" s="504"/>
      <c r="F59" s="504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487" t="str">
        <f>+VLOOKUP($A60,Master!$D$29:$G$225,4,FALSE)</f>
        <v>Otplata hartija od vrijednosti i kredita nerezidentima</v>
      </c>
      <c r="C60" s="488"/>
      <c r="D60" s="488"/>
      <c r="E60" s="488"/>
      <c r="F60" s="488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07" t="str">
        <f>+VLOOKUP($A62,Master!$D$29:$G$225,4,FALSE)</f>
        <v>Nedostajuća sredstva</v>
      </c>
      <c r="C62" s="508"/>
      <c r="D62" s="508"/>
      <c r="E62" s="508"/>
      <c r="F62" s="508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09" t="str">
        <f>+VLOOKUP($A63,Master!$D$29:$G$225,4,FALSE)</f>
        <v>Finansiranje</v>
      </c>
      <c r="C63" s="510"/>
      <c r="D63" s="510"/>
      <c r="E63" s="510"/>
      <c r="F63" s="510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03" t="str">
        <f>+VLOOKUP($A64,Master!$D$29:$G$225,4,FALSE)</f>
        <v>Pozajmice i krediti od domaćih izvora</v>
      </c>
      <c r="C64" s="504"/>
      <c r="D64" s="504"/>
      <c r="E64" s="504"/>
      <c r="F64" s="504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487" t="str">
        <f>+VLOOKUP($A65,Master!$D$29:$G$225,4,FALSE)</f>
        <v>Pozajmice i krediti od inostranih izvora</v>
      </c>
      <c r="C65" s="488"/>
      <c r="D65" s="488"/>
      <c r="E65" s="488"/>
      <c r="F65" s="488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487" t="str">
        <f>+VLOOKUP($A66,Master!$D$29:$G$225,4,FALSE)</f>
        <v>Primici od prodaje imovine</v>
      </c>
      <c r="C66" s="488"/>
      <c r="D66" s="488"/>
      <c r="E66" s="488"/>
      <c r="F66" s="488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L32"/>
  <sheetViews>
    <sheetView showRowColHeaders="0" workbookViewId="0">
      <pane ySplit="5" topLeftCell="A6" activePane="bottomLeft" state="frozen"/>
      <selection activeCell="DK219" sqref="DK219"/>
      <selection pane="bottomLeft" activeCell="H12" sqref="H12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Crna Gora</v>
      </c>
      <c r="I2" s="129"/>
    </row>
    <row r="3" spans="3:11" s="126" customFormat="1">
      <c r="E3" s="129" t="str">
        <f>+Master!G7</f>
        <v>Ministarstvo finansija i socijalnog staranja</v>
      </c>
    </row>
    <row r="4" spans="3:11" s="126" customFormat="1">
      <c r="E4" s="129" t="str">
        <f>+Master!G8</f>
        <v>Direktorat za državni budžet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Prihodi za mjesec April</v>
      </c>
      <c r="E11" s="135"/>
      <c r="F11" s="135"/>
      <c r="G11" s="137" t="str">
        <f>+Master!G273</f>
        <v>Prihodi za period Januar - April</v>
      </c>
      <c r="H11" s="135"/>
      <c r="I11" s="135"/>
      <c r="J11" s="135"/>
      <c r="K11" s="136"/>
    </row>
    <row r="12" spans="3:11">
      <c r="C12" s="134"/>
      <c r="D12" s="138">
        <f>+'Analitka - 2021'!N10</f>
        <v>143397342.51000002</v>
      </c>
      <c r="E12" s="456">
        <f>+D12/'2021'!T7</f>
        <v>3.0927261896648409E-2</v>
      </c>
      <c r="F12" s="135"/>
      <c r="G12" s="138">
        <f>+'Analitka - 2021'!G10</f>
        <v>491822262.61000001</v>
      </c>
      <c r="H12" s="456">
        <f>+G12/'2021'!T7</f>
        <v>0.10607390385411725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BDP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Rashodi za mjesec April</v>
      </c>
      <c r="E15" s="135"/>
      <c r="F15" s="135"/>
      <c r="G15" s="137" t="str">
        <f>+Master!G274</f>
        <v>Rashodi za period Januar - April</v>
      </c>
      <c r="H15" s="135"/>
      <c r="I15" s="135"/>
      <c r="J15" s="135"/>
      <c r="K15" s="136"/>
    </row>
    <row r="16" spans="3:11">
      <c r="C16" s="134"/>
      <c r="D16" s="138">
        <f>+'Analitka - 2021'!N29</f>
        <v>182022620.97999999</v>
      </c>
      <c r="E16" s="456">
        <f>+D16/'2021'!T7</f>
        <v>3.9257779618686102E-2</v>
      </c>
      <c r="F16" s="135"/>
      <c r="G16" s="138">
        <f>+'Analitka - 2021'!G29</f>
        <v>633866832.61000001</v>
      </c>
      <c r="H16" s="456">
        <f>+G16/'2021'!T7</f>
        <v>0.13670940616184274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tr">
        <f>+G13</f>
        <v>mil. €</v>
      </c>
      <c r="H17" s="139" t="str">
        <f>+H13</f>
        <v>% BDP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Suficit/Deficit za mjesec April</v>
      </c>
      <c r="E19" s="135"/>
      <c r="F19" s="135"/>
      <c r="G19" s="137" t="str">
        <f>+Master!G275</f>
        <v>Suficit/Deficit za period Januar - April</v>
      </c>
      <c r="H19" s="135"/>
      <c r="I19" s="135"/>
      <c r="J19" s="135"/>
      <c r="K19" s="136"/>
    </row>
    <row r="20" spans="3:12">
      <c r="C20" s="134"/>
      <c r="D20" s="138">
        <f>+'Analitka - 2021'!N53</f>
        <v>-38625278.469999969</v>
      </c>
      <c r="E20" s="456">
        <f>+D20/'2021'!T7</f>
        <v>-8.3305177220376926E-3</v>
      </c>
      <c r="F20" s="135"/>
      <c r="G20" s="138">
        <f>+'Analitka - 2021'!G53</f>
        <v>-142044569.99999997</v>
      </c>
      <c r="H20" s="456">
        <f>+G20/'2021'!T7</f>
        <v>-3.0635502307725482E-2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tr">
        <f>+G17</f>
        <v>mil. €</v>
      </c>
      <c r="H21" s="139" t="str">
        <f>+H17</f>
        <v>% BDP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7"/>
    </row>
  </sheetData>
  <sheetProtection algorithmName="SHA-512" hashValue="vnupGsLQ+PNAzVOjBNsrfZwRXYvMgqOWNcoPHLqyCJI1JDzGUllX7UVI7joNvCoZ5xBp4LhNnfuZ++DI+b2i5w==" saltValue="I6tyoRuNfexQPNDviH4bA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69"/>
  <sheetViews>
    <sheetView tabSelected="1" zoomScale="110" zoomScaleNormal="110" workbookViewId="0">
      <pane ySplit="5" topLeftCell="A6" activePane="bottomLeft" state="frozen"/>
      <selection activeCell="DK219" sqref="DK219"/>
      <selection pane="bottomLeft" activeCell="G10" sqref="G10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60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6"/>
    </row>
    <row r="2" spans="1:20" s="1" customFormat="1">
      <c r="C2" s="2"/>
      <c r="E2" s="3" t="str">
        <f>+Master!G6</f>
        <v>Crna Gora</v>
      </c>
      <c r="G2" s="356"/>
      <c r="I2" s="4"/>
    </row>
    <row r="3" spans="1:20" s="1" customFormat="1">
      <c r="B3" s="163"/>
      <c r="E3" s="4" t="str">
        <f>+Master!G7</f>
        <v>Ministarstvo finansija i socijalnog staranja</v>
      </c>
      <c r="G3" s="356"/>
    </row>
    <row r="4" spans="1:20" s="1" customFormat="1">
      <c r="E4" s="4" t="str">
        <f>+Master!G8</f>
        <v>Direktorat za državni budžet</v>
      </c>
      <c r="G4" s="356"/>
      <c r="H4" s="364"/>
      <c r="I4" s="364"/>
      <c r="J4" s="364"/>
    </row>
    <row r="5" spans="1:20" s="1" customFormat="1">
      <c r="G5" s="356"/>
    </row>
    <row r="6" spans="1:20" ht="15.75" thickBot="1">
      <c r="A6" s="130"/>
      <c r="B6" s="130"/>
      <c r="C6" s="130"/>
      <c r="D6" s="130"/>
      <c r="E6" s="130"/>
      <c r="F6" s="130"/>
      <c r="G6" s="357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2021-04</v>
      </c>
      <c r="O6" s="143" t="str">
        <f>+CONCATENATE(N6,"p")</f>
        <v>2021-04p</v>
      </c>
      <c r="P6" s="130"/>
      <c r="Q6" s="130"/>
      <c r="R6" s="143" t="str">
        <f>+IF(Master!B3-10&gt;=0,CONCATENATE(Master!B4-1,"-",Master!B3),CONCATENATE(Master!B4-1,"-0",Master!B3))</f>
        <v>2020-04</v>
      </c>
      <c r="S6" s="130"/>
      <c r="T6" s="130"/>
    </row>
    <row r="7" spans="1:20">
      <c r="A7" s="144"/>
      <c r="B7" s="489" t="str">
        <f>+Master!G253</f>
        <v>Analitika za period Jan - Apr</v>
      </c>
      <c r="C7" s="490"/>
      <c r="D7" s="490"/>
      <c r="E7" s="490"/>
      <c r="F7" s="490"/>
      <c r="G7" s="498" t="str">
        <f>+Master!G245</f>
        <v>Jan - Apr</v>
      </c>
      <c r="H7" s="499"/>
      <c r="I7" s="499"/>
      <c r="J7" s="499"/>
      <c r="K7" s="499"/>
      <c r="L7" s="499"/>
      <c r="M7" s="500"/>
      <c r="N7" s="501" t="str">
        <f>+Master!G244</f>
        <v>April</v>
      </c>
      <c r="O7" s="499"/>
      <c r="P7" s="499"/>
      <c r="Q7" s="499"/>
      <c r="R7" s="499"/>
      <c r="S7" s="499"/>
      <c r="T7" s="502"/>
    </row>
    <row r="8" spans="1:20">
      <c r="A8" s="144"/>
      <c r="B8" s="491"/>
      <c r="C8" s="492"/>
      <c r="D8" s="492"/>
      <c r="E8" s="492"/>
      <c r="F8" s="493"/>
      <c r="G8" s="358" t="str">
        <f>+Master!G25</f>
        <v>Ostvarenje</v>
      </c>
      <c r="H8" s="145" t="str">
        <f>+Master!G24</f>
        <v>Plan</v>
      </c>
      <c r="I8" s="485" t="str">
        <f>+Master!G260</f>
        <v>Odstupanje</v>
      </c>
      <c r="J8" s="485"/>
      <c r="K8" s="145" t="str">
        <f>+CONCATENATE(Master!G245," ",Master!B4-1)</f>
        <v>Jan - Apr 2020</v>
      </c>
      <c r="L8" s="485" t="str">
        <f>+I8</f>
        <v>Odstupanje</v>
      </c>
      <c r="M8" s="497"/>
      <c r="N8" s="146" t="str">
        <f>+G8</f>
        <v>Ostvarenje</v>
      </c>
      <c r="O8" s="145" t="str">
        <f>+H8</f>
        <v>Plan</v>
      </c>
      <c r="P8" s="485" t="str">
        <f>+I8</f>
        <v>Odstupanje</v>
      </c>
      <c r="Q8" s="485"/>
      <c r="R8" s="145" t="str">
        <f>+CONCATENATE(Master!G244," ",Master!B4-1)</f>
        <v>April 2020</v>
      </c>
      <c r="S8" s="485" t="str">
        <f>+P8</f>
        <v>Odstupanje</v>
      </c>
      <c r="T8" s="486"/>
    </row>
    <row r="9" spans="1:20" ht="15.75" thickBot="1">
      <c r="A9" s="144"/>
      <c r="B9" s="494"/>
      <c r="C9" s="495"/>
      <c r="D9" s="495"/>
      <c r="E9" s="495"/>
      <c r="F9" s="496"/>
      <c r="G9" s="35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09" t="str">
        <f>+VLOOKUP($A10,Master!$D$29:$G$225,4,FALSE)</f>
        <v>Prihodi budžeta</v>
      </c>
      <c r="C10" s="510"/>
      <c r="D10" s="510"/>
      <c r="E10" s="510"/>
      <c r="F10" s="510"/>
      <c r="G10" s="151">
        <f>'2021'!S10</f>
        <v>491822262.61000001</v>
      </c>
      <c r="H10" s="151">
        <f>'2021'!S84</f>
        <v>488306879.80237174</v>
      </c>
      <c r="I10" s="152">
        <f>+G10-H10</f>
        <v>3515382.807628274</v>
      </c>
      <c r="J10" s="154">
        <f>IF(+IF(ISERROR(G10/H10),"…",G10/H10-1)&gt;200%,"...",IF(ISERROR(G10/H10),"…",G10/H10-1))</f>
        <v>7.1991261090791347E-3</v>
      </c>
      <c r="K10" s="151">
        <f>SUM('2020'!G10:J10)</f>
        <v>500300478.39999998</v>
      </c>
      <c r="L10" s="152">
        <f>+G10-K10</f>
        <v>-8478215.7899999619</v>
      </c>
      <c r="M10" s="154">
        <f>IF(+IF(ISERROR(G10/K10),"…",G10/K10-1)&gt;200%,"...",IF(ISERROR(G10/K10),"…",G10/K10-1))</f>
        <v>-1.6946247617259824E-2</v>
      </c>
      <c r="N10" s="151">
        <f>'2021'!J10</f>
        <v>143397342.51000002</v>
      </c>
      <c r="O10" s="151">
        <f>'2021'!J84</f>
        <v>155837839.82156321</v>
      </c>
      <c r="P10" s="152">
        <f>+N10-O10</f>
        <v>-12440497.311563194</v>
      </c>
      <c r="Q10" s="154">
        <f>IF(+IF(ISERROR(N10/O10),"…",N10/O10-1)&gt;200%,"...",IF(ISERROR(N10/O10),"…",N10/O10-1))</f>
        <v>-7.9829759741329553E-2</v>
      </c>
      <c r="R10" s="151">
        <f>'2020'!J10</f>
        <v>124933596.71000001</v>
      </c>
      <c r="S10" s="152">
        <f>+N10-R10</f>
        <v>18463745.800000012</v>
      </c>
      <c r="T10" s="154">
        <f>IF(+IF(ISERROR(N10/R10),"…",N10/R10-1)&gt;200%,"...",IF(ISERROR(N10/R10),"…",N10/R10-1))</f>
        <v>0.14778847552799323</v>
      </c>
    </row>
    <row r="11" spans="1:20">
      <c r="A11" s="150">
        <v>711</v>
      </c>
      <c r="B11" s="533" t="str">
        <f>+VLOOKUP($A11,Master!$D$29:$G$225,4,FALSE)</f>
        <v>Porezi</v>
      </c>
      <c r="C11" s="534"/>
      <c r="D11" s="534"/>
      <c r="E11" s="534"/>
      <c r="F11" s="534"/>
      <c r="G11" s="277">
        <f>'2021'!S11</f>
        <v>321253401.16000003</v>
      </c>
      <c r="H11" s="277">
        <f>'2021'!S85</f>
        <v>305002949.73717892</v>
      </c>
      <c r="I11" s="158">
        <f t="shared" ref="I11:I57" si="0">+G11-H11</f>
        <v>16250451.422821105</v>
      </c>
      <c r="J11" s="160">
        <f t="shared" ref="J11:J64" si="1">IF(+IF(ISERROR(G11/H11-1),"…",G11/H11-1)&gt;200%,"...",IF(ISERROR(G11/H11-1),"…",G11/H11-1))</f>
        <v>5.3279653317530595E-2</v>
      </c>
      <c r="K11" s="277">
        <f>SUM('2020'!G11:J11)</f>
        <v>332139004.19</v>
      </c>
      <c r="L11" s="158">
        <f>+G11-K11</f>
        <v>-10885603.029999971</v>
      </c>
      <c r="M11" s="160">
        <f t="shared" ref="M11:M64" si="2">IF(+IF(ISERROR(G11/K11),"…",G11/K11-1)&gt;200%,"...",IF(ISERROR(G11/K11),"…",G11/K11-1))</f>
        <v>-3.2774238775560516E-2</v>
      </c>
      <c r="N11" s="277">
        <f>'2021'!J11</f>
        <v>92940577.079999998</v>
      </c>
      <c r="O11" s="277">
        <f>'2021'!J85</f>
        <v>93379659.592625082</v>
      </c>
      <c r="P11" s="158">
        <f>+N11-O11</f>
        <v>-439082.51262508333</v>
      </c>
      <c r="Q11" s="160">
        <f t="shared" ref="Q11:Q64" si="3">IF(+IF(ISERROR(N11/O11),"…",N11/O11-1)&gt;200%,"...",IF(ISERROR(N11/O11),"…",N11/O11-1))</f>
        <v>-4.702121581301677E-3</v>
      </c>
      <c r="R11" s="277">
        <f>'2020'!J11</f>
        <v>83521974.920000002</v>
      </c>
      <c r="S11" s="158">
        <f t="shared" ref="S11:S57" si="4">+N11-R11</f>
        <v>9418602.1599999964</v>
      </c>
      <c r="T11" s="160">
        <f t="shared" ref="T11:T64" si="5">IF(+IF(ISERROR(N11/R11),"…",N11/R11-1)&gt;200%,"...",IF(ISERROR(N11/R11),"…",N11/R11-1))</f>
        <v>0.11276795321256983</v>
      </c>
    </row>
    <row r="12" spans="1:20">
      <c r="A12" s="150">
        <v>7111</v>
      </c>
      <c r="B12" s="519" t="str">
        <f>+VLOOKUP($A12,Master!$D$29:$G$225,4,FALSE)</f>
        <v>Porez na dohodak fizičkih lica</v>
      </c>
      <c r="C12" s="520"/>
      <c r="D12" s="520"/>
      <c r="E12" s="520"/>
      <c r="F12" s="520"/>
      <c r="G12" s="163">
        <f>'2021'!S12</f>
        <v>31997644.600000001</v>
      </c>
      <c r="H12" s="163">
        <f>'2021'!S86</f>
        <v>33683624.612185195</v>
      </c>
      <c r="I12" s="164">
        <f t="shared" si="0"/>
        <v>-1685980.0121851936</v>
      </c>
      <c r="J12" s="166">
        <f t="shared" si="1"/>
        <v>-5.0053402256931778E-2</v>
      </c>
      <c r="K12" s="163">
        <f>SUM('2020'!G12:J12)</f>
        <v>30781069.990000002</v>
      </c>
      <c r="L12" s="164">
        <f>+G12-K12</f>
        <v>1216574.6099999994</v>
      </c>
      <c r="M12" s="166">
        <f t="shared" si="2"/>
        <v>3.9523467195754947E-2</v>
      </c>
      <c r="N12" s="163">
        <f>'2021'!J12</f>
        <v>9203378.8300000001</v>
      </c>
      <c r="O12" s="163">
        <f>'2021'!J86</f>
        <v>11228675.970229108</v>
      </c>
      <c r="P12" s="164">
        <f t="shared" ref="P12:P57" si="6">+N12-O12</f>
        <v>-2025297.1402291078</v>
      </c>
      <c r="Q12" s="166">
        <f t="shared" si="3"/>
        <v>-0.18036829503307716</v>
      </c>
      <c r="R12" s="163">
        <f>'2020'!J12</f>
        <v>6960084.75</v>
      </c>
      <c r="S12" s="164">
        <f t="shared" si="4"/>
        <v>2243294.08</v>
      </c>
      <c r="T12" s="166">
        <f t="shared" si="5"/>
        <v>0.32230844315509244</v>
      </c>
    </row>
    <row r="13" spans="1:20">
      <c r="A13" s="150">
        <v>7112</v>
      </c>
      <c r="B13" s="519" t="str">
        <f>+VLOOKUP($A13,Master!$D$29:$G$225,4,FALSE)</f>
        <v>Porez na dobit pravnih lica</v>
      </c>
      <c r="C13" s="520"/>
      <c r="D13" s="520"/>
      <c r="E13" s="520"/>
      <c r="F13" s="520"/>
      <c r="G13" s="163">
        <f>'2021'!S13</f>
        <v>48642282.089999996</v>
      </c>
      <c r="H13" s="163">
        <f>'2021'!S87</f>
        <v>35255616.177433416</v>
      </c>
      <c r="I13" s="164">
        <f t="shared" si="0"/>
        <v>13386665.91256658</v>
      </c>
      <c r="J13" s="166">
        <f t="shared" si="1"/>
        <v>0.37970307610550802</v>
      </c>
      <c r="K13" s="163">
        <f>SUM('2020'!G13:J13)</f>
        <v>48679233.18</v>
      </c>
      <c r="L13" s="164">
        <f t="shared" ref="L13:L57" si="7">+G13-K13</f>
        <v>-36951.090000003576</v>
      </c>
      <c r="M13" s="166">
        <f t="shared" si="2"/>
        <v>-7.5907296779653688E-4</v>
      </c>
      <c r="N13" s="163">
        <f>'2021'!J13</f>
        <v>17773856.079999998</v>
      </c>
      <c r="O13" s="163">
        <f>'2021'!J87</f>
        <v>16608606.985991174</v>
      </c>
      <c r="P13" s="164">
        <f t="shared" si="6"/>
        <v>1165249.0940088239</v>
      </c>
      <c r="Q13" s="166">
        <f t="shared" si="3"/>
        <v>7.015935141289531E-2</v>
      </c>
      <c r="R13" s="163">
        <f>'2020'!J13</f>
        <v>24401832.57</v>
      </c>
      <c r="S13" s="164">
        <f t="shared" si="4"/>
        <v>-6627976.4900000021</v>
      </c>
      <c r="T13" s="166">
        <f t="shared" si="5"/>
        <v>-0.27161798078020338</v>
      </c>
    </row>
    <row r="14" spans="1:20">
      <c r="A14" s="150">
        <v>7113</v>
      </c>
      <c r="B14" s="519" t="str">
        <f>+VLOOKUP($A14,Master!$D$29:$G$225,4,FALSE)</f>
        <v>Porez na promet nepokretnosti</v>
      </c>
      <c r="C14" s="520"/>
      <c r="D14" s="520"/>
      <c r="E14" s="520"/>
      <c r="F14" s="520"/>
      <c r="G14" s="163">
        <f>'2021'!S14</f>
        <v>449543.81999999995</v>
      </c>
      <c r="H14" s="163">
        <f>'2021'!S88</f>
        <v>551487.46156231314</v>
      </c>
      <c r="I14" s="164">
        <f t="shared" si="0"/>
        <v>-101943.64156231319</v>
      </c>
      <c r="J14" s="166">
        <f t="shared" si="1"/>
        <v>-0.18485214745139678</v>
      </c>
      <c r="K14" s="163">
        <f>SUM('2020'!G14:J14)</f>
        <v>530421.57999999996</v>
      </c>
      <c r="L14" s="164">
        <f t="shared" si="7"/>
        <v>-80877.760000000009</v>
      </c>
      <c r="M14" s="166">
        <f t="shared" si="2"/>
        <v>-0.15247826078267779</v>
      </c>
      <c r="N14" s="163">
        <f>'2021'!J14</f>
        <v>140632.47</v>
      </c>
      <c r="O14" s="163">
        <f>'2021'!J88</f>
        <v>161408.23875166406</v>
      </c>
      <c r="P14" s="164">
        <f t="shared" si="6"/>
        <v>-20775.768751664058</v>
      </c>
      <c r="Q14" s="166">
        <f t="shared" si="3"/>
        <v>-0.12871566477860397</v>
      </c>
      <c r="R14" s="163">
        <f>'2020'!J14</f>
        <v>48149.33</v>
      </c>
      <c r="S14" s="164">
        <f t="shared" si="4"/>
        <v>92483.14</v>
      </c>
      <c r="T14" s="166">
        <f t="shared" si="5"/>
        <v>1.9207565297377971</v>
      </c>
    </row>
    <row r="15" spans="1:20">
      <c r="A15" s="150">
        <v>7114</v>
      </c>
      <c r="B15" s="519" t="str">
        <f>+VLOOKUP($A15,Master!$D$29:$G$225,4,FALSE)</f>
        <v>Porez na dodatu vrijednost</v>
      </c>
      <c r="C15" s="520"/>
      <c r="D15" s="520"/>
      <c r="E15" s="520"/>
      <c r="F15" s="520"/>
      <c r="G15" s="163">
        <f>'2021'!S15</f>
        <v>171805579.81</v>
      </c>
      <c r="H15" s="163">
        <f>'2021'!S89</f>
        <v>169550920.77432829</v>
      </c>
      <c r="I15" s="164">
        <f t="shared" si="0"/>
        <v>2254659.035671711</v>
      </c>
      <c r="J15" s="166">
        <f t="shared" si="1"/>
        <v>1.3297828318329596E-2</v>
      </c>
      <c r="K15" s="163">
        <f>SUM('2020'!G15:J15)</f>
        <v>178413266.81</v>
      </c>
      <c r="L15" s="164">
        <f t="shared" si="7"/>
        <v>-6607687</v>
      </c>
      <c r="M15" s="166">
        <f t="shared" si="2"/>
        <v>-3.7035850069584875E-2</v>
      </c>
      <c r="N15" s="163">
        <f>'2021'!J15</f>
        <v>47233544.119999997</v>
      </c>
      <c r="O15" s="163">
        <f>'2021'!J89</f>
        <v>46352044.344607368</v>
      </c>
      <c r="P15" s="164">
        <f t="shared" si="6"/>
        <v>881499.77539262921</v>
      </c>
      <c r="Q15" s="166">
        <f t="shared" si="3"/>
        <v>1.9017495082612967E-2</v>
      </c>
      <c r="R15" s="163">
        <f>'2020'!J15</f>
        <v>35570662.579999998</v>
      </c>
      <c r="S15" s="164">
        <f t="shared" si="4"/>
        <v>11662881.539999999</v>
      </c>
      <c r="T15" s="166">
        <f t="shared" si="5"/>
        <v>0.32787923232438132</v>
      </c>
    </row>
    <row r="16" spans="1:20">
      <c r="A16" s="150">
        <v>7115</v>
      </c>
      <c r="B16" s="519" t="str">
        <f>+VLOOKUP($A16,Master!$D$29:$G$225,4,FALSE)</f>
        <v>Akcize</v>
      </c>
      <c r="C16" s="520"/>
      <c r="D16" s="520"/>
      <c r="E16" s="520"/>
      <c r="F16" s="520"/>
      <c r="G16" s="163">
        <f>'2021'!S16</f>
        <v>57939694.609999999</v>
      </c>
      <c r="H16" s="163">
        <f>'2021'!S90</f>
        <v>55372299.433471315</v>
      </c>
      <c r="I16" s="164">
        <f t="shared" si="0"/>
        <v>2567395.1765286848</v>
      </c>
      <c r="J16" s="166">
        <f t="shared" si="1"/>
        <v>4.6366056725048121E-2</v>
      </c>
      <c r="K16" s="163">
        <f>SUM('2020'!G16:J16)</f>
        <v>63110876.939999998</v>
      </c>
      <c r="L16" s="164">
        <f t="shared" si="7"/>
        <v>-5171182.3299999982</v>
      </c>
      <c r="M16" s="166">
        <f t="shared" si="2"/>
        <v>-8.1938052214300283E-2</v>
      </c>
      <c r="N16" s="163">
        <f>'2021'!J16</f>
        <v>15614369.880000001</v>
      </c>
      <c r="O16" s="163">
        <f>'2021'!J90</f>
        <v>15899578.502006164</v>
      </c>
      <c r="P16" s="164">
        <f t="shared" si="6"/>
        <v>-285208.622006163</v>
      </c>
      <c r="Q16" s="166">
        <f t="shared" si="3"/>
        <v>-1.7938124710046632E-2</v>
      </c>
      <c r="R16" s="163">
        <f>'2020'!J16</f>
        <v>14097368.300000001</v>
      </c>
      <c r="S16" s="164">
        <f t="shared" si="4"/>
        <v>1517001.58</v>
      </c>
      <c r="T16" s="166">
        <f t="shared" si="5"/>
        <v>0.10760884923464764</v>
      </c>
    </row>
    <row r="17" spans="1:20">
      <c r="A17" s="150">
        <v>7116</v>
      </c>
      <c r="B17" s="519" t="str">
        <f>+VLOOKUP($A17,Master!$D$29:$G$225,4,FALSE)</f>
        <v>Porez na međunarodnu trgovinu i transakcije</v>
      </c>
      <c r="C17" s="520"/>
      <c r="D17" s="520"/>
      <c r="E17" s="520"/>
      <c r="F17" s="520"/>
      <c r="G17" s="163">
        <f>'2021'!S17</f>
        <v>7175474.5800000001</v>
      </c>
      <c r="H17" s="163">
        <f>'2021'!S91</f>
        <v>7331531.1654932853</v>
      </c>
      <c r="I17" s="164">
        <f t="shared" si="0"/>
        <v>-156056.58549328521</v>
      </c>
      <c r="J17" s="166">
        <f t="shared" si="1"/>
        <v>-2.1285674434255109E-2</v>
      </c>
      <c r="K17" s="163">
        <f>SUM('2020'!G17:J17)</f>
        <v>7549019.7999999998</v>
      </c>
      <c r="L17" s="164">
        <f t="shared" si="7"/>
        <v>-373545.21999999974</v>
      </c>
      <c r="M17" s="166">
        <f t="shared" si="2"/>
        <v>-4.9482612298884177E-2</v>
      </c>
      <c r="N17" s="163">
        <f>'2021'!J17</f>
        <v>2120318.15</v>
      </c>
      <c r="O17" s="163">
        <f>'2021'!J91</f>
        <v>2199795.066844475</v>
      </c>
      <c r="P17" s="164">
        <f t="shared" si="6"/>
        <v>-79476.916844475083</v>
      </c>
      <c r="Q17" s="166">
        <f t="shared" si="3"/>
        <v>-3.6129236783170815E-2</v>
      </c>
      <c r="R17" s="163">
        <f>'2020'!J17</f>
        <v>1725304.75</v>
      </c>
      <c r="S17" s="164">
        <f t="shared" si="4"/>
        <v>395013.39999999991</v>
      </c>
      <c r="T17" s="166">
        <f t="shared" si="5"/>
        <v>0.22895282702954356</v>
      </c>
    </row>
    <row r="18" spans="1:20">
      <c r="A18" s="150">
        <v>7118</v>
      </c>
      <c r="B18" s="519" t="str">
        <f>+VLOOKUP($A18,Master!$D$29:$G$225,4,FALSE)</f>
        <v>Ostali državni porezi</v>
      </c>
      <c r="C18" s="520"/>
      <c r="D18" s="520"/>
      <c r="E18" s="520"/>
      <c r="F18" s="520"/>
      <c r="G18" s="163">
        <f>'2021'!S18</f>
        <v>3243181.6500000004</v>
      </c>
      <c r="H18" s="163">
        <f>'2021'!S92</f>
        <v>3257470.1127051101</v>
      </c>
      <c r="I18" s="164">
        <f t="shared" si="0"/>
        <v>-14288.462705109734</v>
      </c>
      <c r="J18" s="166">
        <f t="shared" si="1"/>
        <v>-4.3863680128269911E-3</v>
      </c>
      <c r="K18" s="163">
        <f>SUM('2020'!G18:J18)</f>
        <v>3075115.89</v>
      </c>
      <c r="L18" s="164">
        <f t="shared" si="7"/>
        <v>168065.76000000024</v>
      </c>
      <c r="M18" s="166">
        <f t="shared" si="2"/>
        <v>5.4653471937930798E-2</v>
      </c>
      <c r="N18" s="163">
        <f>'2021'!J18</f>
        <v>854477.55</v>
      </c>
      <c r="O18" s="163">
        <f>'2021'!J92</f>
        <v>929550.48419512867</v>
      </c>
      <c r="P18" s="164">
        <f t="shared" si="6"/>
        <v>-75072.934195128619</v>
      </c>
      <c r="Q18" s="166">
        <f t="shared" si="3"/>
        <v>-8.076262179577276E-2</v>
      </c>
      <c r="R18" s="163">
        <f>'2020'!J18</f>
        <v>718572.64</v>
      </c>
      <c r="S18" s="164">
        <f t="shared" si="4"/>
        <v>135904.91000000003</v>
      </c>
      <c r="T18" s="166">
        <f t="shared" si="5"/>
        <v>0.18913176265659093</v>
      </c>
    </row>
    <row r="19" spans="1:20">
      <c r="A19" s="150">
        <v>712</v>
      </c>
      <c r="B19" s="521" t="str">
        <f>+VLOOKUP($A19,Master!$D$29:$G$225,4,FALSE)</f>
        <v>Doprinosi</v>
      </c>
      <c r="C19" s="522"/>
      <c r="D19" s="522"/>
      <c r="E19" s="522"/>
      <c r="F19" s="522"/>
      <c r="G19" s="169">
        <f>'2021'!S19</f>
        <v>143788136.77000001</v>
      </c>
      <c r="H19" s="169">
        <f>'2021'!S93</f>
        <v>151555782.92127171</v>
      </c>
      <c r="I19" s="170">
        <f t="shared" si="0"/>
        <v>-7767646.1512717009</v>
      </c>
      <c r="J19" s="172">
        <f t="shared" si="1"/>
        <v>-5.1252720295778764E-2</v>
      </c>
      <c r="K19" s="169">
        <f>SUM('2020'!G19:J19)</f>
        <v>137095415.18000001</v>
      </c>
      <c r="L19" s="170">
        <f t="shared" si="7"/>
        <v>6692721.5900000036</v>
      </c>
      <c r="M19" s="172">
        <f t="shared" si="2"/>
        <v>4.8817982579598018E-2</v>
      </c>
      <c r="N19" s="169">
        <f>'2021'!J19</f>
        <v>43139138.690000005</v>
      </c>
      <c r="O19" s="169">
        <f>'2021'!J93</f>
        <v>53337844.267353572</v>
      </c>
      <c r="P19" s="170">
        <f t="shared" si="6"/>
        <v>-10198705.577353567</v>
      </c>
      <c r="Q19" s="172">
        <f t="shared" si="3"/>
        <v>-0.19120955706857989</v>
      </c>
      <c r="R19" s="169">
        <f>'2020'!J19</f>
        <v>33882602.5</v>
      </c>
      <c r="S19" s="170">
        <f t="shared" si="4"/>
        <v>9256536.1900000051</v>
      </c>
      <c r="T19" s="172">
        <f t="shared" si="5"/>
        <v>0.27319436840779887</v>
      </c>
    </row>
    <row r="20" spans="1:20">
      <c r="A20" s="150">
        <v>7121</v>
      </c>
      <c r="B20" s="519" t="str">
        <f>+VLOOKUP($A20,Master!$D$29:$G$225,4,FALSE)</f>
        <v>Doprinosi za penzijsko i invalidsko osiguranje</v>
      </c>
      <c r="C20" s="520"/>
      <c r="D20" s="520"/>
      <c r="E20" s="520"/>
      <c r="F20" s="520"/>
      <c r="G20" s="163">
        <f>'2021'!S20</f>
        <v>88440862.120000005</v>
      </c>
      <c r="H20" s="163">
        <f>'2021'!S94</f>
        <v>92020888.314715877</v>
      </c>
      <c r="I20" s="164">
        <f t="shared" si="0"/>
        <v>-3580026.1947158724</v>
      </c>
      <c r="J20" s="166">
        <f t="shared" si="1"/>
        <v>-3.8904495058469823E-2</v>
      </c>
      <c r="K20" s="163">
        <f>SUM('2020'!G20:J20)</f>
        <v>85965695.030000001</v>
      </c>
      <c r="L20" s="164">
        <f t="shared" si="7"/>
        <v>2475167.0900000036</v>
      </c>
      <c r="M20" s="166">
        <f t="shared" si="2"/>
        <v>2.8792497857851762E-2</v>
      </c>
      <c r="N20" s="163">
        <f>'2021'!J20</f>
        <v>25833212.48</v>
      </c>
      <c r="O20" s="163">
        <f>'2021'!J94</f>
        <v>32519760.595343132</v>
      </c>
      <c r="P20" s="164">
        <f t="shared" si="6"/>
        <v>-6686548.1153431311</v>
      </c>
      <c r="Q20" s="166">
        <f t="shared" si="3"/>
        <v>-0.20561492437003526</v>
      </c>
      <c r="R20" s="163">
        <f>'2020'!J20</f>
        <v>21078780.449999999</v>
      </c>
      <c r="S20" s="164">
        <f t="shared" si="4"/>
        <v>4754432.0300000012</v>
      </c>
      <c r="T20" s="166">
        <f t="shared" si="5"/>
        <v>0.22555536556195799</v>
      </c>
    </row>
    <row r="21" spans="1:20">
      <c r="A21" s="150">
        <v>7122</v>
      </c>
      <c r="B21" s="519" t="str">
        <f>+VLOOKUP($A21,Master!$D$29:$G$225,4,FALSE)</f>
        <v>Doprinosi za zdravstveno osiguranje</v>
      </c>
      <c r="C21" s="520"/>
      <c r="D21" s="520"/>
      <c r="E21" s="520"/>
      <c r="F21" s="520"/>
      <c r="G21" s="163">
        <f>'2021'!S21</f>
        <v>47576082.960000001</v>
      </c>
      <c r="H21" s="163">
        <f>'2021'!S95</f>
        <v>50968513.329562128</v>
      </c>
      <c r="I21" s="164">
        <f t="shared" si="0"/>
        <v>-3392430.3695621267</v>
      </c>
      <c r="J21" s="166">
        <f t="shared" si="1"/>
        <v>-6.6559335321921043E-2</v>
      </c>
      <c r="K21" s="163">
        <f>SUM('2020'!G21:J21)</f>
        <v>43585516.32</v>
      </c>
      <c r="L21" s="164">
        <f t="shared" si="7"/>
        <v>3990566.6400000006</v>
      </c>
      <c r="M21" s="166">
        <f t="shared" si="2"/>
        <v>9.1557172586913982E-2</v>
      </c>
      <c r="N21" s="163">
        <f>'2021'!J21</f>
        <v>15012464.390000001</v>
      </c>
      <c r="O21" s="163">
        <f>'2021'!J95</f>
        <v>17844373.876312416</v>
      </c>
      <c r="P21" s="164">
        <f t="shared" si="6"/>
        <v>-2831909.4863124155</v>
      </c>
      <c r="Q21" s="166">
        <f t="shared" si="3"/>
        <v>-0.15870041201454788</v>
      </c>
      <c r="R21" s="163">
        <f>'2020'!J21</f>
        <v>10884138.67</v>
      </c>
      <c r="S21" s="164">
        <f t="shared" si="4"/>
        <v>4128325.7200000007</v>
      </c>
      <c r="T21" s="166">
        <f t="shared" si="5"/>
        <v>0.37929742032586589</v>
      </c>
    </row>
    <row r="22" spans="1:20">
      <c r="A22" s="150">
        <v>7123</v>
      </c>
      <c r="B22" s="519" t="str">
        <f>+VLOOKUP($A22,Master!$D$29:$G$225,4,FALSE)</f>
        <v>Doprinosi za osiguranje od nezaposlenosti</v>
      </c>
      <c r="C22" s="520"/>
      <c r="D22" s="520"/>
      <c r="E22" s="520"/>
      <c r="F22" s="520"/>
      <c r="G22" s="163">
        <f>'2021'!S22</f>
        <v>4307119.62</v>
      </c>
      <c r="H22" s="163">
        <f>'2021'!S96</f>
        <v>4528978.8718346935</v>
      </c>
      <c r="I22" s="164">
        <f t="shared" si="0"/>
        <v>-221859.25183469336</v>
      </c>
      <c r="J22" s="166">
        <f t="shared" si="1"/>
        <v>-4.8986594575306075E-2</v>
      </c>
      <c r="K22" s="163">
        <f>SUM('2020'!G22:J22)</f>
        <v>4160669.5900000003</v>
      </c>
      <c r="L22" s="164">
        <f t="shared" si="7"/>
        <v>146450.0299999998</v>
      </c>
      <c r="M22" s="166">
        <f t="shared" si="2"/>
        <v>3.5198668587379967E-2</v>
      </c>
      <c r="N22" s="163">
        <f>'2021'!J22</f>
        <v>1275582.3600000001</v>
      </c>
      <c r="O22" s="163">
        <f>'2021'!J96</f>
        <v>1573709.7621291145</v>
      </c>
      <c r="P22" s="164">
        <f t="shared" si="6"/>
        <v>-298127.40212911437</v>
      </c>
      <c r="Q22" s="166">
        <f t="shared" si="3"/>
        <v>-0.18944243042997311</v>
      </c>
      <c r="R22" s="163">
        <f>'2020'!J22</f>
        <v>1042509.86</v>
      </c>
      <c r="S22" s="164">
        <f t="shared" si="4"/>
        <v>233072.50000000012</v>
      </c>
      <c r="T22" s="166">
        <f t="shared" si="5"/>
        <v>0.22356862888567797</v>
      </c>
    </row>
    <row r="23" spans="1:20">
      <c r="A23" s="150">
        <v>7124</v>
      </c>
      <c r="B23" s="519" t="str">
        <f>+VLOOKUP($A23,Master!$D$29:$G$225,4,FALSE)</f>
        <v>Ostali doprinosi</v>
      </c>
      <c r="C23" s="520"/>
      <c r="D23" s="520"/>
      <c r="E23" s="520"/>
      <c r="F23" s="520"/>
      <c r="G23" s="163">
        <f>'2021'!S23</f>
        <v>3464072.0700000003</v>
      </c>
      <c r="H23" s="163">
        <f>'2021'!S97</f>
        <v>4037402.4051590292</v>
      </c>
      <c r="I23" s="164">
        <f t="shared" si="0"/>
        <v>-573330.33515902888</v>
      </c>
      <c r="J23" s="166">
        <f t="shared" si="1"/>
        <v>-0.14200475395428069</v>
      </c>
      <c r="K23" s="163">
        <f>SUM('2020'!G23:J23)</f>
        <v>3383534.24</v>
      </c>
      <c r="L23" s="164">
        <f t="shared" si="7"/>
        <v>80537.830000000075</v>
      </c>
      <c r="M23" s="166">
        <f t="shared" si="2"/>
        <v>2.3802871284080762E-2</v>
      </c>
      <c r="N23" s="163">
        <f>'2021'!J23</f>
        <v>1017879.46</v>
      </c>
      <c r="O23" s="163">
        <f>'2021'!J97</f>
        <v>1400000.0335689133</v>
      </c>
      <c r="P23" s="164">
        <f t="shared" si="6"/>
        <v>-382120.57356891339</v>
      </c>
      <c r="Q23" s="166">
        <f t="shared" si="3"/>
        <v>-0.27294326029036053</v>
      </c>
      <c r="R23" s="163">
        <f>'2020'!J23</f>
        <v>877173.52</v>
      </c>
      <c r="S23" s="164">
        <f t="shared" si="4"/>
        <v>140705.93999999994</v>
      </c>
      <c r="T23" s="166">
        <f t="shared" si="5"/>
        <v>0.16040833061171278</v>
      </c>
    </row>
    <row r="24" spans="1:20">
      <c r="A24" s="150">
        <v>713</v>
      </c>
      <c r="B24" s="521" t="str">
        <f>+VLOOKUP($A24,Master!$D$29:$G$225,4,FALSE)</f>
        <v>Takse</v>
      </c>
      <c r="C24" s="522"/>
      <c r="D24" s="522"/>
      <c r="E24" s="522"/>
      <c r="F24" s="522"/>
      <c r="G24" s="175">
        <f>'2021'!S24</f>
        <v>2871308.4700000007</v>
      </c>
      <c r="H24" s="175">
        <f>'2021'!S98</f>
        <v>3596233.8790861866</v>
      </c>
      <c r="I24" s="176">
        <f t="shared" si="0"/>
        <v>-724925.40908618597</v>
      </c>
      <c r="J24" s="178">
        <f t="shared" si="1"/>
        <v>-0.20157905004509646</v>
      </c>
      <c r="K24" s="175">
        <f>SUM('2020'!G24:J24)</f>
        <v>2691910.92</v>
      </c>
      <c r="L24" s="176">
        <f t="shared" si="7"/>
        <v>179397.55000000075</v>
      </c>
      <c r="M24" s="178">
        <f t="shared" si="2"/>
        <v>6.6643197093609885E-2</v>
      </c>
      <c r="N24" s="175">
        <f>'2021'!J24</f>
        <v>708969.28</v>
      </c>
      <c r="O24" s="175">
        <f>'2021'!J98</f>
        <v>1053757.2393967151</v>
      </c>
      <c r="P24" s="176">
        <f t="shared" si="6"/>
        <v>-344787.95939671504</v>
      </c>
      <c r="Q24" s="178">
        <f t="shared" si="3"/>
        <v>-0.32719866256302932</v>
      </c>
      <c r="R24" s="175">
        <f>'2020'!J24</f>
        <v>318936.3</v>
      </c>
      <c r="S24" s="176">
        <f t="shared" si="4"/>
        <v>390032.98000000004</v>
      </c>
      <c r="T24" s="178">
        <f t="shared" si="5"/>
        <v>1.222918118759138</v>
      </c>
    </row>
    <row r="25" spans="1:20">
      <c r="A25" s="150">
        <v>714</v>
      </c>
      <c r="B25" s="521" t="str">
        <f>+VLOOKUP($A25,Master!$D$29:$G$225,4,FALSE)</f>
        <v>Naknade</v>
      </c>
      <c r="C25" s="522"/>
      <c r="D25" s="522"/>
      <c r="E25" s="522"/>
      <c r="F25" s="522"/>
      <c r="G25" s="175">
        <f>'2021'!S25</f>
        <v>11165523.75</v>
      </c>
      <c r="H25" s="175">
        <f>'2021'!S99</f>
        <v>9956417.3125786446</v>
      </c>
      <c r="I25" s="176">
        <f t="shared" si="0"/>
        <v>1209106.4374213554</v>
      </c>
      <c r="J25" s="178">
        <f t="shared" si="1"/>
        <v>0.1214399115125282</v>
      </c>
      <c r="K25" s="175">
        <f>SUM('2020'!G25:J25)</f>
        <v>7343160.9900000002</v>
      </c>
      <c r="L25" s="176">
        <f t="shared" si="7"/>
        <v>3822362.76</v>
      </c>
      <c r="M25" s="178">
        <f t="shared" si="2"/>
        <v>0.5205337000244632</v>
      </c>
      <c r="N25" s="175">
        <f>'2021'!J25</f>
        <v>3519204.05</v>
      </c>
      <c r="O25" s="175">
        <f>'2021'!J99</f>
        <v>3755352.2133842111</v>
      </c>
      <c r="P25" s="176">
        <f t="shared" si="6"/>
        <v>-236148.16338421125</v>
      </c>
      <c r="Q25" s="178">
        <f t="shared" si="3"/>
        <v>-6.28830932402481E-2</v>
      </c>
      <c r="R25" s="175">
        <f>'2020'!J25</f>
        <v>1597851.3599999999</v>
      </c>
      <c r="S25" s="176">
        <f t="shared" si="4"/>
        <v>1921352.69</v>
      </c>
      <c r="T25" s="178">
        <f t="shared" si="5"/>
        <v>1.2024602150728212</v>
      </c>
    </row>
    <row r="26" spans="1:20">
      <c r="A26" s="150">
        <v>715</v>
      </c>
      <c r="B26" s="521" t="str">
        <f>+VLOOKUP($A26,Master!$D$29:$G$225,4,FALSE)</f>
        <v>Ostali prihodi</v>
      </c>
      <c r="C26" s="522"/>
      <c r="D26" s="522"/>
      <c r="E26" s="522"/>
      <c r="F26" s="522"/>
      <c r="G26" s="175">
        <f>'2021'!S26</f>
        <v>6371885.5300000012</v>
      </c>
      <c r="H26" s="175">
        <f>'2021'!S100</f>
        <v>7598946.9539259644</v>
      </c>
      <c r="I26" s="176">
        <f t="shared" si="0"/>
        <v>-1227061.4239259632</v>
      </c>
      <c r="J26" s="178">
        <f t="shared" si="1"/>
        <v>-0.16147782467306304</v>
      </c>
      <c r="K26" s="175">
        <f>SUM('2020'!G26:J26)</f>
        <v>9920729.709999999</v>
      </c>
      <c r="L26" s="176">
        <f t="shared" si="7"/>
        <v>-3548844.1799999978</v>
      </c>
      <c r="M26" s="178">
        <f t="shared" si="2"/>
        <v>-0.35772007541167028</v>
      </c>
      <c r="N26" s="175">
        <f>'2021'!J26</f>
        <v>1359110.1400000001</v>
      </c>
      <c r="O26" s="175">
        <f>'2021'!J100</f>
        <v>2049931.2276301766</v>
      </c>
      <c r="P26" s="176">
        <f t="shared" si="6"/>
        <v>-690821.08763017645</v>
      </c>
      <c r="Q26" s="178">
        <f t="shared" si="3"/>
        <v>-0.33699720181774118</v>
      </c>
      <c r="R26" s="175">
        <f>'2020'!J26</f>
        <v>2093585.81</v>
      </c>
      <c r="S26" s="176">
        <f t="shared" si="4"/>
        <v>-734475.66999999993</v>
      </c>
      <c r="T26" s="178">
        <f t="shared" si="5"/>
        <v>-0.35082186098691603</v>
      </c>
    </row>
    <row r="27" spans="1:20">
      <c r="A27" s="150">
        <v>73</v>
      </c>
      <c r="B27" s="521" t="str">
        <f>+VLOOKUP($A27,Master!$D$29:$G$225,4,FALSE)</f>
        <v>Primici od otplate kredita i sredstva prenesena iz prethodne godine</v>
      </c>
      <c r="C27" s="522"/>
      <c r="D27" s="522"/>
      <c r="E27" s="522"/>
      <c r="F27" s="522"/>
      <c r="G27" s="175">
        <f>'2021'!S27</f>
        <v>1759110.54</v>
      </c>
      <c r="H27" s="175">
        <f>'2021'!S101</f>
        <v>1098257.770399641</v>
      </c>
      <c r="I27" s="176">
        <f t="shared" si="0"/>
        <v>660852.76960035902</v>
      </c>
      <c r="J27" s="178">
        <f t="shared" si="1"/>
        <v>0.60172828948879986</v>
      </c>
      <c r="K27" s="175">
        <f>SUM('2020'!G27:J27)</f>
        <v>2250148.52</v>
      </c>
      <c r="L27" s="176">
        <f t="shared" si="7"/>
        <v>-491037.98</v>
      </c>
      <c r="M27" s="178">
        <f t="shared" si="2"/>
        <v>-0.21822469745241524</v>
      </c>
      <c r="N27" s="175">
        <f>'2021'!J27</f>
        <v>178904.78</v>
      </c>
      <c r="O27" s="175">
        <f>'2021'!J101</f>
        <v>397349.62562652194</v>
      </c>
      <c r="P27" s="176">
        <f t="shared" si="6"/>
        <v>-218444.84562652194</v>
      </c>
      <c r="Q27" s="178">
        <f t="shared" si="3"/>
        <v>-0.54975475384452299</v>
      </c>
      <c r="R27" s="175">
        <f>'2020'!J27</f>
        <v>561040.23</v>
      </c>
      <c r="S27" s="176">
        <f t="shared" si="4"/>
        <v>-382135.44999999995</v>
      </c>
      <c r="T27" s="178">
        <f t="shared" si="5"/>
        <v>-0.68111951615305732</v>
      </c>
    </row>
    <row r="28" spans="1:20" ht="15.75" thickBot="1">
      <c r="A28" s="150">
        <v>74</v>
      </c>
      <c r="B28" s="523" t="str">
        <f>+VLOOKUP($A28,Master!$D$29:$G$225,4,FALSE)</f>
        <v>Donacije i transferi</v>
      </c>
      <c r="C28" s="524"/>
      <c r="D28" s="524"/>
      <c r="E28" s="524"/>
      <c r="F28" s="524"/>
      <c r="G28" s="175">
        <f>'2021'!S28</f>
        <v>4612896.3900000006</v>
      </c>
      <c r="H28" s="175">
        <f>'2021'!S102</f>
        <v>9498291.2279306129</v>
      </c>
      <c r="I28" s="176">
        <f t="shared" si="0"/>
        <v>-4885394.8379306123</v>
      </c>
      <c r="J28" s="178">
        <f t="shared" si="1"/>
        <v>-0.51434460374984625</v>
      </c>
      <c r="K28" s="175">
        <f>SUM('2020'!G28:J28)</f>
        <v>8860108.8900000006</v>
      </c>
      <c r="L28" s="176">
        <f t="shared" si="7"/>
        <v>-4247212.5</v>
      </c>
      <c r="M28" s="178">
        <f t="shared" si="2"/>
        <v>-0.47936346524969176</v>
      </c>
      <c r="N28" s="175">
        <f>'2021'!J28</f>
        <v>1551438.49</v>
      </c>
      <c r="O28" s="175">
        <f>'2021'!J102</f>
        <v>1863945.6555469395</v>
      </c>
      <c r="P28" s="176">
        <f t="shared" si="6"/>
        <v>-312507.16554693948</v>
      </c>
      <c r="Q28" s="178">
        <f t="shared" si="3"/>
        <v>-0.16765894682441274</v>
      </c>
      <c r="R28" s="175">
        <f>'2020'!J28</f>
        <v>2957605.59</v>
      </c>
      <c r="S28" s="176">
        <f t="shared" si="4"/>
        <v>-1406167.0999999999</v>
      </c>
      <c r="T28" s="178">
        <f t="shared" si="5"/>
        <v>-0.47544104756713013</v>
      </c>
    </row>
    <row r="29" spans="1:20" ht="15.75" thickBot="1">
      <c r="A29" s="150">
        <v>4</v>
      </c>
      <c r="B29" s="509" t="str">
        <f>+VLOOKUP($A29,Master!$D$29:$G$225,4,FALSE)</f>
        <v>Izdaci budžeta</v>
      </c>
      <c r="C29" s="510"/>
      <c r="D29" s="510"/>
      <c r="E29" s="510"/>
      <c r="F29" s="510"/>
      <c r="G29" s="151">
        <f>'2021'!S29</f>
        <v>633866832.61000001</v>
      </c>
      <c r="H29" s="151">
        <f>'2021'!S103</f>
        <v>694185708.12680006</v>
      </c>
      <c r="I29" s="152">
        <f t="shared" si="0"/>
        <v>-60318875.516800046</v>
      </c>
      <c r="J29" s="154">
        <f t="shared" si="1"/>
        <v>-8.6891554825531236E-2</v>
      </c>
      <c r="K29" s="151">
        <f>SUM('2020'!G29:J29)</f>
        <v>622929979.96600008</v>
      </c>
      <c r="L29" s="152">
        <f t="shared" si="7"/>
        <v>10936852.643999934</v>
      </c>
      <c r="M29" s="154">
        <f t="shared" si="2"/>
        <v>1.7557113954600245E-2</v>
      </c>
      <c r="N29" s="151">
        <f>'2021'!J29</f>
        <v>182022620.97999999</v>
      </c>
      <c r="O29" s="151">
        <f>'2021'!J103</f>
        <v>164798207.99250004</v>
      </c>
      <c r="P29" s="152">
        <f t="shared" si="6"/>
        <v>17224412.987499952</v>
      </c>
      <c r="Q29" s="154">
        <f t="shared" si="3"/>
        <v>0.10451820561230751</v>
      </c>
      <c r="R29" s="151">
        <f>'2020'!J29</f>
        <v>170397112.164</v>
      </c>
      <c r="S29" s="152">
        <f t="shared" si="4"/>
        <v>11625508.815999985</v>
      </c>
      <c r="T29" s="154">
        <f t="shared" si="5"/>
        <v>6.8225973247779681E-2</v>
      </c>
    </row>
    <row r="30" spans="1:20">
      <c r="A30" s="150">
        <v>41</v>
      </c>
      <c r="B30" s="527" t="str">
        <f>+VLOOKUP($A30,Master!$D$29:$G$225,4,FALSE)</f>
        <v>Tekući izdaci</v>
      </c>
      <c r="C30" s="528"/>
      <c r="D30" s="528"/>
      <c r="E30" s="528"/>
      <c r="F30" s="528"/>
      <c r="G30" s="313">
        <f>'2021'!S30</f>
        <v>279616445.75</v>
      </c>
      <c r="H30" s="313">
        <f>'2021'!S104</f>
        <v>305611607.15340006</v>
      </c>
      <c r="I30" s="188">
        <f t="shared" si="0"/>
        <v>-25995161.403400064</v>
      </c>
      <c r="J30" s="190">
        <f t="shared" si="1"/>
        <v>-8.5059470239138957E-2</v>
      </c>
      <c r="K30" s="313">
        <f>SUM('2020'!G30:J30)</f>
        <v>285617481.57999998</v>
      </c>
      <c r="L30" s="188">
        <f t="shared" si="7"/>
        <v>-6001035.8299999833</v>
      </c>
      <c r="M30" s="190">
        <f t="shared" si="2"/>
        <v>-2.1010744149143168E-2</v>
      </c>
      <c r="N30" s="313">
        <f>'2021'!J30</f>
        <v>90501387.170000002</v>
      </c>
      <c r="O30" s="313">
        <f>'2021'!J104</f>
        <v>87907377.136600032</v>
      </c>
      <c r="P30" s="188">
        <f t="shared" si="6"/>
        <v>2594010.0333999693</v>
      </c>
      <c r="Q30" s="190">
        <f t="shared" si="3"/>
        <v>2.9508445342068645E-2</v>
      </c>
      <c r="R30" s="313">
        <f>'2020'!J30</f>
        <v>84501906.049999997</v>
      </c>
      <c r="S30" s="188">
        <f t="shared" si="4"/>
        <v>5999481.1200000048</v>
      </c>
      <c r="T30" s="190">
        <f t="shared" si="5"/>
        <v>7.0998175076075754E-2</v>
      </c>
    </row>
    <row r="31" spans="1:20">
      <c r="A31" s="150">
        <v>411</v>
      </c>
      <c r="B31" s="519" t="str">
        <f>+VLOOKUP($A31,Master!$D$29:$G$225,4,FALSE)</f>
        <v>Bruto zarade i doprinosi na teret poslodavca</v>
      </c>
      <c r="C31" s="520"/>
      <c r="D31" s="520"/>
      <c r="E31" s="520"/>
      <c r="F31" s="520"/>
      <c r="G31" s="163">
        <f>'2021'!S31</f>
        <v>180681888.81</v>
      </c>
      <c r="H31" s="163">
        <f>'2021'!S105</f>
        <v>179823463.34920001</v>
      </c>
      <c r="I31" s="164">
        <f t="shared" si="0"/>
        <v>858425.46079999208</v>
      </c>
      <c r="J31" s="166">
        <f t="shared" si="1"/>
        <v>4.7737121997979415E-3</v>
      </c>
      <c r="K31" s="163">
        <f>SUM('2020'!G31:J31)</f>
        <v>165437534.81999999</v>
      </c>
      <c r="L31" s="164">
        <f t="shared" si="7"/>
        <v>15244353.99000001</v>
      </c>
      <c r="M31" s="166">
        <f t="shared" si="2"/>
        <v>9.2145679072081377E-2</v>
      </c>
      <c r="N31" s="163">
        <f>'2021'!J31</f>
        <v>46104548.219999999</v>
      </c>
      <c r="O31" s="163">
        <f>'2021'!J105</f>
        <v>46000000</v>
      </c>
      <c r="P31" s="164">
        <f>+N31-O31</f>
        <v>104548.21999999881</v>
      </c>
      <c r="Q31" s="166">
        <f>IF(+IF(ISERROR(N31/O31),"…",N31/O31-1)&gt;200%,"...",IF(ISERROR(N31/O31),"…",N31/O31-1))</f>
        <v>2.2727873913044316E-3</v>
      </c>
      <c r="R31" s="163">
        <f>'2020'!J31</f>
        <v>41745440.189999998</v>
      </c>
      <c r="S31" s="164">
        <f t="shared" si="4"/>
        <v>4359108.0300000012</v>
      </c>
      <c r="T31" s="166">
        <f t="shared" si="5"/>
        <v>0.1044211777420474</v>
      </c>
    </row>
    <row r="32" spans="1:20">
      <c r="A32" s="150">
        <v>412</v>
      </c>
      <c r="B32" s="519" t="str">
        <f>+VLOOKUP($A32,Master!$D$29:$G$225,4,FALSE)</f>
        <v>Ostala lična primanja</v>
      </c>
      <c r="C32" s="520"/>
      <c r="D32" s="520"/>
      <c r="E32" s="520"/>
      <c r="F32" s="520"/>
      <c r="G32" s="163">
        <f>'2021'!S32</f>
        <v>2956401.82</v>
      </c>
      <c r="H32" s="163">
        <f>'2021'!S106</f>
        <v>4169457.7691999981</v>
      </c>
      <c r="I32" s="164">
        <f t="shared" si="0"/>
        <v>-1213055.9491999983</v>
      </c>
      <c r="J32" s="166">
        <f t="shared" si="1"/>
        <v>-0.29093853837803707</v>
      </c>
      <c r="K32" s="163">
        <f>SUM('2020'!G32:J32)</f>
        <v>3320244.2199999997</v>
      </c>
      <c r="L32" s="164">
        <f t="shared" si="7"/>
        <v>-363842.39999999991</v>
      </c>
      <c r="M32" s="166">
        <f t="shared" si="2"/>
        <v>-0.10958302338374371</v>
      </c>
      <c r="N32" s="163">
        <f>'2021'!J32</f>
        <v>1093748.1599999999</v>
      </c>
      <c r="O32" s="163">
        <f>'2021'!J106</f>
        <v>1071520.2789999989</v>
      </c>
      <c r="P32" s="164">
        <f t="shared" si="6"/>
        <v>22227.881000000983</v>
      </c>
      <c r="Q32" s="166">
        <f t="shared" si="3"/>
        <v>2.0744246689148316E-2</v>
      </c>
      <c r="R32" s="163">
        <f>'2020'!J32</f>
        <v>652598.81999999995</v>
      </c>
      <c r="S32" s="164">
        <f t="shared" si="4"/>
        <v>441149.33999999997</v>
      </c>
      <c r="T32" s="166">
        <f t="shared" si="5"/>
        <v>0.67598856522602957</v>
      </c>
    </row>
    <row r="33" spans="1:20">
      <c r="A33" s="150">
        <v>413</v>
      </c>
      <c r="B33" s="519" t="str">
        <f>+VLOOKUP($A33,Master!$D$29:$G$225,4,FALSE)</f>
        <v>Rashodi za materijal</v>
      </c>
      <c r="C33" s="520"/>
      <c r="D33" s="520"/>
      <c r="E33" s="520"/>
      <c r="F33" s="520"/>
      <c r="G33" s="163">
        <f>'2021'!S33</f>
        <v>7402399.96</v>
      </c>
      <c r="H33" s="163">
        <f>'2021'!S107</f>
        <v>10611604.708099997</v>
      </c>
      <c r="I33" s="164">
        <f t="shared" si="0"/>
        <v>-3209204.7480999967</v>
      </c>
      <c r="J33" s="166">
        <f t="shared" si="1"/>
        <v>-0.30242407594115928</v>
      </c>
      <c r="K33" s="163">
        <f>SUM('2020'!G33:J33)</f>
        <v>10512334.850000001</v>
      </c>
      <c r="L33" s="164">
        <f t="shared" si="7"/>
        <v>-3109934.8900000015</v>
      </c>
      <c r="M33" s="166">
        <f t="shared" si="2"/>
        <v>-0.29583674173012109</v>
      </c>
      <c r="N33" s="163">
        <f>'2021'!J33</f>
        <v>2297097.17</v>
      </c>
      <c r="O33" s="163">
        <f>'2021'!J107</f>
        <v>2142026.3062</v>
      </c>
      <c r="P33" s="164">
        <f t="shared" si="6"/>
        <v>155070.86379999993</v>
      </c>
      <c r="Q33" s="166">
        <f t="shared" si="3"/>
        <v>7.2394472164582835E-2</v>
      </c>
      <c r="R33" s="163">
        <f>'2020'!J33</f>
        <v>2981687.21</v>
      </c>
      <c r="S33" s="164">
        <f t="shared" si="4"/>
        <v>-684590.04</v>
      </c>
      <c r="T33" s="166">
        <f t="shared" si="5"/>
        <v>-0.22959820792201746</v>
      </c>
    </row>
    <row r="34" spans="1:20">
      <c r="A34" s="150">
        <v>414</v>
      </c>
      <c r="B34" s="519" t="str">
        <f>+VLOOKUP($A34,Master!$D$29:$G$225,4,FALSE)</f>
        <v>Rashodi za usluge</v>
      </c>
      <c r="C34" s="520"/>
      <c r="D34" s="520"/>
      <c r="E34" s="520"/>
      <c r="F34" s="520"/>
      <c r="G34" s="163">
        <f>'2021'!S34</f>
        <v>13188036.49</v>
      </c>
      <c r="H34" s="163">
        <f>'2021'!S108</f>
        <v>24879725.0374</v>
      </c>
      <c r="I34" s="164">
        <f t="shared" si="0"/>
        <v>-11691688.5474</v>
      </c>
      <c r="J34" s="166">
        <f t="shared" si="1"/>
        <v>-0.46992836656452908</v>
      </c>
      <c r="K34" s="163">
        <f>SUM('2020'!G34:J34)</f>
        <v>17115968.530000001</v>
      </c>
      <c r="L34" s="164">
        <f t="shared" si="7"/>
        <v>-3927932.040000001</v>
      </c>
      <c r="M34" s="166">
        <f t="shared" si="2"/>
        <v>-0.22948932355860086</v>
      </c>
      <c r="N34" s="163">
        <f>'2021'!J34</f>
        <v>6158096.0800000001</v>
      </c>
      <c r="O34" s="163">
        <f>'2021'!J108</f>
        <v>3801732.5582999997</v>
      </c>
      <c r="P34" s="164">
        <f t="shared" si="6"/>
        <v>2356363.5217000004</v>
      </c>
      <c r="Q34" s="166">
        <f t="shared" si="3"/>
        <v>0.61981306826950577</v>
      </c>
      <c r="R34" s="163">
        <f>'2020'!J34</f>
        <v>3724252.93</v>
      </c>
      <c r="S34" s="164">
        <f t="shared" si="4"/>
        <v>2433843.15</v>
      </c>
      <c r="T34" s="166">
        <f t="shared" si="5"/>
        <v>0.65351177692434548</v>
      </c>
    </row>
    <row r="35" spans="1:20">
      <c r="A35" s="150">
        <v>415</v>
      </c>
      <c r="B35" s="519" t="str">
        <f>+VLOOKUP($A35,Master!$D$29:$G$225,4,FALSE)</f>
        <v>Rashodi za tekuće održavanje</v>
      </c>
      <c r="C35" s="520"/>
      <c r="D35" s="520"/>
      <c r="E35" s="520"/>
      <c r="F35" s="520"/>
      <c r="G35" s="163">
        <f>'2021'!S35</f>
        <v>5229515.1500000004</v>
      </c>
      <c r="H35" s="163">
        <f>'2021'!S109</f>
        <v>6734928.8579000002</v>
      </c>
      <c r="I35" s="164">
        <f t="shared" si="0"/>
        <v>-1505413.7078999998</v>
      </c>
      <c r="J35" s="166">
        <f t="shared" si="1"/>
        <v>-0.22352332736732106</v>
      </c>
      <c r="K35" s="163">
        <f>SUM('2020'!G35:J35)</f>
        <v>6173209.7400000002</v>
      </c>
      <c r="L35" s="164">
        <f t="shared" si="7"/>
        <v>-943694.58999999985</v>
      </c>
      <c r="M35" s="166">
        <f t="shared" si="2"/>
        <v>-0.15286935480018204</v>
      </c>
      <c r="N35" s="163">
        <f>'2021'!J35</f>
        <v>1685830.78</v>
      </c>
      <c r="O35" s="163">
        <f>'2021'!J109</f>
        <v>1835083.2786999997</v>
      </c>
      <c r="P35" s="164">
        <f t="shared" si="6"/>
        <v>-149252.49869999965</v>
      </c>
      <c r="Q35" s="166">
        <f t="shared" si="3"/>
        <v>-8.1332820386076587E-2</v>
      </c>
      <c r="R35" s="163">
        <f>'2020'!J35</f>
        <v>2799383.59</v>
      </c>
      <c r="S35" s="164">
        <f t="shared" si="4"/>
        <v>-1113552.8099999998</v>
      </c>
      <c r="T35" s="166">
        <f t="shared" si="5"/>
        <v>-0.39778500309062681</v>
      </c>
    </row>
    <row r="36" spans="1:20">
      <c r="A36" s="150">
        <v>416</v>
      </c>
      <c r="B36" s="519" t="str">
        <f>+VLOOKUP($A36,Master!$D$29:$G$225,4,FALSE)</f>
        <v>Kamate</v>
      </c>
      <c r="C36" s="520"/>
      <c r="D36" s="520"/>
      <c r="E36" s="520"/>
      <c r="F36" s="520"/>
      <c r="G36" s="163">
        <f>'2021'!S36</f>
        <v>47098169.980000004</v>
      </c>
      <c r="H36" s="163">
        <f>'2021'!S110</f>
        <v>47153676.783500016</v>
      </c>
      <c r="I36" s="164">
        <f t="shared" si="0"/>
        <v>-55506.803500011563</v>
      </c>
      <c r="J36" s="166">
        <f t="shared" si="1"/>
        <v>-1.1771468798682516E-3</v>
      </c>
      <c r="K36" s="163">
        <f>SUM('2020'!G36:J36)</f>
        <v>59597746.280000001</v>
      </c>
      <c r="L36" s="164">
        <f t="shared" si="7"/>
        <v>-12499576.299999997</v>
      </c>
      <c r="M36" s="166">
        <f t="shared" si="2"/>
        <v>-0.20973236540313012</v>
      </c>
      <c r="N36" s="163">
        <f>'2021'!J36</f>
        <v>22768511.960000001</v>
      </c>
      <c r="O36" s="163">
        <f>'2021'!J110</f>
        <v>22487897.83840001</v>
      </c>
      <c r="P36" s="164">
        <f t="shared" si="6"/>
        <v>280614.12159999087</v>
      </c>
      <c r="Q36" s="166">
        <f t="shared" si="3"/>
        <v>1.2478450570013733E-2</v>
      </c>
      <c r="R36" s="163">
        <f>'2020'!J36</f>
        <v>22627138.609999999</v>
      </c>
      <c r="S36" s="164">
        <f t="shared" si="4"/>
        <v>141373.35000000149</v>
      </c>
      <c r="T36" s="166">
        <f t="shared" si="5"/>
        <v>6.2479552733867294E-3</v>
      </c>
    </row>
    <row r="37" spans="1:20">
      <c r="A37" s="150">
        <v>417</v>
      </c>
      <c r="B37" s="519" t="str">
        <f>+VLOOKUP($A37,Master!$D$29:$G$225,4,FALSE)</f>
        <v>Renta</v>
      </c>
      <c r="C37" s="520"/>
      <c r="D37" s="520"/>
      <c r="E37" s="520"/>
      <c r="F37" s="520"/>
      <c r="G37" s="163">
        <f>'2021'!S37</f>
        <v>2598339.62</v>
      </c>
      <c r="H37" s="163">
        <f>'2021'!S111</f>
        <v>2945142.8158999998</v>
      </c>
      <c r="I37" s="164">
        <f t="shared" si="0"/>
        <v>-346803.1958999997</v>
      </c>
      <c r="J37" s="166">
        <f t="shared" si="1"/>
        <v>-0.11775428818857492</v>
      </c>
      <c r="K37" s="163">
        <f>SUM('2020'!G37:J37)</f>
        <v>3227003.4399999995</v>
      </c>
      <c r="L37" s="164">
        <f t="shared" si="7"/>
        <v>-628663.81999999937</v>
      </c>
      <c r="M37" s="166">
        <f t="shared" si="2"/>
        <v>-0.19481349545756899</v>
      </c>
      <c r="N37" s="163">
        <f>'2021'!J37</f>
        <v>789353.05</v>
      </c>
      <c r="O37" s="163">
        <f>'2021'!J111</f>
        <v>692135.44759999984</v>
      </c>
      <c r="P37" s="164">
        <f t="shared" si="6"/>
        <v>97217.602400000207</v>
      </c>
      <c r="Q37" s="166">
        <f t="shared" si="3"/>
        <v>0.1404603719360209</v>
      </c>
      <c r="R37" s="163">
        <f>'2020'!J37</f>
        <v>971481.72</v>
      </c>
      <c r="S37" s="164">
        <f t="shared" si="4"/>
        <v>-182128.66999999993</v>
      </c>
      <c r="T37" s="166">
        <f t="shared" si="5"/>
        <v>-0.1874751384925698</v>
      </c>
    </row>
    <row r="38" spans="1:20">
      <c r="A38" s="150">
        <v>418</v>
      </c>
      <c r="B38" s="519" t="str">
        <f>+VLOOKUP($A38,Master!$D$29:$G$225,4,FALSE)</f>
        <v>Subvencije</v>
      </c>
      <c r="C38" s="520"/>
      <c r="D38" s="520"/>
      <c r="E38" s="520"/>
      <c r="F38" s="520"/>
      <c r="G38" s="163">
        <f>'2021'!S38</f>
        <v>11211087.18</v>
      </c>
      <c r="H38" s="163">
        <f>'2021'!S112</f>
        <v>15251109.621100001</v>
      </c>
      <c r="I38" s="164">
        <f t="shared" si="0"/>
        <v>-4040022.4411000013</v>
      </c>
      <c r="J38" s="166">
        <f t="shared" si="1"/>
        <v>-0.26490022965349391</v>
      </c>
      <c r="K38" s="163">
        <f>SUM('2020'!G38:J38)</f>
        <v>7889411.21</v>
      </c>
      <c r="L38" s="164">
        <f t="shared" si="7"/>
        <v>3321675.9699999997</v>
      </c>
      <c r="M38" s="166">
        <f t="shared" si="2"/>
        <v>0.42102964107000829</v>
      </c>
      <c r="N38" s="163">
        <f>'2021'!J38</f>
        <v>6896008.3300000001</v>
      </c>
      <c r="O38" s="163">
        <f>'2021'!J112</f>
        <v>6583273.04</v>
      </c>
      <c r="P38" s="164">
        <f t="shared" si="6"/>
        <v>312735.29000000004</v>
      </c>
      <c r="Q38" s="166">
        <f t="shared" si="3"/>
        <v>4.7504529752878E-2</v>
      </c>
      <c r="R38" s="163">
        <f>'2020'!J38</f>
        <v>5065576.53</v>
      </c>
      <c r="S38" s="164">
        <f t="shared" si="4"/>
        <v>1830431.7999999998</v>
      </c>
      <c r="T38" s="166">
        <f t="shared" si="5"/>
        <v>0.36134718114701925</v>
      </c>
    </row>
    <row r="39" spans="1:20">
      <c r="A39" s="150">
        <v>419</v>
      </c>
      <c r="B39" s="519" t="str">
        <f>+VLOOKUP($A39,Master!$D$29:$G$225,4,FALSE)</f>
        <v>Ostali izdaci</v>
      </c>
      <c r="C39" s="520"/>
      <c r="D39" s="520"/>
      <c r="E39" s="520"/>
      <c r="F39" s="520"/>
      <c r="G39" s="163">
        <f>'2021'!S39</f>
        <v>9250606.7400000002</v>
      </c>
      <c r="H39" s="163">
        <f>'2021'!S113</f>
        <v>14042498.211099997</v>
      </c>
      <c r="I39" s="164">
        <f t="shared" si="0"/>
        <v>-4791891.4710999969</v>
      </c>
      <c r="J39" s="166">
        <f t="shared" si="1"/>
        <v>-0.34124209233028147</v>
      </c>
      <c r="K39" s="163">
        <f>SUM('2020'!G39:J39)</f>
        <v>12344028.489999998</v>
      </c>
      <c r="L39" s="164">
        <f t="shared" si="7"/>
        <v>-3093421.7499999981</v>
      </c>
      <c r="M39" s="166">
        <f t="shared" si="2"/>
        <v>-0.2506006651318089</v>
      </c>
      <c r="N39" s="163">
        <f>'2021'!J39</f>
        <v>2708193.42</v>
      </c>
      <c r="O39" s="163">
        <f>'2021'!J113</f>
        <v>3293708.3883999996</v>
      </c>
      <c r="P39" s="164">
        <f t="shared" si="6"/>
        <v>-585514.96839999966</v>
      </c>
      <c r="Q39" s="166">
        <f t="shared" si="3"/>
        <v>-0.17776770113046592</v>
      </c>
      <c r="R39" s="163">
        <f>'2020'!J39</f>
        <v>3934346.45</v>
      </c>
      <c r="S39" s="164">
        <f t="shared" si="4"/>
        <v>-1226153.0300000003</v>
      </c>
      <c r="T39" s="166">
        <f t="shared" si="5"/>
        <v>-0.31165354794822409</v>
      </c>
    </row>
    <row r="40" spans="1:20">
      <c r="A40" s="150">
        <v>42</v>
      </c>
      <c r="B40" s="515" t="str">
        <f>+VLOOKUP($A40,Master!$D$29:$G$225,4,FALSE)</f>
        <v>Transferi za socijalnu zaštitu</v>
      </c>
      <c r="C40" s="516"/>
      <c r="D40" s="516"/>
      <c r="E40" s="516"/>
      <c r="F40" s="516"/>
      <c r="G40" s="193">
        <f>'2021'!S40</f>
        <v>184678602.47999996</v>
      </c>
      <c r="H40" s="193">
        <f>'2021'!S114</f>
        <v>186035538.45730001</v>
      </c>
      <c r="I40" s="194">
        <f t="shared" si="0"/>
        <v>-1356935.9773000479</v>
      </c>
      <c r="J40" s="196">
        <f t="shared" si="1"/>
        <v>-7.2939610815893063E-3</v>
      </c>
      <c r="K40" s="193">
        <f>SUM('2020'!G40:J40)</f>
        <v>184487428.36599997</v>
      </c>
      <c r="L40" s="194">
        <f t="shared" si="7"/>
        <v>191174.11399999261</v>
      </c>
      <c r="M40" s="196">
        <f t="shared" si="2"/>
        <v>1.0362446682314896E-3</v>
      </c>
      <c r="N40" s="193">
        <f>'2021'!J40</f>
        <v>47454391.899999991</v>
      </c>
      <c r="O40" s="193">
        <f>'2021'!J114</f>
        <v>42633361.184399992</v>
      </c>
      <c r="P40" s="194">
        <f t="shared" si="6"/>
        <v>4821030.7155999988</v>
      </c>
      <c r="Q40" s="196">
        <f t="shared" si="3"/>
        <v>0.11308117825258557</v>
      </c>
      <c r="R40" s="193">
        <f>'2020'!J40</f>
        <v>46190234.303999998</v>
      </c>
      <c r="S40" s="194">
        <f t="shared" si="4"/>
        <v>1264157.5959999934</v>
      </c>
      <c r="T40" s="196">
        <f t="shared" si="5"/>
        <v>2.7368503646895803E-2</v>
      </c>
    </row>
    <row r="41" spans="1:20">
      <c r="A41" s="150">
        <v>421</v>
      </c>
      <c r="B41" s="519" t="str">
        <f>+VLOOKUP($A41,Master!$D$29:$G$225,4,FALSE)</f>
        <v>Prava iz oblasti socijalne zaštite</v>
      </c>
      <c r="C41" s="520"/>
      <c r="D41" s="520"/>
      <c r="E41" s="520"/>
      <c r="F41" s="520"/>
      <c r="G41" s="163">
        <f>'2021'!S41</f>
        <v>26556579.059999999</v>
      </c>
      <c r="H41" s="163">
        <f>'2021'!S115</f>
        <v>26808003.640000001</v>
      </c>
      <c r="I41" s="164">
        <f t="shared" si="0"/>
        <v>-251424.58000000194</v>
      </c>
      <c r="J41" s="166">
        <f t="shared" si="1"/>
        <v>-9.3787132893720093E-3</v>
      </c>
      <c r="K41" s="163">
        <f>SUM('2020'!G41:J41)</f>
        <v>26753779.52</v>
      </c>
      <c r="L41" s="164">
        <f t="shared" si="7"/>
        <v>-197200.46000000089</v>
      </c>
      <c r="M41" s="166">
        <f t="shared" si="2"/>
        <v>-7.3709383697575515E-3</v>
      </c>
      <c r="N41" s="163">
        <f>'2021'!J41</f>
        <v>6831472.7699999996</v>
      </c>
      <c r="O41" s="163">
        <f>'2021'!J115</f>
        <v>5875881.9399999995</v>
      </c>
      <c r="P41" s="164">
        <f t="shared" si="6"/>
        <v>955590.83000000007</v>
      </c>
      <c r="Q41" s="166">
        <f t="shared" si="3"/>
        <v>0.16262934479585556</v>
      </c>
      <c r="R41" s="163">
        <f>'2020'!J41</f>
        <v>6378584.3399999999</v>
      </c>
      <c r="S41" s="164">
        <f t="shared" si="4"/>
        <v>452888.4299999997</v>
      </c>
      <c r="T41" s="166">
        <f t="shared" si="5"/>
        <v>7.1001401856512825E-2</v>
      </c>
    </row>
    <row r="42" spans="1:20">
      <c r="A42" s="150">
        <v>422</v>
      </c>
      <c r="B42" s="519" t="str">
        <f>+VLOOKUP($A42,Master!$D$29:$G$225,4,FALSE)</f>
        <v>Sredstva za tehnološke viškove</v>
      </c>
      <c r="C42" s="520"/>
      <c r="D42" s="520"/>
      <c r="E42" s="520"/>
      <c r="F42" s="520"/>
      <c r="G42" s="163">
        <f>'2021'!S42</f>
        <v>5282918.5399999991</v>
      </c>
      <c r="H42" s="163">
        <f>'2021'!S116</f>
        <v>5737384.7245999994</v>
      </c>
      <c r="I42" s="164">
        <f t="shared" si="0"/>
        <v>-454466.18460000027</v>
      </c>
      <c r="J42" s="166">
        <f t="shared" si="1"/>
        <v>-7.921138400417882E-2</v>
      </c>
      <c r="K42" s="163">
        <f>SUM('2020'!G42:J42)</f>
        <v>4713026.79</v>
      </c>
      <c r="L42" s="164">
        <f t="shared" si="7"/>
        <v>569891.74999999907</v>
      </c>
      <c r="M42" s="166">
        <f t="shared" si="2"/>
        <v>0.12091841939222236</v>
      </c>
      <c r="N42" s="163">
        <f>'2021'!J42</f>
        <v>2281979.0699999998</v>
      </c>
      <c r="O42" s="163">
        <f>'2021'!J116</f>
        <v>821160.01370000001</v>
      </c>
      <c r="P42" s="164">
        <f t="shared" si="6"/>
        <v>1460819.0562999998</v>
      </c>
      <c r="Q42" s="166">
        <f t="shared" si="3"/>
        <v>1.7789700325492115</v>
      </c>
      <c r="R42" s="163">
        <f>'2020'!J42</f>
        <v>1448885.74</v>
      </c>
      <c r="S42" s="164">
        <f t="shared" si="4"/>
        <v>833093.32999999984</v>
      </c>
      <c r="T42" s="166">
        <f t="shared" si="5"/>
        <v>0.57498897739168853</v>
      </c>
    </row>
    <row r="43" spans="1:20">
      <c r="A43" s="150">
        <v>423</v>
      </c>
      <c r="B43" s="519" t="str">
        <f>+VLOOKUP($A43,Master!$D$29:$G$225,4,FALSE)</f>
        <v>Prava iz oblasti penzijskog i invalidskog osiguranja</v>
      </c>
      <c r="C43" s="520"/>
      <c r="D43" s="520"/>
      <c r="E43" s="520"/>
      <c r="F43" s="520"/>
      <c r="G43" s="163">
        <f>'2021'!S43</f>
        <v>144585096.34</v>
      </c>
      <c r="H43" s="163">
        <f>'2021'!S117</f>
        <v>144669476.64789999</v>
      </c>
      <c r="I43" s="164">
        <f t="shared" si="0"/>
        <v>-84380.307899981737</v>
      </c>
      <c r="J43" s="166">
        <f t="shared" si="1"/>
        <v>-5.832626885444725E-4</v>
      </c>
      <c r="K43" s="163">
        <f>SUM('2020'!G43:J43)</f>
        <v>142693530.63599998</v>
      </c>
      <c r="L43" s="164">
        <f t="shared" si="7"/>
        <v>1891565.704000026</v>
      </c>
      <c r="M43" s="166">
        <f t="shared" si="2"/>
        <v>1.3256141995850346E-2</v>
      </c>
      <c r="N43" s="163">
        <f>'2021'!J43</f>
        <v>36173730.149999999</v>
      </c>
      <c r="O43" s="163">
        <f>'2021'!J117</f>
        <v>33912547.660700001</v>
      </c>
      <c r="P43" s="164">
        <f t="shared" si="6"/>
        <v>2261182.4892999977</v>
      </c>
      <c r="Q43" s="166">
        <f t="shared" si="3"/>
        <v>6.6676868748507534E-2</v>
      </c>
      <c r="R43" s="163">
        <f>'2020'!J43</f>
        <v>35574785.513999999</v>
      </c>
      <c r="S43" s="164">
        <f t="shared" si="4"/>
        <v>598944.63599999994</v>
      </c>
      <c r="T43" s="166">
        <f t="shared" si="5"/>
        <v>1.6836212147063989E-2</v>
      </c>
    </row>
    <row r="44" spans="1:20">
      <c r="A44" s="150">
        <v>424</v>
      </c>
      <c r="B44" s="519" t="str">
        <f>+VLOOKUP($A44,Master!$D$29:$G$225,4,FALSE)</f>
        <v>Ostala prava iz oblasti zdravstvene zaštite</v>
      </c>
      <c r="C44" s="520"/>
      <c r="D44" s="520"/>
      <c r="E44" s="520"/>
      <c r="F44" s="520"/>
      <c r="G44" s="163">
        <f>'2021'!S44</f>
        <v>5161828.5</v>
      </c>
      <c r="H44" s="163">
        <f>'2021'!S118</f>
        <v>5570829.6173999999</v>
      </c>
      <c r="I44" s="164">
        <f t="shared" si="0"/>
        <v>-409001.11739999987</v>
      </c>
      <c r="J44" s="166">
        <f t="shared" si="1"/>
        <v>-7.341834977729722E-2</v>
      </c>
      <c r="K44" s="163">
        <f>SUM('2020'!G44:J44)</f>
        <v>7155516.8099999996</v>
      </c>
      <c r="L44" s="164">
        <f t="shared" si="7"/>
        <v>-1993688.3099999996</v>
      </c>
      <c r="M44" s="166">
        <f t="shared" si="2"/>
        <v>-0.27862254578366363</v>
      </c>
      <c r="N44" s="163">
        <f>'2021'!J44</f>
        <v>1348826.37</v>
      </c>
      <c r="O44" s="163">
        <f>'2021'!J118</f>
        <v>1397262.91</v>
      </c>
      <c r="P44" s="164">
        <f t="shared" si="6"/>
        <v>-48436.539999999804</v>
      </c>
      <c r="Q44" s="166">
        <f t="shared" si="3"/>
        <v>-3.4665301464274711E-2</v>
      </c>
      <c r="R44" s="163">
        <f>'2020'!J44</f>
        <v>2107330.88</v>
      </c>
      <c r="S44" s="164">
        <f t="shared" si="4"/>
        <v>-758504.50999999978</v>
      </c>
      <c r="T44" s="166">
        <f t="shared" si="5"/>
        <v>-0.35993612450646562</v>
      </c>
    </row>
    <row r="45" spans="1:20">
      <c r="A45" s="150">
        <v>425</v>
      </c>
      <c r="B45" s="519" t="str">
        <f>+VLOOKUP($A45,Master!$D$29:$G$225,4,FALSE)</f>
        <v>Ostala prava iz zdravstvenog osiguranja</v>
      </c>
      <c r="C45" s="520"/>
      <c r="D45" s="520"/>
      <c r="E45" s="520"/>
      <c r="F45" s="520"/>
      <c r="G45" s="163">
        <f>'2021'!S45</f>
        <v>3092180.04</v>
      </c>
      <c r="H45" s="163">
        <f>'2021'!S119</f>
        <v>3249843.8273999998</v>
      </c>
      <c r="I45" s="164">
        <f t="shared" si="0"/>
        <v>-157663.7873999998</v>
      </c>
      <c r="J45" s="166">
        <f t="shared" si="1"/>
        <v>-4.8514265845856608E-2</v>
      </c>
      <c r="K45" s="163">
        <f>SUM('2020'!G45:J45)</f>
        <v>3171574.61</v>
      </c>
      <c r="L45" s="164">
        <f t="shared" si="7"/>
        <v>-79394.569999999832</v>
      </c>
      <c r="M45" s="166">
        <f t="shared" si="2"/>
        <v>-2.5033171141447541E-2</v>
      </c>
      <c r="N45" s="163">
        <f>'2021'!J45</f>
        <v>818383.54</v>
      </c>
      <c r="O45" s="163">
        <f>'2021'!J119</f>
        <v>626508.66</v>
      </c>
      <c r="P45" s="164">
        <f t="shared" si="6"/>
        <v>191874.88</v>
      </c>
      <c r="Q45" s="166">
        <f t="shared" si="3"/>
        <v>0.30626053915998552</v>
      </c>
      <c r="R45" s="163">
        <f>'2020'!J45</f>
        <v>680647.83</v>
      </c>
      <c r="S45" s="164">
        <f t="shared" si="4"/>
        <v>137735.71000000008</v>
      </c>
      <c r="T45" s="166">
        <f t="shared" si="5"/>
        <v>0.2023597283781835</v>
      </c>
    </row>
    <row r="46" spans="1:20">
      <c r="A46" s="150">
        <v>43</v>
      </c>
      <c r="B46" s="517" t="str">
        <f>+VLOOKUP($A46,Master!$D$29:$G$225,4,FALSE)</f>
        <v xml:space="preserve">Transferi institucijama, pojedincima, nevladinom i javnom sektoru </v>
      </c>
      <c r="C46" s="518"/>
      <c r="D46" s="518"/>
      <c r="E46" s="518"/>
      <c r="F46" s="518"/>
      <c r="G46" s="175">
        <f>'2021'!S46</f>
        <v>74774168.549999997</v>
      </c>
      <c r="H46" s="175">
        <f>'2021'!S120</f>
        <v>86411549.831400007</v>
      </c>
      <c r="I46" s="176">
        <f t="shared" si="0"/>
        <v>-11637381.28140001</v>
      </c>
      <c r="J46" s="178">
        <f t="shared" si="1"/>
        <v>-0.13467390995886586</v>
      </c>
      <c r="K46" s="175">
        <f>SUM('2020'!G46:J46)</f>
        <v>96770311.75</v>
      </c>
      <c r="L46" s="176">
        <f t="shared" si="7"/>
        <v>-21996143.200000003</v>
      </c>
      <c r="M46" s="178">
        <f t="shared" si="2"/>
        <v>-0.22730259727617341</v>
      </c>
      <c r="N46" s="175">
        <f>'2021'!J46</f>
        <v>17556277.370000001</v>
      </c>
      <c r="O46" s="175">
        <f>'2021'!J120</f>
        <v>16279511.697899997</v>
      </c>
      <c r="P46" s="176">
        <f t="shared" si="6"/>
        <v>1276765.6721000038</v>
      </c>
      <c r="Q46" s="178">
        <f t="shared" si="3"/>
        <v>7.8427762195391937E-2</v>
      </c>
      <c r="R46" s="175">
        <f>'2020'!J46</f>
        <v>17323075.199999999</v>
      </c>
      <c r="S46" s="176">
        <f t="shared" si="4"/>
        <v>233202.17000000179</v>
      </c>
      <c r="T46" s="178">
        <f t="shared" si="5"/>
        <v>1.3461938328363399E-2</v>
      </c>
    </row>
    <row r="47" spans="1:20">
      <c r="A47" s="150">
        <v>44</v>
      </c>
      <c r="B47" s="517" t="str">
        <f>+VLOOKUP($A47,Master!$D$29:$G$225,4,FALSE)</f>
        <v>Kapitalni izdaci</v>
      </c>
      <c r="C47" s="518"/>
      <c r="D47" s="518"/>
      <c r="E47" s="518"/>
      <c r="F47" s="518"/>
      <c r="G47" s="175">
        <f>'2021'!S47</f>
        <v>41839253.580000006</v>
      </c>
      <c r="H47" s="175">
        <f>'2021'!S121</f>
        <v>58943000.745699987</v>
      </c>
      <c r="I47" s="176">
        <f t="shared" si="0"/>
        <v>-17103747.165699981</v>
      </c>
      <c r="J47" s="178">
        <f t="shared" si="1"/>
        <v>-0.29017435402536296</v>
      </c>
      <c r="K47" s="175">
        <f>SUM('2020'!G47:J47)</f>
        <v>44036427.780000001</v>
      </c>
      <c r="L47" s="176">
        <f t="shared" si="7"/>
        <v>-2197174.1999999955</v>
      </c>
      <c r="M47" s="178">
        <f t="shared" si="2"/>
        <v>-4.9894469437366196E-2</v>
      </c>
      <c r="N47" s="175">
        <f>'2021'!J47</f>
        <v>14713319.380000001</v>
      </c>
      <c r="O47" s="175">
        <f>'2021'!J121</f>
        <v>14791599.598999994</v>
      </c>
      <c r="P47" s="176">
        <f t="shared" si="6"/>
        <v>-78280.218999993056</v>
      </c>
      <c r="Q47" s="178">
        <f t="shared" si="3"/>
        <v>-5.2922078153930796E-3</v>
      </c>
      <c r="R47" s="175">
        <f>'2020'!J47</f>
        <v>17935572.800000001</v>
      </c>
      <c r="S47" s="176">
        <f t="shared" si="4"/>
        <v>-3222253.42</v>
      </c>
      <c r="T47" s="178">
        <f t="shared" si="5"/>
        <v>-0.17965712363532649</v>
      </c>
    </row>
    <row r="48" spans="1:20">
      <c r="A48" s="150">
        <v>451</v>
      </c>
      <c r="B48" s="487" t="str">
        <f>+VLOOKUP($A48,Master!$D$29:$G$225,4,FALSE)</f>
        <v>Pozajmice i krediti</v>
      </c>
      <c r="C48" s="488"/>
      <c r="D48" s="488"/>
      <c r="E48" s="488"/>
      <c r="F48" s="488"/>
      <c r="G48" s="163">
        <f>'2021'!S48</f>
        <v>552118</v>
      </c>
      <c r="H48" s="163">
        <f>'2021'!S122</f>
        <v>624519.33480000007</v>
      </c>
      <c r="I48" s="164">
        <f>G48-H48</f>
        <v>-72401.33480000007</v>
      </c>
      <c r="J48" s="282">
        <f t="shared" si="1"/>
        <v>-0.11593129430201921</v>
      </c>
      <c r="K48" s="163">
        <f>SUM('2020'!G48:J48)</f>
        <v>545648</v>
      </c>
      <c r="L48" s="279">
        <f t="shared" si="7"/>
        <v>6470</v>
      </c>
      <c r="M48" s="282">
        <f t="shared" si="2"/>
        <v>1.1857461220420529E-2</v>
      </c>
      <c r="N48" s="163">
        <f>'2021'!J48</f>
        <v>287224</v>
      </c>
      <c r="O48" s="163">
        <f>'2021'!J122</f>
        <v>334511</v>
      </c>
      <c r="P48" s="164">
        <f t="shared" si="6"/>
        <v>-47287</v>
      </c>
      <c r="Q48" s="282">
        <f t="shared" si="3"/>
        <v>-0.14136156957469259</v>
      </c>
      <c r="R48" s="163">
        <f>'2020'!J48</f>
        <v>268014</v>
      </c>
      <c r="S48" s="279">
        <f t="shared" si="4"/>
        <v>19210</v>
      </c>
      <c r="T48" s="282">
        <f t="shared" si="5"/>
        <v>7.1675360242375419E-2</v>
      </c>
    </row>
    <row r="49" spans="1:23">
      <c r="A49" s="150">
        <v>47</v>
      </c>
      <c r="B49" s="487" t="str">
        <f>+VLOOKUP($A49,Master!$D$29:$G$225,4,FALSE)</f>
        <v>Rezerve</v>
      </c>
      <c r="C49" s="488"/>
      <c r="D49" s="488"/>
      <c r="E49" s="488"/>
      <c r="F49" s="488"/>
      <c r="G49" s="163">
        <f>'2021'!S49</f>
        <v>42938484.699999996</v>
      </c>
      <c r="H49" s="163">
        <f>'2021'!S123</f>
        <v>43094030.82</v>
      </c>
      <c r="I49" s="164">
        <f t="shared" ref="I49:I50" si="8">G49-H49</f>
        <v>-155546.12000000477</v>
      </c>
      <c r="J49" s="283">
        <f t="shared" si="1"/>
        <v>-3.6094585964748793E-3</v>
      </c>
      <c r="K49" s="163">
        <f>SUM('2020'!G49:J49)</f>
        <v>5916678.0499999998</v>
      </c>
      <c r="L49" s="280">
        <f t="shared" si="7"/>
        <v>37021806.649999999</v>
      </c>
      <c r="M49" s="283" t="str">
        <f t="shared" si="2"/>
        <v>...</v>
      </c>
      <c r="N49" s="163">
        <f>'2021'!J49</f>
        <v>10129681.51</v>
      </c>
      <c r="O49" s="163">
        <f>'2021'!J123</f>
        <v>186668.36</v>
      </c>
      <c r="P49" s="164">
        <f t="shared" si="6"/>
        <v>9943013.1500000004</v>
      </c>
      <c r="Q49" s="283" t="str">
        <f t="shared" si="3"/>
        <v>...</v>
      </c>
      <c r="R49" s="163">
        <f>'2020'!J49</f>
        <v>3138464.05</v>
      </c>
      <c r="S49" s="280">
        <f t="shared" si="4"/>
        <v>6991217.46</v>
      </c>
      <c r="T49" s="283" t="str">
        <f t="shared" si="5"/>
        <v>...</v>
      </c>
      <c r="W49" s="345"/>
    </row>
    <row r="50" spans="1:23" ht="15.75" thickBot="1">
      <c r="A50" s="150">
        <v>462</v>
      </c>
      <c r="B50" s="505" t="str">
        <f>+VLOOKUP($A50,Master!$D$29:$G$225,4,FALSE)</f>
        <v>Otplata garancija</v>
      </c>
      <c r="C50" s="506"/>
      <c r="D50" s="506"/>
      <c r="E50" s="506"/>
      <c r="F50" s="506"/>
      <c r="G50" s="163">
        <f>'2021'!S50</f>
        <v>3831496.4</v>
      </c>
      <c r="H50" s="163">
        <f>'2021'!S124</f>
        <v>3876366.14</v>
      </c>
      <c r="I50" s="164">
        <f t="shared" si="8"/>
        <v>-44869.740000000224</v>
      </c>
      <c r="J50" s="284">
        <f t="shared" si="1"/>
        <v>-1.157520687661362E-2</v>
      </c>
      <c r="K50" s="163">
        <f>SUM('2020'!G50:J50)</f>
        <v>0</v>
      </c>
      <c r="L50" s="280">
        <f t="shared" si="7"/>
        <v>3831496.4</v>
      </c>
      <c r="M50" s="284" t="str">
        <f t="shared" si="2"/>
        <v>...</v>
      </c>
      <c r="N50" s="163">
        <f>'2021'!J50</f>
        <v>0</v>
      </c>
      <c r="O50" s="163">
        <f>'2021'!J124</f>
        <v>0</v>
      </c>
      <c r="P50" s="164">
        <f t="shared" si="6"/>
        <v>0</v>
      </c>
      <c r="Q50" s="284" t="str">
        <f t="shared" si="3"/>
        <v>...</v>
      </c>
      <c r="R50" s="163">
        <f>'2020'!J50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05" t="str">
        <f>+VLOOKUP($A51,Master!$D$29:$G$225,4,FALSE)</f>
        <v>Otplata obaveza iz prethodnog perioda</v>
      </c>
      <c r="C51" s="506"/>
      <c r="D51" s="506"/>
      <c r="E51" s="506"/>
      <c r="F51" s="506"/>
      <c r="G51" s="314">
        <f>'2021'!S51</f>
        <v>5636263.1500000004</v>
      </c>
      <c r="H51" s="314">
        <f>'2021'!S125</f>
        <v>9589095.644199986</v>
      </c>
      <c r="I51" s="281">
        <f>G51-H51</f>
        <v>-3952832.4941999856</v>
      </c>
      <c r="J51" s="285">
        <f t="shared" si="1"/>
        <v>-0.41222161514166111</v>
      </c>
      <c r="K51" s="314">
        <f>SUM('2020'!G51:J51)</f>
        <v>5556004.4399999995</v>
      </c>
      <c r="L51" s="287">
        <f t="shared" si="7"/>
        <v>80258.710000000894</v>
      </c>
      <c r="M51" s="285">
        <f t="shared" si="2"/>
        <v>1.4445400623186222E-2</v>
      </c>
      <c r="N51" s="314">
        <f>'2021'!J51</f>
        <v>1380339.65</v>
      </c>
      <c r="O51" s="314">
        <f>'2021'!J125</f>
        <v>2665179.0145999948</v>
      </c>
      <c r="P51" s="281">
        <f>N51-O51</f>
        <v>-1284839.3645999948</v>
      </c>
      <c r="Q51" s="285">
        <f t="shared" si="3"/>
        <v>-0.48208370153058211</v>
      </c>
      <c r="R51" s="314">
        <f>'2020'!J51</f>
        <v>1039845.76</v>
      </c>
      <c r="S51" s="287">
        <f>+N51-R51</f>
        <v>340493.8899999999</v>
      </c>
      <c r="T51" s="285">
        <f t="shared" si="5"/>
        <v>0.32744653399365675</v>
      </c>
    </row>
    <row r="52" spans="1:23" ht="15.75" thickBot="1">
      <c r="A52" s="144">
        <v>1005</v>
      </c>
      <c r="B52" s="505" t="str">
        <f>+VLOOKUP($A52,Master!$D$29:$G$227,4,FALSE)</f>
        <v>Neto povećanje obaveza</v>
      </c>
      <c r="C52" s="506"/>
      <c r="D52" s="506"/>
      <c r="E52" s="506"/>
      <c r="F52" s="506"/>
      <c r="G52" s="163">
        <f>'2021'!S52</f>
        <v>0</v>
      </c>
      <c r="H52" s="163">
        <f>'2021'!S126</f>
        <v>0</v>
      </c>
      <c r="I52" s="281">
        <f>G52-H52</f>
        <v>0</v>
      </c>
      <c r="J52" s="285" t="str">
        <f t="shared" si="1"/>
        <v>...</v>
      </c>
      <c r="K52" s="163">
        <f>SUM('2020'!G52:J52)</f>
        <v>0</v>
      </c>
      <c r="L52" s="287">
        <f t="shared" si="7"/>
        <v>0</v>
      </c>
      <c r="M52" s="285" t="str">
        <f t="shared" si="2"/>
        <v>...</v>
      </c>
      <c r="N52" s="163">
        <f>'2021'!J52</f>
        <v>0</v>
      </c>
      <c r="O52" s="163">
        <f>'2021'!J126</f>
        <v>0</v>
      </c>
      <c r="P52" s="281">
        <f>N52-O52</f>
        <v>0</v>
      </c>
      <c r="Q52" s="285" t="str">
        <f t="shared" si="3"/>
        <v>...</v>
      </c>
      <c r="R52" s="163">
        <f>'2020'!J52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11" t="str">
        <f>+VLOOKUP($A53,Master!$D$29:$G$225,4,FALSE)</f>
        <v>Suficit / deficit</v>
      </c>
      <c r="C53" s="512"/>
      <c r="D53" s="512"/>
      <c r="E53" s="512"/>
      <c r="F53" s="512"/>
      <c r="G53" s="151">
        <f>'2021'!S53</f>
        <v>-142044569.99999997</v>
      </c>
      <c r="H53" s="151">
        <f>'2021'!S127</f>
        <v>-205878828.32442832</v>
      </c>
      <c r="I53" s="321">
        <f>+G53-H53</f>
        <v>63834258.32442835</v>
      </c>
      <c r="J53" s="286">
        <f t="shared" si="1"/>
        <v>-0.31005741991030245</v>
      </c>
      <c r="K53" s="151">
        <f>SUM('2020'!G53:J53)</f>
        <v>-122629501.56600001</v>
      </c>
      <c r="L53" s="288">
        <f t="shared" si="7"/>
        <v>-19415068.433999956</v>
      </c>
      <c r="M53" s="286">
        <f t="shared" si="2"/>
        <v>0.1583229825292134</v>
      </c>
      <c r="N53" s="151">
        <f>'2021'!J53</f>
        <v>-38625278.469999969</v>
      </c>
      <c r="O53" s="151">
        <f>'2021'!J127</f>
        <v>-8960368.1709368229</v>
      </c>
      <c r="P53" s="321">
        <f>N53-O53</f>
        <v>-29664910.299063146</v>
      </c>
      <c r="Q53" s="286" t="str">
        <f t="shared" si="3"/>
        <v>...</v>
      </c>
      <c r="R53" s="151">
        <f>'2020'!J53</f>
        <v>-45463515.453999996</v>
      </c>
      <c r="S53" s="288">
        <f t="shared" si="4"/>
        <v>6838236.9840000272</v>
      </c>
      <c r="T53" s="286">
        <f t="shared" si="5"/>
        <v>-0.15041153143819153</v>
      </c>
    </row>
    <row r="54" spans="1:23" ht="15.75" thickBot="1">
      <c r="A54" s="144">
        <v>1001</v>
      </c>
      <c r="B54" s="513" t="str">
        <f>+VLOOKUP($A54,Master!$D$29:$G$225,4,FALSE)</f>
        <v>Primarni suficit/deficit</v>
      </c>
      <c r="C54" s="514"/>
      <c r="D54" s="514"/>
      <c r="E54" s="514"/>
      <c r="F54" s="514"/>
      <c r="G54" s="151">
        <f>'2021'!S54</f>
        <v>-94946400.019999951</v>
      </c>
      <c r="H54" s="151">
        <f>'2021'!S128</f>
        <v>-158725151.54092833</v>
      </c>
      <c r="I54" s="206">
        <f t="shared" si="0"/>
        <v>63778751.520928383</v>
      </c>
      <c r="J54" s="208">
        <f t="shared" si="1"/>
        <v>-0.40181881007360454</v>
      </c>
      <c r="K54" s="151">
        <f>SUM('2020'!G54:J54)</f>
        <v>-63031755.286000021</v>
      </c>
      <c r="L54" s="206">
        <f t="shared" si="7"/>
        <v>-31914644.73399993</v>
      </c>
      <c r="M54" s="208">
        <f t="shared" si="2"/>
        <v>0.50632644750555578</v>
      </c>
      <c r="N54" s="151">
        <f>'2021'!J54</f>
        <v>-15856766.509999968</v>
      </c>
      <c r="O54" s="151">
        <f>'2021'!J128</f>
        <v>13527529.667463187</v>
      </c>
      <c r="P54" s="206">
        <f t="shared" si="6"/>
        <v>-29384296.177463155</v>
      </c>
      <c r="Q54" s="208">
        <f t="shared" si="3"/>
        <v>-2.1721849369245243</v>
      </c>
      <c r="R54" s="151">
        <f>'2020'!J54</f>
        <v>-22836376.843999997</v>
      </c>
      <c r="S54" s="206">
        <f t="shared" si="4"/>
        <v>6979610.3340000287</v>
      </c>
      <c r="T54" s="208">
        <f t="shared" si="5"/>
        <v>-0.30563562607497619</v>
      </c>
    </row>
    <row r="55" spans="1:23">
      <c r="A55" s="144">
        <v>46</v>
      </c>
      <c r="B55" s="515" t="str">
        <f>+VLOOKUP($A55,Master!$D$29:$G$225,4,FALSE)</f>
        <v>Otplata dugova</v>
      </c>
      <c r="C55" s="516"/>
      <c r="D55" s="516"/>
      <c r="E55" s="516"/>
      <c r="F55" s="516"/>
      <c r="G55" s="157">
        <f>'2021'!S55</f>
        <v>319223024.67000002</v>
      </c>
      <c r="H55" s="157">
        <f>'2021'!S129</f>
        <v>333322098.86000001</v>
      </c>
      <c r="I55" s="194">
        <f t="shared" si="0"/>
        <v>-14099074.189999998</v>
      </c>
      <c r="J55" s="196">
        <f t="shared" si="1"/>
        <v>-4.2298648179105003E-2</v>
      </c>
      <c r="K55" s="157">
        <f>SUM('2020'!G55:J55)</f>
        <v>439165043.72999996</v>
      </c>
      <c r="L55" s="194">
        <f t="shared" si="7"/>
        <v>-119942019.05999994</v>
      </c>
      <c r="M55" s="196">
        <f t="shared" si="2"/>
        <v>-0.27311376616245597</v>
      </c>
      <c r="N55" s="157">
        <f>'2021'!J55</f>
        <v>32853463.259999998</v>
      </c>
      <c r="O55" s="157">
        <f>'2021'!J129</f>
        <v>32910718.859999999</v>
      </c>
      <c r="P55" s="194">
        <f t="shared" si="6"/>
        <v>-57255.60000000149</v>
      </c>
      <c r="Q55" s="196">
        <f t="shared" si="3"/>
        <v>-1.7397249887965982E-3</v>
      </c>
      <c r="R55" s="157">
        <f>'2020'!J55</f>
        <v>17213530.07</v>
      </c>
      <c r="S55" s="194">
        <f t="shared" si="4"/>
        <v>15639933.189999998</v>
      </c>
      <c r="T55" s="196">
        <f t="shared" si="5"/>
        <v>0.90858372027115508</v>
      </c>
    </row>
    <row r="56" spans="1:23">
      <c r="A56" s="144">
        <v>4611</v>
      </c>
      <c r="B56" s="503" t="str">
        <f>+VLOOKUP($A56,Master!$D$29:$G$225,4,FALSE)</f>
        <v>Otplata hartija od vrijednosti i kredita rezidentima</v>
      </c>
      <c r="C56" s="504"/>
      <c r="D56" s="504"/>
      <c r="E56" s="504"/>
      <c r="F56" s="504"/>
      <c r="G56" s="163">
        <f>'2021'!S56</f>
        <v>54995506.770000003</v>
      </c>
      <c r="H56" s="163">
        <f>'2021'!S130</f>
        <v>54995506.769999996</v>
      </c>
      <c r="I56" s="212">
        <f t="shared" si="0"/>
        <v>0</v>
      </c>
      <c r="J56" s="214">
        <f t="shared" si="1"/>
        <v>2.2204460492503131E-16</v>
      </c>
      <c r="K56" s="163">
        <f>SUM('2020'!G56:J56)</f>
        <v>81390012.609999999</v>
      </c>
      <c r="L56" s="212">
        <f t="shared" si="7"/>
        <v>-26394505.839999996</v>
      </c>
      <c r="M56" s="214">
        <f t="shared" si="2"/>
        <v>-0.3242966181425192</v>
      </c>
      <c r="N56" s="163">
        <f>'2021'!J56</f>
        <v>17161594.75</v>
      </c>
      <c r="O56" s="163">
        <f>'2021'!J130</f>
        <v>17161594.75</v>
      </c>
      <c r="P56" s="212">
        <f t="shared" si="6"/>
        <v>0</v>
      </c>
      <c r="Q56" s="214">
        <f t="shared" si="3"/>
        <v>0</v>
      </c>
      <c r="R56" s="163">
        <f>'2020'!J56</f>
        <v>1603895.49</v>
      </c>
      <c r="S56" s="212">
        <f t="shared" si="4"/>
        <v>15557699.26</v>
      </c>
      <c r="T56" s="214" t="str">
        <f t="shared" si="5"/>
        <v>...</v>
      </c>
    </row>
    <row r="57" spans="1:23">
      <c r="A57" s="144">
        <v>4612</v>
      </c>
      <c r="B57" s="487" t="str">
        <f>+VLOOKUP($A57,Master!$D$29:$G$225,4,FALSE)</f>
        <v>Otplata hartija od vrijednosti i kredita nerezidentima</v>
      </c>
      <c r="C57" s="488"/>
      <c r="D57" s="488"/>
      <c r="E57" s="488"/>
      <c r="F57" s="488"/>
      <c r="G57" s="163">
        <f>'2021'!S57</f>
        <v>264227517.89999998</v>
      </c>
      <c r="H57" s="163">
        <f>'2021'!S131</f>
        <v>278326592.08999997</v>
      </c>
      <c r="I57" s="212">
        <f t="shared" si="0"/>
        <v>-14099074.189999998</v>
      </c>
      <c r="J57" s="214">
        <f t="shared" si="1"/>
        <v>-5.0656583275524358E-2</v>
      </c>
      <c r="K57" s="163">
        <f>SUM('2020'!G57:J57)</f>
        <v>357775031.12</v>
      </c>
      <c r="L57" s="212">
        <f t="shared" si="7"/>
        <v>-93547513.220000029</v>
      </c>
      <c r="M57" s="214">
        <f t="shared" si="2"/>
        <v>-0.26147021195736719</v>
      </c>
      <c r="N57" s="163">
        <f>'2021'!J57</f>
        <v>15691868.51</v>
      </c>
      <c r="O57" s="163">
        <f>'2021'!J131</f>
        <v>15749124.109999999</v>
      </c>
      <c r="P57" s="212">
        <f t="shared" si="6"/>
        <v>-57255.599999999627</v>
      </c>
      <c r="Q57" s="214">
        <f t="shared" si="3"/>
        <v>-3.6354783669299007E-3</v>
      </c>
      <c r="R57" s="163">
        <f>'2020'!J57</f>
        <v>15609634.58</v>
      </c>
      <c r="S57" s="212">
        <f t="shared" si="4"/>
        <v>82233.929999999702</v>
      </c>
      <c r="T57" s="214">
        <f t="shared" si="5"/>
        <v>5.2681521517077279E-3</v>
      </c>
    </row>
    <row r="58" spans="1:23" ht="15.75" thickBot="1">
      <c r="A58" s="144">
        <v>4418</v>
      </c>
      <c r="B58" s="515" t="str">
        <f>+VLOOKUP($A58,Master!$D$29:$G$225,4,FALSE)</f>
        <v>Izdaci za kupovinu hartija od vrijednosti</v>
      </c>
      <c r="C58" s="516"/>
      <c r="D58" s="516"/>
      <c r="E58" s="516"/>
      <c r="F58" s="516"/>
      <c r="G58" s="336">
        <f>'2021'!S58</f>
        <v>0</v>
      </c>
      <c r="H58" s="336">
        <f>'2021'!S132</f>
        <v>536784</v>
      </c>
      <c r="I58" s="337">
        <f t="shared" ref="I58:I64" si="9">+G58-H58</f>
        <v>-536784</v>
      </c>
      <c r="J58" s="338">
        <f t="shared" si="1"/>
        <v>-1</v>
      </c>
      <c r="K58" s="336">
        <f>SUM('2020'!G58:J58)</f>
        <v>0</v>
      </c>
      <c r="L58" s="337">
        <f t="shared" ref="L58:L64" si="10">+G58-K58</f>
        <v>0</v>
      </c>
      <c r="M58" s="338" t="str">
        <f t="shared" si="2"/>
        <v>...</v>
      </c>
      <c r="N58" s="336">
        <f>'2021'!J58</f>
        <v>0</v>
      </c>
      <c r="O58" s="336">
        <f>'2021'!J132</f>
        <v>0</v>
      </c>
      <c r="P58" s="337">
        <f t="shared" ref="P58:P64" si="11">+N58-O58</f>
        <v>0</v>
      </c>
      <c r="Q58" s="338" t="str">
        <f t="shared" si="3"/>
        <v>...</v>
      </c>
      <c r="R58" s="336">
        <f>'2020'!J58</f>
        <v>0</v>
      </c>
      <c r="S58" s="337">
        <f t="shared" ref="S58:S64" si="12">+N58-R58</f>
        <v>0</v>
      </c>
      <c r="T58" s="338" t="str">
        <f t="shared" si="5"/>
        <v>...</v>
      </c>
    </row>
    <row r="59" spans="1:23" ht="15.75" thickBot="1">
      <c r="A59" s="144">
        <v>1002</v>
      </c>
      <c r="B59" s="507" t="str">
        <f>+VLOOKUP($A59,Master!$D$29:$G$225,4,FALSE)</f>
        <v>Nedostajuća sredstva</v>
      </c>
      <c r="C59" s="508"/>
      <c r="D59" s="508"/>
      <c r="E59" s="508"/>
      <c r="F59" s="508"/>
      <c r="G59" s="320">
        <f>'2021'!S59</f>
        <v>-461267594.67000002</v>
      </c>
      <c r="H59" s="320">
        <f>'2021'!S133</f>
        <v>-539737711.18442833</v>
      </c>
      <c r="I59" s="322">
        <f t="shared" si="9"/>
        <v>78470116.514428318</v>
      </c>
      <c r="J59" s="323">
        <f t="shared" si="1"/>
        <v>-0.14538564730307513</v>
      </c>
      <c r="K59" s="320">
        <f>SUM('2020'!G59:J59)</f>
        <v>-561794545.296</v>
      </c>
      <c r="L59" s="322">
        <f t="shared" si="10"/>
        <v>100526950.62599999</v>
      </c>
      <c r="M59" s="323">
        <f t="shared" si="2"/>
        <v>-0.17893899374376099</v>
      </c>
      <c r="N59" s="320">
        <f>'2021'!J59</f>
        <v>-71478741.729999959</v>
      </c>
      <c r="O59" s="320">
        <f>'2021'!J133</f>
        <v>-41871087.030936822</v>
      </c>
      <c r="P59" s="322">
        <f t="shared" si="11"/>
        <v>-29607654.699063137</v>
      </c>
      <c r="Q59" s="323">
        <f t="shared" si="3"/>
        <v>0.70711454606342694</v>
      </c>
      <c r="R59" s="320">
        <f>'2020'!J59</f>
        <v>-62677045.523999996</v>
      </c>
      <c r="S59" s="322">
        <f t="shared" si="12"/>
        <v>-8801696.205999963</v>
      </c>
      <c r="T59" s="323">
        <f t="shared" si="5"/>
        <v>0.14042934111547511</v>
      </c>
    </row>
    <row r="60" spans="1:23" ht="15.75" thickBot="1">
      <c r="A60" s="144">
        <v>1003</v>
      </c>
      <c r="B60" s="509" t="str">
        <f>+VLOOKUP($A60,Master!$D$29:$G$225,4,FALSE)</f>
        <v>Finansiranje</v>
      </c>
      <c r="C60" s="510"/>
      <c r="D60" s="510"/>
      <c r="E60" s="510"/>
      <c r="F60" s="510"/>
      <c r="G60" s="151">
        <f>'2021'!S60</f>
        <v>461267594.67000002</v>
      </c>
      <c r="H60" s="151">
        <f>'2021'!S134</f>
        <v>539737711.18442833</v>
      </c>
      <c r="I60" s="321">
        <f t="shared" si="9"/>
        <v>-78470116.514428318</v>
      </c>
      <c r="J60" s="324">
        <f t="shared" si="1"/>
        <v>-0.14538564730307513</v>
      </c>
      <c r="K60" s="151">
        <f>SUM('2020'!G60:J60)</f>
        <v>561794545.296</v>
      </c>
      <c r="L60" s="321">
        <f t="shared" si="10"/>
        <v>-100526950.62599999</v>
      </c>
      <c r="M60" s="324">
        <f t="shared" si="2"/>
        <v>-0.17893899374376099</v>
      </c>
      <c r="N60" s="151">
        <f>'2021'!J60</f>
        <v>71478741.729999959</v>
      </c>
      <c r="O60" s="151">
        <f>'2021'!J134</f>
        <v>41871087.030936822</v>
      </c>
      <c r="P60" s="321">
        <f t="shared" si="11"/>
        <v>29607654.699063137</v>
      </c>
      <c r="Q60" s="324">
        <f t="shared" si="3"/>
        <v>0.70711454606342694</v>
      </c>
      <c r="R60" s="151">
        <f>'2020'!J60</f>
        <v>62677045.523999989</v>
      </c>
      <c r="S60" s="321">
        <f t="shared" si="12"/>
        <v>8801696.2059999704</v>
      </c>
      <c r="T60" s="324">
        <f t="shared" si="5"/>
        <v>0.14042934111547534</v>
      </c>
    </row>
    <row r="61" spans="1:23">
      <c r="A61" s="144">
        <v>7511</v>
      </c>
      <c r="B61" s="503" t="str">
        <f>+VLOOKUP($A61,Master!$D$29:$G$225,4,FALSE)</f>
        <v>Pozajmice i krediti od domaćih izvora</v>
      </c>
      <c r="C61" s="504"/>
      <c r="D61" s="504"/>
      <c r="E61" s="504"/>
      <c r="F61" s="504"/>
      <c r="G61" s="484">
        <f>'2021'!S61</f>
        <v>0</v>
      </c>
      <c r="H61" s="163">
        <f>'2021'!S135</f>
        <v>0</v>
      </c>
      <c r="I61" s="212">
        <f t="shared" si="9"/>
        <v>0</v>
      </c>
      <c r="J61" s="214" t="str">
        <f t="shared" si="1"/>
        <v>...</v>
      </c>
      <c r="K61" s="163">
        <f>SUM('2020'!G61:J61)</f>
        <v>57832059.129999995</v>
      </c>
      <c r="L61" s="212">
        <f t="shared" si="10"/>
        <v>-57832059.129999995</v>
      </c>
      <c r="M61" s="214">
        <f t="shared" si="2"/>
        <v>-1</v>
      </c>
      <c r="N61" s="163">
        <f>'2021'!J61</f>
        <v>0</v>
      </c>
      <c r="O61" s="163">
        <f>'2021'!J135</f>
        <v>0</v>
      </c>
      <c r="P61" s="212">
        <f t="shared" si="11"/>
        <v>0</v>
      </c>
      <c r="Q61" s="214" t="str">
        <f t="shared" si="3"/>
        <v>...</v>
      </c>
      <c r="R61" s="163">
        <f>'2020'!J61</f>
        <v>19932059.129999999</v>
      </c>
      <c r="S61" s="212">
        <f t="shared" si="12"/>
        <v>-19932059.129999999</v>
      </c>
      <c r="T61" s="214">
        <f t="shared" si="5"/>
        <v>-1</v>
      </c>
    </row>
    <row r="62" spans="1:23">
      <c r="A62" s="144">
        <v>7512</v>
      </c>
      <c r="B62" s="487" t="str">
        <f>+VLOOKUP($A62,Master!$D$29:$G$225,4,FALSE)</f>
        <v>Pozajmice i krediti od inostranih izvora</v>
      </c>
      <c r="C62" s="488"/>
      <c r="D62" s="488"/>
      <c r="E62" s="488"/>
      <c r="F62" s="488"/>
      <c r="G62" s="163">
        <f>'2021'!S62</f>
        <v>21293619.23</v>
      </c>
      <c r="H62" s="163">
        <f>'2021'!S136</f>
        <v>17600000</v>
      </c>
      <c r="I62" s="212">
        <f t="shared" si="9"/>
        <v>3693619.2300000004</v>
      </c>
      <c r="J62" s="214">
        <f t="shared" si="1"/>
        <v>0.20986472897727282</v>
      </c>
      <c r="K62" s="163">
        <f>SUM('2020'!G62:J62)</f>
        <v>10155566.710000001</v>
      </c>
      <c r="L62" s="212">
        <f t="shared" si="10"/>
        <v>11138052.52</v>
      </c>
      <c r="M62" s="214">
        <f t="shared" si="2"/>
        <v>1.0967435730625019</v>
      </c>
      <c r="N62" s="163">
        <f>'2021'!J62</f>
        <v>10718316.23</v>
      </c>
      <c r="O62" s="163">
        <f>'2021'!J136</f>
        <v>10000000</v>
      </c>
      <c r="P62" s="212">
        <f t="shared" si="11"/>
        <v>718316.23000000045</v>
      </c>
      <c r="Q62" s="214">
        <f t="shared" si="3"/>
        <v>7.1831623000000011E-2</v>
      </c>
      <c r="R62" s="163">
        <f>'2020'!J62</f>
        <v>4493810.3600000003</v>
      </c>
      <c r="S62" s="212">
        <f t="shared" si="12"/>
        <v>6224505.8700000001</v>
      </c>
      <c r="T62" s="214">
        <f t="shared" si="5"/>
        <v>1.3851287373862391</v>
      </c>
    </row>
    <row r="63" spans="1:23">
      <c r="A63" s="144">
        <v>72</v>
      </c>
      <c r="B63" s="487" t="str">
        <f>+VLOOKUP($A63,Master!$D$29:$G$225,4,FALSE)</f>
        <v>Primici od prodaje imovine</v>
      </c>
      <c r="C63" s="488"/>
      <c r="D63" s="488"/>
      <c r="E63" s="488"/>
      <c r="F63" s="488"/>
      <c r="G63" s="163">
        <f>'2021'!S63</f>
        <v>155733.29999999999</v>
      </c>
      <c r="H63" s="163">
        <f>'2021'!S137</f>
        <v>202782.51</v>
      </c>
      <c r="I63" s="212">
        <f t="shared" si="9"/>
        <v>-47049.210000000021</v>
      </c>
      <c r="J63" s="214">
        <f t="shared" si="1"/>
        <v>-0.23201808676695057</v>
      </c>
      <c r="K63" s="163">
        <f>SUM('2020'!G63:J63)</f>
        <v>1302567.33</v>
      </c>
      <c r="L63" s="212">
        <f t="shared" si="10"/>
        <v>-1146834.03</v>
      </c>
      <c r="M63" s="214">
        <f t="shared" si="2"/>
        <v>-0.88044126670979839</v>
      </c>
      <c r="N63" s="163">
        <f>'2021'!J63</f>
        <v>39251.97</v>
      </c>
      <c r="O63" s="163">
        <f>'2021'!J137</f>
        <v>40000</v>
      </c>
      <c r="P63" s="212">
        <f t="shared" si="11"/>
        <v>-748.02999999999884</v>
      </c>
      <c r="Q63" s="214">
        <f t="shared" si="3"/>
        <v>-1.8700749999999933E-2</v>
      </c>
      <c r="R63" s="163">
        <f>'2020'!J63</f>
        <v>198578.39</v>
      </c>
      <c r="S63" s="212">
        <f t="shared" si="12"/>
        <v>-159326.42000000001</v>
      </c>
      <c r="T63" s="214">
        <f t="shared" si="5"/>
        <v>-0.80233513827964864</v>
      </c>
    </row>
    <row r="64" spans="1:23" ht="15.7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318">
        <f>'2021'!S64</f>
        <v>439818242.13999999</v>
      </c>
      <c r="H64" s="318">
        <f>'2021'!S138</f>
        <v>521934928.67442834</v>
      </c>
      <c r="I64" s="226">
        <f t="shared" si="9"/>
        <v>-82116686.534428358</v>
      </c>
      <c r="J64" s="228">
        <f t="shared" si="1"/>
        <v>-0.15733127258407908</v>
      </c>
      <c r="K64" s="318">
        <f>SUM('2020'!G64:J64)</f>
        <v>492504352.12599999</v>
      </c>
      <c r="L64" s="226">
        <f t="shared" si="10"/>
        <v>-52686109.986000001</v>
      </c>
      <c r="M64" s="228">
        <f t="shared" si="2"/>
        <v>-0.10697592774270759</v>
      </c>
      <c r="N64" s="318">
        <f>'2021'!J64</f>
        <v>60721173.529999956</v>
      </c>
      <c r="O64" s="318">
        <f>'2021'!J138</f>
        <v>31831087.030936822</v>
      </c>
      <c r="P64" s="226">
        <f t="shared" si="11"/>
        <v>28890086.499063134</v>
      </c>
      <c r="Q64" s="228">
        <f t="shared" si="3"/>
        <v>0.90760602900506315</v>
      </c>
      <c r="R64" s="318">
        <f>'2020'!J64</f>
        <v>38052597.643999994</v>
      </c>
      <c r="S64" s="226">
        <f t="shared" si="12"/>
        <v>22668575.885999963</v>
      </c>
      <c r="T64" s="228">
        <f t="shared" si="5"/>
        <v>0.59571691000113014</v>
      </c>
    </row>
    <row r="66" spans="7:18">
      <c r="G66" s="5"/>
      <c r="H66" s="315"/>
    </row>
    <row r="67" spans="7:18">
      <c r="H67" s="290"/>
    </row>
    <row r="69" spans="7:18">
      <c r="R69" s="346"/>
    </row>
  </sheetData>
  <sheetProtection algorithmName="SHA-512" hashValue="R8zRuZaWweOqsCAzVNGre6QkcrspEjiAhyXn8NlwrJIcnHuggT6e7bApxHaycSyoQCaWFCWndouXrWzBIHqtBg==" saltValue="os0Q3+NwcIFU04ieovrIwQ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38"/>
  <sheetViews>
    <sheetView zoomScaleNormal="100" workbookViewId="0">
      <pane ySplit="1" topLeftCell="A2" activePane="bottomLeft" state="frozen"/>
      <selection pane="bottomLeft" activeCell="H10" sqref="H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590" t="str">
        <f>+Master!G251</f>
        <v>Ostvarenje budžeta</v>
      </c>
      <c r="C7" s="490"/>
      <c r="D7" s="490"/>
      <c r="E7" s="490"/>
      <c r="F7" s="490"/>
      <c r="G7" s="498">
        <v>2021</v>
      </c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502"/>
      <c r="S7" s="235" t="str">
        <f>+Master!G248</f>
        <v>BDP</v>
      </c>
      <c r="T7" s="236">
        <v>4636600000</v>
      </c>
    </row>
    <row r="8" spans="1:20" ht="16.5" customHeight="1">
      <c r="A8" s="144"/>
      <c r="B8" s="491"/>
      <c r="C8" s="492"/>
      <c r="D8" s="492"/>
      <c r="E8" s="492"/>
      <c r="F8" s="493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498" t="str">
        <f>+Master!G246</f>
        <v>Jan - Dec</v>
      </c>
      <c r="T8" s="502"/>
    </row>
    <row r="9" spans="1:20" ht="13.5" thickBot="1">
      <c r="A9" s="144"/>
      <c r="B9" s="494"/>
      <c r="C9" s="495"/>
      <c r="D9" s="495"/>
      <c r="E9" s="495"/>
      <c r="F9" s="49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31" t="str">
        <f>+VLOOKUP($A10,Master!$D$29:$G$225,4,FALSE)</f>
        <v>Prihodi budžeta</v>
      </c>
      <c r="C10" s="532"/>
      <c r="D10" s="532"/>
      <c r="E10" s="532"/>
      <c r="F10" s="532"/>
      <c r="G10" s="151">
        <f>+G11+G19+SUM(G24:G28)</f>
        <v>88645432.13000001</v>
      </c>
      <c r="H10" s="151">
        <f t="shared" ref="H10:R10" si="1">+H11+H19+SUM(H24:H28)</f>
        <v>105602053.27</v>
      </c>
      <c r="I10" s="151">
        <f t="shared" si="1"/>
        <v>154177434.69999999</v>
      </c>
      <c r="J10" s="151">
        <f t="shared" si="1"/>
        <v>143397342.51000002</v>
      </c>
      <c r="K10" s="151">
        <f t="shared" si="1"/>
        <v>0</v>
      </c>
      <c r="L10" s="151">
        <f t="shared" si="1"/>
        <v>0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491822262.61000001</v>
      </c>
      <c r="T10" s="463">
        <f>+S10/$T$7*100</f>
        <v>10.607390385411724</v>
      </c>
    </row>
    <row r="11" spans="1:20">
      <c r="A11" s="150">
        <v>711</v>
      </c>
      <c r="B11" s="533" t="str">
        <f>+VLOOKUP($A11,Master!$D$29:$G$225,4,FALSE)</f>
        <v>Porezi</v>
      </c>
      <c r="C11" s="534"/>
      <c r="D11" s="534"/>
      <c r="E11" s="534"/>
      <c r="F11" s="534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0</v>
      </c>
      <c r="L11" s="157">
        <f>+SUM(L12:L18)</f>
        <v>0</v>
      </c>
      <c r="M11" s="157">
        <f t="shared" si="2"/>
        <v>0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321253401.16000003</v>
      </c>
      <c r="T11" s="464">
        <f t="shared" ref="T11:T64" si="3">+S11/$T$7*100</f>
        <v>6.9286417021093047</v>
      </c>
    </row>
    <row r="12" spans="1:20">
      <c r="A12" s="150">
        <v>7111</v>
      </c>
      <c r="B12" s="519" t="str">
        <f>+VLOOKUP($A12,Master!$D$29:$G$225,4,FALSE)</f>
        <v>Porez na dohodak fizičkih lica</v>
      </c>
      <c r="C12" s="520"/>
      <c r="D12" s="520"/>
      <c r="E12" s="520"/>
      <c r="F12" s="520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0</v>
      </c>
      <c r="L12" s="163">
        <v>0</v>
      </c>
      <c r="M12" s="163">
        <v>0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242">
        <f t="shared" ref="S12:S63" si="4">+SUM(G12:R12)</f>
        <v>31997644.600000001</v>
      </c>
      <c r="T12" s="465">
        <f t="shared" si="3"/>
        <v>0.6901100936030713</v>
      </c>
    </row>
    <row r="13" spans="1:20">
      <c r="A13" s="150">
        <v>7112</v>
      </c>
      <c r="B13" s="519" t="str">
        <f>+VLOOKUP($A13,Master!$D$29:$G$225,4,FALSE)</f>
        <v>Porez na dobit pravnih lica</v>
      </c>
      <c r="C13" s="520"/>
      <c r="D13" s="520"/>
      <c r="E13" s="520"/>
      <c r="F13" s="520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0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242">
        <f t="shared" si="4"/>
        <v>48642282.089999996</v>
      </c>
      <c r="T13" s="465">
        <f t="shared" si="3"/>
        <v>1.0490937775525169</v>
      </c>
    </row>
    <row r="14" spans="1:20">
      <c r="A14" s="150">
        <v>7113</v>
      </c>
      <c r="B14" s="519" t="str">
        <f>+VLOOKUP($A14,Master!$D$29:$G$225,4,FALSE)</f>
        <v>Porez na promet nepokretnosti</v>
      </c>
      <c r="C14" s="520"/>
      <c r="D14" s="520"/>
      <c r="E14" s="520"/>
      <c r="F14" s="520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0</v>
      </c>
      <c r="L14" s="163">
        <v>0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449543.81999999995</v>
      </c>
      <c r="T14" s="465">
        <f t="shared" si="3"/>
        <v>9.6955488935858165E-3</v>
      </c>
    </row>
    <row r="15" spans="1:20">
      <c r="A15" s="150">
        <v>7114</v>
      </c>
      <c r="B15" s="519" t="str">
        <f>+VLOOKUP($A15,Master!$D$29:$G$225,4,FALSE)</f>
        <v>Porez na dodatu vrijednost</v>
      </c>
      <c r="C15" s="520"/>
      <c r="D15" s="520"/>
      <c r="E15" s="520"/>
      <c r="F15" s="520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0</v>
      </c>
      <c r="L15" s="163">
        <v>0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  <c r="S15" s="242">
        <f t="shared" si="4"/>
        <v>171805579.81</v>
      </c>
      <c r="T15" s="465">
        <f t="shared" si="3"/>
        <v>3.7054216410732006</v>
      </c>
    </row>
    <row r="16" spans="1:20">
      <c r="A16" s="150">
        <v>7115</v>
      </c>
      <c r="B16" s="519" t="str">
        <f>+VLOOKUP($A16,Master!$D$29:$G$225,4,FALSE)</f>
        <v>Akcize</v>
      </c>
      <c r="C16" s="520"/>
      <c r="D16" s="520"/>
      <c r="E16" s="520"/>
      <c r="F16" s="520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0</v>
      </c>
      <c r="L16" s="163">
        <v>0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242">
        <f t="shared" si="4"/>
        <v>57939694.609999999</v>
      </c>
      <c r="T16" s="465">
        <f t="shared" si="3"/>
        <v>1.2496159817538715</v>
      </c>
    </row>
    <row r="17" spans="1:23">
      <c r="A17" s="150">
        <v>7116</v>
      </c>
      <c r="B17" s="519" t="str">
        <f>+VLOOKUP($A17,Master!$D$29:$G$225,4,FALSE)</f>
        <v>Porez na međunarodnu trgovinu i transakcije</v>
      </c>
      <c r="C17" s="520"/>
      <c r="D17" s="520"/>
      <c r="E17" s="520"/>
      <c r="F17" s="520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0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242">
        <f t="shared" si="4"/>
        <v>7175474.5800000001</v>
      </c>
      <c r="T17" s="465">
        <f t="shared" si="3"/>
        <v>0.15475724841478672</v>
      </c>
    </row>
    <row r="18" spans="1:23">
      <c r="A18" s="150">
        <v>7118</v>
      </c>
      <c r="B18" s="519" t="str">
        <f>+VLOOKUP($A18,Master!$D$29:$G$225,4,FALSE)</f>
        <v>Ostali državni porezi</v>
      </c>
      <c r="C18" s="520"/>
      <c r="D18" s="520"/>
      <c r="E18" s="520"/>
      <c r="F18" s="520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0</v>
      </c>
      <c r="L18" s="163">
        <v>0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242">
        <f t="shared" si="4"/>
        <v>3243181.6500000004</v>
      </c>
      <c r="T18" s="465">
        <f t="shared" si="3"/>
        <v>6.9947410818272021E-2</v>
      </c>
    </row>
    <row r="19" spans="1:23">
      <c r="A19" s="150">
        <v>712</v>
      </c>
      <c r="B19" s="529" t="str">
        <f>+VLOOKUP($A19,Master!$D$29:$G$225,4,FALSE)</f>
        <v>Doprinosi</v>
      </c>
      <c r="C19" s="530"/>
      <c r="D19" s="530"/>
      <c r="E19" s="530"/>
      <c r="F19" s="530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0</v>
      </c>
      <c r="L19" s="169">
        <f t="shared" si="5"/>
        <v>0</v>
      </c>
      <c r="M19" s="169">
        <f t="shared" si="5"/>
        <v>0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143788136.77000001</v>
      </c>
      <c r="T19" s="466">
        <f t="shared" si="3"/>
        <v>3.1011546557822545</v>
      </c>
    </row>
    <row r="20" spans="1:23">
      <c r="A20" s="150">
        <v>7121</v>
      </c>
      <c r="B20" s="519" t="str">
        <f>+VLOOKUP($A20,Master!$D$29:$G$225,4,FALSE)</f>
        <v>Doprinosi za penzijsko i invalidsko osiguranje</v>
      </c>
      <c r="C20" s="520"/>
      <c r="D20" s="520"/>
      <c r="E20" s="520"/>
      <c r="F20" s="520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0</v>
      </c>
      <c r="L20" s="163">
        <v>0</v>
      </c>
      <c r="M20" s="163">
        <v>0</v>
      </c>
      <c r="N20" s="163">
        <v>0</v>
      </c>
      <c r="O20" s="163">
        <v>0</v>
      </c>
      <c r="P20" s="163">
        <v>0</v>
      </c>
      <c r="Q20" s="163">
        <v>0</v>
      </c>
      <c r="R20" s="163">
        <v>0</v>
      </c>
      <c r="S20" s="242">
        <f>+SUM(G20:R20)</f>
        <v>88440862.120000005</v>
      </c>
      <c r="T20" s="465">
        <f t="shared" si="3"/>
        <v>1.9074507639218394</v>
      </c>
    </row>
    <row r="21" spans="1:23">
      <c r="A21" s="150">
        <v>7122</v>
      </c>
      <c r="B21" s="519" t="str">
        <f>+VLOOKUP($A21,Master!$D$29:$G$225,4,FALSE)</f>
        <v>Doprinosi za zdravstveno osiguranje</v>
      </c>
      <c r="C21" s="520"/>
      <c r="D21" s="520"/>
      <c r="E21" s="520"/>
      <c r="F21" s="520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0</v>
      </c>
      <c r="L21" s="163">
        <v>0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242">
        <f t="shared" si="4"/>
        <v>47576082.960000001</v>
      </c>
      <c r="T21" s="465">
        <f t="shared" si="3"/>
        <v>1.0260984980373551</v>
      </c>
    </row>
    <row r="22" spans="1:23">
      <c r="A22" s="150">
        <v>7123</v>
      </c>
      <c r="B22" s="519" t="str">
        <f>+VLOOKUP($A22,Master!$D$29:$G$225,4,FALSE)</f>
        <v>Doprinosi za osiguranje od nezaposlenosti</v>
      </c>
      <c r="C22" s="520"/>
      <c r="D22" s="520"/>
      <c r="E22" s="520"/>
      <c r="F22" s="520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0</v>
      </c>
      <c r="L22" s="163">
        <v>0</v>
      </c>
      <c r="M22" s="163">
        <v>0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242">
        <f t="shared" si="4"/>
        <v>4307119.62</v>
      </c>
      <c r="T22" s="465">
        <f t="shared" si="3"/>
        <v>9.2893922701979909E-2</v>
      </c>
    </row>
    <row r="23" spans="1:23">
      <c r="A23" s="150">
        <v>7124</v>
      </c>
      <c r="B23" s="519" t="str">
        <f>+VLOOKUP($A23,Master!$D$29:$G$225,4,FALSE)</f>
        <v>Ostali doprinosi</v>
      </c>
      <c r="C23" s="520"/>
      <c r="D23" s="520"/>
      <c r="E23" s="520"/>
      <c r="F23" s="520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0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242">
        <f t="shared" si="4"/>
        <v>3464072.0700000003</v>
      </c>
      <c r="T23" s="465">
        <f t="shared" si="3"/>
        <v>7.4711471121080106E-2</v>
      </c>
      <c r="W23" s="305"/>
    </row>
    <row r="24" spans="1:23">
      <c r="A24" s="150">
        <v>713</v>
      </c>
      <c r="B24" s="521" t="str">
        <f>+VLOOKUP($A24,Master!$D$29:$G$225,4,FALSE)</f>
        <v>Takse</v>
      </c>
      <c r="C24" s="522"/>
      <c r="D24" s="522"/>
      <c r="E24" s="522"/>
      <c r="F24" s="522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0</v>
      </c>
      <c r="L24" s="175">
        <v>0</v>
      </c>
      <c r="M24" s="175">
        <v>0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243">
        <f t="shared" si="4"/>
        <v>2871308.4700000007</v>
      </c>
      <c r="T24" s="466">
        <f t="shared" si="3"/>
        <v>6.1927025622223193E-2</v>
      </c>
      <c r="W24" s="305"/>
    </row>
    <row r="25" spans="1:23">
      <c r="A25" s="150">
        <v>714</v>
      </c>
      <c r="B25" s="521" t="str">
        <f>+VLOOKUP($A25,Master!$D$29:$G$225,4,FALSE)</f>
        <v>Naknade</v>
      </c>
      <c r="C25" s="522"/>
      <c r="D25" s="522"/>
      <c r="E25" s="522"/>
      <c r="F25" s="522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0</v>
      </c>
      <c r="L25" s="175">
        <v>0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243">
        <f t="shared" si="4"/>
        <v>11165523.75</v>
      </c>
      <c r="T25" s="466">
        <f t="shared" si="3"/>
        <v>0.24081274533063021</v>
      </c>
    </row>
    <row r="26" spans="1:23">
      <c r="A26" s="150">
        <v>715</v>
      </c>
      <c r="B26" s="521" t="str">
        <f>+VLOOKUP($A26,Master!$D$29:$G$225,4,FALSE)</f>
        <v>Ostali prihodi</v>
      </c>
      <c r="C26" s="522"/>
      <c r="D26" s="522"/>
      <c r="E26" s="522"/>
      <c r="F26" s="522"/>
      <c r="G26" s="175">
        <v>1525774.85</v>
      </c>
      <c r="H26" s="175">
        <v>1791757.35</v>
      </c>
      <c r="I26" s="175">
        <v>1695243.19</v>
      </c>
      <c r="J26" s="175">
        <v>1359110.1400000001</v>
      </c>
      <c r="K26" s="175">
        <v>0</v>
      </c>
      <c r="L26" s="175">
        <v>0</v>
      </c>
      <c r="M26" s="175">
        <v>0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243">
        <f t="shared" si="4"/>
        <v>6371885.5300000012</v>
      </c>
      <c r="T26" s="466">
        <f t="shared" si="3"/>
        <v>0.1374258191347108</v>
      </c>
    </row>
    <row r="27" spans="1:23">
      <c r="A27" s="150">
        <v>73</v>
      </c>
      <c r="B27" s="521" t="str">
        <f>+VLOOKUP($A27,Master!$D$29:$G$225,4,FALSE)</f>
        <v>Primici od otplate kredita i sredstva prenesena iz prethodne godine</v>
      </c>
      <c r="C27" s="522"/>
      <c r="D27" s="522"/>
      <c r="E27" s="522"/>
      <c r="F27" s="522"/>
      <c r="G27" s="175">
        <v>110781.34</v>
      </c>
      <c r="H27" s="175">
        <v>820681.81</v>
      </c>
      <c r="I27" s="175">
        <v>648742.61</v>
      </c>
      <c r="J27" s="175">
        <v>178904.78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1759110.54</v>
      </c>
      <c r="T27" s="466">
        <f t="shared" si="3"/>
        <v>3.7939665703317089E-2</v>
      </c>
    </row>
    <row r="28" spans="1:23" ht="13.5" thickBot="1">
      <c r="A28" s="150">
        <v>74</v>
      </c>
      <c r="B28" s="523" t="str">
        <f>+VLOOKUP($A28,Master!$D$29:$G$225,4,FALSE)</f>
        <v>Donacije i transferi</v>
      </c>
      <c r="C28" s="524"/>
      <c r="D28" s="524"/>
      <c r="E28" s="524"/>
      <c r="F28" s="524"/>
      <c r="G28" s="175">
        <v>196070.01</v>
      </c>
      <c r="H28" s="175">
        <v>1359247.78</v>
      </c>
      <c r="I28" s="175">
        <v>1506140.11</v>
      </c>
      <c r="J28" s="175">
        <v>1551438.49</v>
      </c>
      <c r="K28" s="175">
        <v>0</v>
      </c>
      <c r="L28" s="175">
        <v>0</v>
      </c>
      <c r="M28" s="175"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243">
        <f t="shared" si="4"/>
        <v>4612896.3900000006</v>
      </c>
      <c r="T28" s="467">
        <f t="shared" si="3"/>
        <v>9.9488771729284414E-2</v>
      </c>
    </row>
    <row r="29" spans="1:23" ht="13.5" thickBot="1">
      <c r="A29" s="150">
        <v>4</v>
      </c>
      <c r="B29" s="509" t="str">
        <f>+VLOOKUP($A29,Master!$D$29:$G$225,4,FALSE)</f>
        <v>Izdaci budžeta</v>
      </c>
      <c r="C29" s="510"/>
      <c r="D29" s="510"/>
      <c r="E29" s="510"/>
      <c r="F29" s="510"/>
      <c r="G29" s="151">
        <f>+G30+G40+G46+SUM(G47:G51)</f>
        <v>127396828.25</v>
      </c>
      <c r="H29" s="151">
        <f t="shared" ref="H29:R29" si="6">+H30+H40+H46+SUM(H47:H51)</f>
        <v>159900252.53</v>
      </c>
      <c r="I29" s="151">
        <f t="shared" si="6"/>
        <v>164547130.84999999</v>
      </c>
      <c r="J29" s="151">
        <f t="shared" si="6"/>
        <v>182022620.97999999</v>
      </c>
      <c r="K29" s="151">
        <f t="shared" si="6"/>
        <v>0</v>
      </c>
      <c r="L29" s="151">
        <f t="shared" si="6"/>
        <v>0</v>
      </c>
      <c r="M29" s="151">
        <f t="shared" si="6"/>
        <v>0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633866832.61000001</v>
      </c>
      <c r="T29" s="468">
        <f t="shared" si="3"/>
        <v>13.670940616184273</v>
      </c>
    </row>
    <row r="30" spans="1:23">
      <c r="A30" s="150">
        <v>41</v>
      </c>
      <c r="B30" s="527" t="str">
        <f>+VLOOKUP($A30,Master!$D$29:$G$225,4,FALSE)</f>
        <v>Tekući izdaci</v>
      </c>
      <c r="C30" s="528"/>
      <c r="D30" s="528"/>
      <c r="E30" s="528"/>
      <c r="F30" s="528"/>
      <c r="G30" s="187">
        <f t="shared" ref="G30:R30" si="7">+SUM(G31:G39)</f>
        <v>51210284.650000006</v>
      </c>
      <c r="H30" s="187">
        <f t="shared" si="7"/>
        <v>62968222.63000001</v>
      </c>
      <c r="I30" s="187">
        <f t="shared" si="7"/>
        <v>74936551.299999997</v>
      </c>
      <c r="J30" s="187">
        <f t="shared" si="7"/>
        <v>90501387.170000002</v>
      </c>
      <c r="K30" s="187">
        <f t="shared" si="7"/>
        <v>0</v>
      </c>
      <c r="L30" s="187">
        <f t="shared" si="7"/>
        <v>0</v>
      </c>
      <c r="M30" s="187">
        <f t="shared" si="7"/>
        <v>0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5">
        <f t="shared" si="4"/>
        <v>279616445.75</v>
      </c>
      <c r="T30" s="464">
        <f t="shared" si="3"/>
        <v>6.0306355033861019</v>
      </c>
      <c r="U30" s="242"/>
    </row>
    <row r="31" spans="1:23">
      <c r="A31" s="150">
        <v>411</v>
      </c>
      <c r="B31" s="519" t="str">
        <f>+VLOOKUP($A31,Master!$D$29:$G$225,4,FALSE)</f>
        <v>Bruto zarade i doprinosi na teret poslodavca</v>
      </c>
      <c r="C31" s="520"/>
      <c r="D31" s="520"/>
      <c r="E31" s="520"/>
      <c r="F31" s="520"/>
      <c r="G31" s="163">
        <v>40605076.340000004</v>
      </c>
      <c r="H31" s="163">
        <v>49306948.350000001</v>
      </c>
      <c r="I31" s="163">
        <v>44665315.899999999</v>
      </c>
      <c r="J31" s="163">
        <v>46104548.219999999</v>
      </c>
      <c r="K31" s="163">
        <v>0</v>
      </c>
      <c r="L31" s="163">
        <v>0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242">
        <f t="shared" si="4"/>
        <v>180681888.81</v>
      </c>
      <c r="T31" s="465">
        <f t="shared" si="3"/>
        <v>3.8968616833455552</v>
      </c>
    </row>
    <row r="32" spans="1:23">
      <c r="A32" s="150">
        <v>412</v>
      </c>
      <c r="B32" s="519" t="str">
        <f>+VLOOKUP($A32,Master!$D$29:$G$225,4,FALSE)</f>
        <v>Ostala lična primanja</v>
      </c>
      <c r="C32" s="520"/>
      <c r="D32" s="520"/>
      <c r="E32" s="520"/>
      <c r="F32" s="520"/>
      <c r="G32" s="163">
        <v>108603.95</v>
      </c>
      <c r="H32" s="163">
        <v>889477.21</v>
      </c>
      <c r="I32" s="163">
        <v>864572.5</v>
      </c>
      <c r="J32" s="163">
        <v>1093748.1599999999</v>
      </c>
      <c r="K32" s="163">
        <v>0</v>
      </c>
      <c r="L32" s="163">
        <v>0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242">
        <f t="shared" si="4"/>
        <v>2956401.82</v>
      </c>
      <c r="T32" s="465">
        <f t="shared" si="3"/>
        <v>6.3762278825001073E-2</v>
      </c>
      <c r="U32" s="458"/>
    </row>
    <row r="33" spans="1:21">
      <c r="A33" s="150">
        <v>413</v>
      </c>
      <c r="B33" s="519" t="str">
        <f>+VLOOKUP($A33,Master!$D$29:$G$225,4,FALSE)</f>
        <v>Rashodi za materijal</v>
      </c>
      <c r="C33" s="520"/>
      <c r="D33" s="520"/>
      <c r="E33" s="520"/>
      <c r="F33" s="520"/>
      <c r="G33" s="163">
        <v>596838.26</v>
      </c>
      <c r="H33" s="163">
        <v>1661848.94</v>
      </c>
      <c r="I33" s="163">
        <v>2846615.59</v>
      </c>
      <c r="J33" s="163">
        <v>2297097.17</v>
      </c>
      <c r="K33" s="163">
        <v>0</v>
      </c>
      <c r="L33" s="163">
        <v>0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242">
        <f t="shared" si="4"/>
        <v>7402399.96</v>
      </c>
      <c r="T33" s="465">
        <f t="shared" si="3"/>
        <v>0.15965146788595092</v>
      </c>
      <c r="U33" s="458"/>
    </row>
    <row r="34" spans="1:21" s="362" customFormat="1">
      <c r="A34" s="361">
        <v>414</v>
      </c>
      <c r="B34" s="588" t="str">
        <f>+VLOOKUP($A34,Master!$D$29:$G$225,4,FALSE)</f>
        <v>Rashodi za usluge</v>
      </c>
      <c r="C34" s="589"/>
      <c r="D34" s="589"/>
      <c r="E34" s="589"/>
      <c r="F34" s="589"/>
      <c r="G34" s="163">
        <v>1050676.99</v>
      </c>
      <c r="H34" s="163">
        <v>2624320.42</v>
      </c>
      <c r="I34" s="163">
        <v>3354943</v>
      </c>
      <c r="J34" s="163">
        <v>6158096.0800000001</v>
      </c>
      <c r="K34" s="163">
        <v>0</v>
      </c>
      <c r="L34" s="163">
        <v>0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242">
        <f t="shared" si="4"/>
        <v>13188036.49</v>
      </c>
      <c r="T34" s="465">
        <f t="shared" si="3"/>
        <v>0.28443334533925724</v>
      </c>
      <c r="U34" s="458"/>
    </row>
    <row r="35" spans="1:21">
      <c r="A35" s="150">
        <v>415</v>
      </c>
      <c r="B35" s="519" t="str">
        <f>+VLOOKUP($A35,Master!$D$29:$G$225,4,FALSE)</f>
        <v>Rashodi za tekuće održavanje</v>
      </c>
      <c r="C35" s="520"/>
      <c r="D35" s="520"/>
      <c r="E35" s="520"/>
      <c r="F35" s="520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0</v>
      </c>
      <c r="L35" s="163">
        <v>0</v>
      </c>
      <c r="M35" s="163">
        <v>0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242">
        <f t="shared" si="4"/>
        <v>5229515.1500000004</v>
      </c>
      <c r="T35" s="465">
        <f t="shared" si="3"/>
        <v>0.11278771405771472</v>
      </c>
      <c r="U35" s="458"/>
    </row>
    <row r="36" spans="1:21">
      <c r="A36" s="150">
        <v>416</v>
      </c>
      <c r="B36" s="519" t="str">
        <f>+VLOOKUP($A36,Master!$D$29:$G$225,4,FALSE)</f>
        <v>Kamate</v>
      </c>
      <c r="C36" s="520"/>
      <c r="D36" s="520"/>
      <c r="E36" s="520"/>
      <c r="F36" s="520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0</v>
      </c>
      <c r="L36" s="163">
        <v>0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242">
        <f>+SUM(G36:R36)</f>
        <v>47098169.980000004</v>
      </c>
      <c r="T36" s="465">
        <f t="shared" si="3"/>
        <v>1.01579109649312</v>
      </c>
      <c r="U36" s="458"/>
    </row>
    <row r="37" spans="1:21">
      <c r="A37" s="150">
        <v>417</v>
      </c>
      <c r="B37" s="519" t="str">
        <f>+VLOOKUP($A37,Master!$D$29:$G$225,4,FALSE)</f>
        <v>Renta</v>
      </c>
      <c r="C37" s="520"/>
      <c r="D37" s="520"/>
      <c r="E37" s="520"/>
      <c r="F37" s="520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0</v>
      </c>
      <c r="L37" s="163">
        <v>0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242">
        <f t="shared" si="4"/>
        <v>2598339.62</v>
      </c>
      <c r="T37" s="465">
        <f t="shared" si="3"/>
        <v>5.6039762325842207E-2</v>
      </c>
      <c r="U37" s="458"/>
    </row>
    <row r="38" spans="1:21">
      <c r="A38" s="150">
        <v>418</v>
      </c>
      <c r="B38" s="519" t="str">
        <f>+VLOOKUP($A38,Master!$D$29:$G$225,4,FALSE)</f>
        <v>Subvencije</v>
      </c>
      <c r="C38" s="520"/>
      <c r="D38" s="520"/>
      <c r="E38" s="520"/>
      <c r="F38" s="520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0</v>
      </c>
      <c r="L38" s="163">
        <v>0</v>
      </c>
      <c r="M38" s="163">
        <v>0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242">
        <f t="shared" si="4"/>
        <v>11211087.18</v>
      </c>
      <c r="T38" s="465">
        <f t="shared" si="3"/>
        <v>0.24179543587973945</v>
      </c>
      <c r="U38" s="458"/>
    </row>
    <row r="39" spans="1:21" s="362" customFormat="1">
      <c r="A39" s="361">
        <v>419</v>
      </c>
      <c r="B39" s="588" t="str">
        <f>+VLOOKUP($A39,Master!$D$29:$G$225,4,FALSE)</f>
        <v>Ostali izdaci</v>
      </c>
      <c r="C39" s="589"/>
      <c r="D39" s="589"/>
      <c r="E39" s="589"/>
      <c r="F39" s="589"/>
      <c r="G39" s="163">
        <v>792964.83</v>
      </c>
      <c r="H39" s="163">
        <v>2319889.5099999998</v>
      </c>
      <c r="I39" s="163">
        <v>3429558.98</v>
      </c>
      <c r="J39" s="163">
        <v>2708193.42</v>
      </c>
      <c r="K39" s="163">
        <v>0</v>
      </c>
      <c r="L39" s="163">
        <v>0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242">
        <f t="shared" si="4"/>
        <v>9250606.7400000002</v>
      </c>
      <c r="T39" s="465">
        <f t="shared" si="3"/>
        <v>0.19951271923392142</v>
      </c>
      <c r="U39" s="458"/>
    </row>
    <row r="40" spans="1:21">
      <c r="A40" s="150">
        <v>42</v>
      </c>
      <c r="B40" s="515" t="str">
        <f>+VLOOKUP($A40,Master!$D$29:$G$225,4,FALSE)</f>
        <v>Transferi za socijalnu zaštitu</v>
      </c>
      <c r="C40" s="516"/>
      <c r="D40" s="516"/>
      <c r="E40" s="516"/>
      <c r="F40" s="516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75">
        <f t="shared" si="8"/>
        <v>47454391.899999991</v>
      </c>
      <c r="K40" s="193">
        <f t="shared" si="8"/>
        <v>0</v>
      </c>
      <c r="L40" s="193">
        <f t="shared" si="8"/>
        <v>0</v>
      </c>
      <c r="M40" s="193">
        <f t="shared" si="8"/>
        <v>0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243">
        <f t="shared" si="4"/>
        <v>184678602.47999996</v>
      </c>
      <c r="T40" s="466">
        <f t="shared" si="3"/>
        <v>3.9830609170512865</v>
      </c>
      <c r="U40" s="242"/>
    </row>
    <row r="41" spans="1:21">
      <c r="A41" s="150">
        <v>421</v>
      </c>
      <c r="B41" s="519" t="str">
        <f>+VLOOKUP($A41,Master!$D$29:$G$225,4,FALSE)</f>
        <v>Prava iz oblasti socijalne zaštite</v>
      </c>
      <c r="C41" s="520"/>
      <c r="D41" s="520"/>
      <c r="E41" s="520"/>
      <c r="F41" s="520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0</v>
      </c>
      <c r="L41" s="163">
        <v>0</v>
      </c>
      <c r="M41" s="163">
        <v>0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242">
        <f t="shared" si="4"/>
        <v>26556579.059999999</v>
      </c>
      <c r="T41" s="465">
        <f t="shared" si="3"/>
        <v>0.57275976060043998</v>
      </c>
      <c r="U41" s="458"/>
    </row>
    <row r="42" spans="1:21">
      <c r="A42" s="150">
        <v>422</v>
      </c>
      <c r="B42" s="519" t="str">
        <f>+VLOOKUP($A42,Master!$D$29:$G$225,4,FALSE)</f>
        <v>Sredstva za tehnološke viškove</v>
      </c>
      <c r="C42" s="520"/>
      <c r="D42" s="520"/>
      <c r="E42" s="520"/>
      <c r="F42" s="520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0</v>
      </c>
      <c r="L42" s="163">
        <v>0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  <c r="R42" s="163">
        <v>0</v>
      </c>
      <c r="S42" s="242">
        <f t="shared" si="4"/>
        <v>5282918.5399999991</v>
      </c>
      <c r="T42" s="465">
        <f t="shared" si="3"/>
        <v>0.11393949316309362</v>
      </c>
      <c r="U42" s="458"/>
    </row>
    <row r="43" spans="1:21">
      <c r="A43" s="150">
        <v>423</v>
      </c>
      <c r="B43" s="519" t="str">
        <f>+VLOOKUP($A43,Master!$D$29:$G$225,4,FALSE)</f>
        <v>Prava iz oblasti penzijskog i invalidskog osiguranja</v>
      </c>
      <c r="C43" s="520"/>
      <c r="D43" s="520"/>
      <c r="E43" s="520"/>
      <c r="F43" s="520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0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242">
        <f t="shared" si="4"/>
        <v>144585096.34</v>
      </c>
      <c r="T43" s="465">
        <f t="shared" si="3"/>
        <v>3.1183431035672693</v>
      </c>
      <c r="U43" s="458"/>
    </row>
    <row r="44" spans="1:21">
      <c r="A44" s="150">
        <v>424</v>
      </c>
      <c r="B44" s="519" t="str">
        <f>+VLOOKUP($A44,Master!$D$29:$G$225,4,FALSE)</f>
        <v>Ostala prava iz oblasti zdravstvene zaštite</v>
      </c>
      <c r="C44" s="520"/>
      <c r="D44" s="520"/>
      <c r="E44" s="520"/>
      <c r="F44" s="520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0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242">
        <f t="shared" si="4"/>
        <v>5161828.5</v>
      </c>
      <c r="T44" s="465">
        <f t="shared" si="3"/>
        <v>0.11132788034335504</v>
      </c>
      <c r="U44" s="458"/>
    </row>
    <row r="45" spans="1:21" s="362" customFormat="1">
      <c r="A45" s="361">
        <v>425</v>
      </c>
      <c r="B45" s="584" t="str">
        <f>+VLOOKUP($A45,Master!$D$29:$G$225,4,FALSE)</f>
        <v>Ostala prava iz zdravstvenog osiguranja</v>
      </c>
      <c r="C45" s="585"/>
      <c r="D45" s="585"/>
      <c r="E45" s="585"/>
      <c r="F45" s="585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0</v>
      </c>
      <c r="L45" s="163">
        <v>0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242">
        <f t="shared" si="4"/>
        <v>3092180.04</v>
      </c>
      <c r="T45" s="465">
        <f t="shared" si="3"/>
        <v>6.6690679377129788E-2</v>
      </c>
      <c r="U45" s="458"/>
    </row>
    <row r="46" spans="1:21">
      <c r="A46" s="150">
        <v>43</v>
      </c>
      <c r="B46" s="517" t="str">
        <f>+VLOOKUP($A46,Master!$D$29:$G$225,4,FALSE)</f>
        <v xml:space="preserve">Transferi institucijama, pojedincima, nevladinom i javnom sektoru </v>
      </c>
      <c r="C46" s="518"/>
      <c r="D46" s="518"/>
      <c r="E46" s="518"/>
      <c r="F46" s="518"/>
      <c r="G46" s="175">
        <v>12392775.73</v>
      </c>
      <c r="H46" s="175">
        <v>21090087.879999999</v>
      </c>
      <c r="I46" s="175">
        <v>23735027.57</v>
      </c>
      <c r="J46" s="175">
        <v>17556277.370000001</v>
      </c>
      <c r="K46" s="175">
        <v>0</v>
      </c>
      <c r="L46" s="175">
        <v>0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243">
        <f t="shared" si="4"/>
        <v>74774168.549999997</v>
      </c>
      <c r="T46" s="466">
        <f t="shared" si="3"/>
        <v>1.6126939686408142</v>
      </c>
      <c r="U46" s="482"/>
    </row>
    <row r="47" spans="1:21">
      <c r="A47" s="150">
        <v>44</v>
      </c>
      <c r="B47" s="517" t="str">
        <f>+VLOOKUP($A47,Master!$D$29:$G$225,4,FALSE)</f>
        <v>Kapitalni izdaci</v>
      </c>
      <c r="C47" s="518"/>
      <c r="D47" s="518"/>
      <c r="E47" s="518"/>
      <c r="F47" s="518"/>
      <c r="G47" s="175">
        <v>11603510.130000001</v>
      </c>
      <c r="H47" s="175">
        <v>7242535.6100000003</v>
      </c>
      <c r="I47" s="175">
        <v>8279888.46</v>
      </c>
      <c r="J47" s="175">
        <v>14713319.380000001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243">
        <f t="shared" si="4"/>
        <v>41839253.580000006</v>
      </c>
      <c r="T47" s="466">
        <f t="shared" si="3"/>
        <v>0.90236927015485502</v>
      </c>
      <c r="U47" s="482"/>
    </row>
    <row r="48" spans="1:21">
      <c r="A48" s="150">
        <v>451</v>
      </c>
      <c r="B48" s="586" t="str">
        <f>+VLOOKUP($A48,Master!$D$29:$G$225,4,FALSE)</f>
        <v>Pozajmice i krediti</v>
      </c>
      <c r="C48" s="587"/>
      <c r="D48" s="587"/>
      <c r="E48" s="587"/>
      <c r="F48" s="587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552118</v>
      </c>
      <c r="T48" s="465">
        <f t="shared" si="3"/>
        <v>1.1907820385627399E-2</v>
      </c>
      <c r="U48" s="482"/>
    </row>
    <row r="49" spans="1:21" s="362" customFormat="1">
      <c r="A49" s="361">
        <v>47</v>
      </c>
      <c r="B49" s="578" t="str">
        <f>+VLOOKUP($A49,Master!$D$29:$G$225,4,FALSE)</f>
        <v>Rezerve</v>
      </c>
      <c r="C49" s="579"/>
      <c r="D49" s="579"/>
      <c r="E49" s="579"/>
      <c r="F49" s="579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0</v>
      </c>
      <c r="L49" s="163">
        <v>0</v>
      </c>
      <c r="M49" s="163">
        <v>0</v>
      </c>
      <c r="N49" s="163">
        <v>0</v>
      </c>
      <c r="O49" s="163">
        <v>0</v>
      </c>
      <c r="P49" s="163">
        <v>0</v>
      </c>
      <c r="Q49" s="163">
        <v>0</v>
      </c>
      <c r="R49" s="163">
        <v>0</v>
      </c>
      <c r="S49" s="242">
        <f t="shared" si="4"/>
        <v>42938484.699999996</v>
      </c>
      <c r="T49" s="465">
        <f t="shared" si="3"/>
        <v>0.92607696803692352</v>
      </c>
      <c r="U49" s="482"/>
    </row>
    <row r="50" spans="1:21" ht="13.5" thickBot="1">
      <c r="A50" s="150">
        <v>462</v>
      </c>
      <c r="B50" s="505" t="str">
        <f>+VLOOKUP($A50,Master!$D$29:$G$225,4,FALSE)</f>
        <v>Otplata garancija</v>
      </c>
      <c r="C50" s="506"/>
      <c r="D50" s="506"/>
      <c r="E50" s="506"/>
      <c r="F50" s="506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3831496.4</v>
      </c>
      <c r="T50" s="465">
        <f t="shared" si="3"/>
        <v>8.2635905620497774E-2</v>
      </c>
      <c r="U50" s="482"/>
    </row>
    <row r="51" spans="1:21" ht="13.5" thickBot="1">
      <c r="A51" s="144">
        <v>4630</v>
      </c>
      <c r="B51" s="580" t="str">
        <f>+VLOOKUP($A51,Master!$D$29:$G$225,4,TRUE)</f>
        <v>Otplata obaveza iz prethodnog perioda</v>
      </c>
      <c r="C51" s="581"/>
      <c r="D51" s="581"/>
      <c r="E51" s="581"/>
      <c r="F51" s="581"/>
      <c r="G51" s="459">
        <v>1018944.7</v>
      </c>
      <c r="H51" s="459">
        <v>1642283.23</v>
      </c>
      <c r="I51" s="459">
        <v>1594695.57</v>
      </c>
      <c r="J51" s="459">
        <v>1380339.65</v>
      </c>
      <c r="K51" s="459">
        <v>0</v>
      </c>
      <c r="L51" s="459">
        <v>0</v>
      </c>
      <c r="M51" s="459">
        <v>0</v>
      </c>
      <c r="N51" s="459">
        <v>0</v>
      </c>
      <c r="O51" s="459">
        <v>0</v>
      </c>
      <c r="P51" s="459">
        <v>0</v>
      </c>
      <c r="Q51" s="459">
        <v>0</v>
      </c>
      <c r="R51" s="460">
        <v>0</v>
      </c>
      <c r="S51" s="426">
        <f>+SUM(G51:R51)</f>
        <v>5636263.1500000004</v>
      </c>
      <c r="T51" s="469">
        <f t="shared" si="3"/>
        <v>0.12156026290816548</v>
      </c>
      <c r="U51" s="482"/>
    </row>
    <row r="52" spans="1:21" ht="13.5" thickBot="1">
      <c r="A52" s="70">
        <v>1005</v>
      </c>
      <c r="B52" s="582" t="str">
        <f>+VLOOKUP($A52,Master!$D$29:$G$227,4,FALSE)</f>
        <v>Neto povećanje obaveza</v>
      </c>
      <c r="C52" s="583"/>
      <c r="D52" s="583"/>
      <c r="E52" s="583"/>
      <c r="F52" s="583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70">
        <f t="shared" si="3"/>
        <v>0</v>
      </c>
      <c r="U52" s="483"/>
    </row>
    <row r="53" spans="1:21" ht="13.5" thickBot="1">
      <c r="A53" s="144">
        <v>1000</v>
      </c>
      <c r="B53" s="511" t="str">
        <f>+VLOOKUP($A53,Master!$D$29:$G$225,4,FALSE)</f>
        <v>Suficit / deficit</v>
      </c>
      <c r="C53" s="512"/>
      <c r="D53" s="512"/>
      <c r="E53" s="512"/>
      <c r="F53" s="512"/>
      <c r="G53" s="151">
        <f t="shared" ref="G53:R53" si="9">+G10-G29</f>
        <v>-38751396.11999999</v>
      </c>
      <c r="H53" s="151">
        <f t="shared" si="9"/>
        <v>-54298199.260000005</v>
      </c>
      <c r="I53" s="151">
        <f t="shared" si="9"/>
        <v>-10369696.150000006</v>
      </c>
      <c r="J53" s="151">
        <f t="shared" si="9"/>
        <v>-38625278.469999969</v>
      </c>
      <c r="K53" s="151">
        <f t="shared" si="9"/>
        <v>0</v>
      </c>
      <c r="L53" s="151">
        <f t="shared" si="9"/>
        <v>0</v>
      </c>
      <c r="M53" s="151">
        <f t="shared" si="9"/>
        <v>0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-142044569.99999997</v>
      </c>
      <c r="T53" s="471">
        <f t="shared" si="3"/>
        <v>-3.0635502307725484</v>
      </c>
    </row>
    <row r="54" spans="1:21" ht="13.5" thickBot="1">
      <c r="A54" s="144">
        <v>1001</v>
      </c>
      <c r="B54" s="513" t="str">
        <f>+VLOOKUP($A54,Master!$D$29:$G$225,4,FALSE)</f>
        <v>Primarni suficit/deficit</v>
      </c>
      <c r="C54" s="514"/>
      <c r="D54" s="514"/>
      <c r="E54" s="514"/>
      <c r="F54" s="514"/>
      <c r="G54" s="205">
        <f t="shared" ref="G54:R54" si="10">+G53+G36</f>
        <v>-31173911.04999999</v>
      </c>
      <c r="H54" s="205">
        <f t="shared" si="10"/>
        <v>-52334008.880000003</v>
      </c>
      <c r="I54" s="205">
        <f t="shared" si="10"/>
        <v>4418286.4199999943</v>
      </c>
      <c r="J54" s="205">
        <f t="shared" si="10"/>
        <v>-15856766.509999968</v>
      </c>
      <c r="K54" s="205">
        <f t="shared" si="10"/>
        <v>0</v>
      </c>
      <c r="L54" s="205">
        <f t="shared" si="10"/>
        <v>0</v>
      </c>
      <c r="M54" s="205">
        <f t="shared" si="10"/>
        <v>0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-94946400.019999951</v>
      </c>
      <c r="T54" s="471">
        <f t="shared" si="3"/>
        <v>-2.0477591342794277</v>
      </c>
    </row>
    <row r="55" spans="1:21">
      <c r="A55" s="144">
        <v>46</v>
      </c>
      <c r="B55" s="576" t="str">
        <f>+VLOOKUP($A55,Master!$D$29:$G$225,4,FALSE)</f>
        <v>Otplata dugova</v>
      </c>
      <c r="C55" s="577"/>
      <c r="D55" s="577"/>
      <c r="E55" s="577"/>
      <c r="F55" s="577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0</v>
      </c>
      <c r="L55" s="193">
        <f t="shared" si="11"/>
        <v>0</v>
      </c>
      <c r="M55" s="193">
        <f t="shared" si="11"/>
        <v>0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319223024.67000002</v>
      </c>
      <c r="T55" s="472">
        <f t="shared" si="3"/>
        <v>6.8848515004529185</v>
      </c>
    </row>
    <row r="56" spans="1:21">
      <c r="A56" s="144">
        <v>4611</v>
      </c>
      <c r="B56" s="503" t="str">
        <f>+VLOOKUP($A56,Master!$D$29:$G$225,4,FALSE)</f>
        <v>Otplata hartija od vrijednosti i kredita rezidentima</v>
      </c>
      <c r="C56" s="504"/>
      <c r="D56" s="504"/>
      <c r="E56" s="504"/>
      <c r="F56" s="504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0</v>
      </c>
      <c r="L56" s="211">
        <v>0</v>
      </c>
      <c r="M56" s="211">
        <v>0</v>
      </c>
      <c r="N56" s="211">
        <v>0</v>
      </c>
      <c r="O56" s="211">
        <v>0</v>
      </c>
      <c r="P56" s="211">
        <v>0</v>
      </c>
      <c r="Q56" s="211">
        <v>0</v>
      </c>
      <c r="R56" s="211">
        <v>0</v>
      </c>
      <c r="S56" s="250">
        <f t="shared" si="4"/>
        <v>54995506.770000003</v>
      </c>
      <c r="T56" s="473">
        <f t="shared" si="3"/>
        <v>1.1861171282836562</v>
      </c>
    </row>
    <row r="57" spans="1:21" ht="13.5" thickBot="1">
      <c r="A57" s="144">
        <v>4612</v>
      </c>
      <c r="B57" s="487" t="str">
        <f>+VLOOKUP($A57,Master!$D$29:$G$225,4,FALSE)</f>
        <v>Otplata hartija od vrijednosti i kredita nerezidentima</v>
      </c>
      <c r="C57" s="488"/>
      <c r="D57" s="488"/>
      <c r="E57" s="488"/>
      <c r="F57" s="488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0</v>
      </c>
      <c r="L57" s="211">
        <v>0</v>
      </c>
      <c r="M57" s="211">
        <v>0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50">
        <f t="shared" si="4"/>
        <v>264227517.89999998</v>
      </c>
      <c r="T57" s="473">
        <f t="shared" si="3"/>
        <v>5.6987343721692607</v>
      </c>
    </row>
    <row r="58" spans="1:21" ht="13.5" thickBot="1">
      <c r="A58" s="144">
        <v>4418</v>
      </c>
      <c r="B58" s="525" t="str">
        <f>+VLOOKUP($A58,Master!$D$29:$G$225,4,FALSE)</f>
        <v>Izdaci za kupovinu hartija od vrijednosti</v>
      </c>
      <c r="C58" s="526"/>
      <c r="D58" s="526"/>
      <c r="E58" s="526"/>
      <c r="F58" s="526"/>
      <c r="G58" s="461">
        <v>0</v>
      </c>
      <c r="H58" s="461">
        <v>0</v>
      </c>
      <c r="I58" s="461">
        <v>0</v>
      </c>
      <c r="J58" s="461">
        <v>0</v>
      </c>
      <c r="K58" s="461">
        <v>0</v>
      </c>
      <c r="L58" s="461">
        <v>0</v>
      </c>
      <c r="M58" s="461">
        <v>0</v>
      </c>
      <c r="N58" s="461">
        <v>0</v>
      </c>
      <c r="O58" s="461">
        <v>0</v>
      </c>
      <c r="P58" s="461">
        <v>0</v>
      </c>
      <c r="Q58" s="461">
        <v>0</v>
      </c>
      <c r="R58" s="462">
        <v>0</v>
      </c>
      <c r="S58" s="249">
        <f>SUM(G58:R58)</f>
        <v>0</v>
      </c>
      <c r="T58" s="474">
        <f t="shared" si="3"/>
        <v>0</v>
      </c>
    </row>
    <row r="59" spans="1:21" ht="13.5" thickBot="1">
      <c r="A59" s="144">
        <v>1002</v>
      </c>
      <c r="B59" s="507" t="str">
        <f>+VLOOKUP($A59,Master!$D$29:$G$225,4,FALSE)</f>
        <v>Nedostajuća sredstva</v>
      </c>
      <c r="C59" s="508"/>
      <c r="D59" s="508"/>
      <c r="E59" s="508"/>
      <c r="F59" s="508"/>
      <c r="G59" s="217">
        <f>+G53-G55-G58</f>
        <v>-62082164.93999999</v>
      </c>
      <c r="H59" s="217">
        <f t="shared" ref="H59:R59" si="12">+H53-H55-H58</f>
        <v>-78553220.610000014</v>
      </c>
      <c r="I59" s="217">
        <f t="shared" si="12"/>
        <v>-249153467.39000002</v>
      </c>
      <c r="J59" s="217">
        <f t="shared" si="12"/>
        <v>-71478741.729999959</v>
      </c>
      <c r="K59" s="217">
        <f t="shared" si="12"/>
        <v>0</v>
      </c>
      <c r="L59" s="217">
        <f t="shared" si="12"/>
        <v>0</v>
      </c>
      <c r="M59" s="217">
        <f t="shared" si="12"/>
        <v>0</v>
      </c>
      <c r="N59" s="217">
        <f t="shared" si="12"/>
        <v>0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-461267594.67000002</v>
      </c>
      <c r="T59" s="475">
        <f t="shared" si="3"/>
        <v>-9.9484017312254682</v>
      </c>
    </row>
    <row r="60" spans="1:21" ht="13.5" thickBot="1">
      <c r="A60" s="144">
        <v>1003</v>
      </c>
      <c r="B60" s="509" t="str">
        <f>+VLOOKUP($A60,Master!$D$29:$G$225,4,FALSE)</f>
        <v>Finansiranje</v>
      </c>
      <c r="C60" s="510"/>
      <c r="D60" s="510"/>
      <c r="E60" s="510"/>
      <c r="F60" s="510"/>
      <c r="G60" s="151">
        <f>+SUM(G61:G64)</f>
        <v>62082164.93999999</v>
      </c>
      <c r="H60" s="151">
        <f t="shared" ref="H60:R60" si="13">+SUM(H61:H64)</f>
        <v>78553220.610000014</v>
      </c>
      <c r="I60" s="151">
        <f t="shared" si="13"/>
        <v>249153467.39000002</v>
      </c>
      <c r="J60" s="151">
        <f t="shared" si="13"/>
        <v>71478741.729999959</v>
      </c>
      <c r="K60" s="151">
        <f t="shared" si="13"/>
        <v>0</v>
      </c>
      <c r="L60" s="151">
        <f t="shared" si="13"/>
        <v>0</v>
      </c>
      <c r="M60" s="151">
        <f t="shared" si="13"/>
        <v>0</v>
      </c>
      <c r="N60" s="151">
        <f t="shared" si="13"/>
        <v>0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461267594.67000002</v>
      </c>
      <c r="T60" s="476">
        <f t="shared" si="3"/>
        <v>9.9484017312254682</v>
      </c>
    </row>
    <row r="61" spans="1:21">
      <c r="A61" s="144">
        <v>7511</v>
      </c>
      <c r="B61" s="503" t="str">
        <f>+VLOOKUP($A61,Master!$D$29:$G$225,4,FALSE)</f>
        <v>Pozajmice i krediti od domaćih izvora</v>
      </c>
      <c r="C61" s="504"/>
      <c r="D61" s="504"/>
      <c r="E61" s="504"/>
      <c r="F61" s="504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3">
        <f t="shared" si="3"/>
        <v>0</v>
      </c>
    </row>
    <row r="62" spans="1:21">
      <c r="A62" s="144">
        <v>7512</v>
      </c>
      <c r="B62" s="487" t="str">
        <f>+VLOOKUP($A62,Master!$D$29:$G$225,4,FALSE)</f>
        <v>Pozajmice i krediti od inostranih izvora</v>
      </c>
      <c r="C62" s="488"/>
      <c r="D62" s="488"/>
      <c r="E62" s="488"/>
      <c r="F62" s="488"/>
      <c r="G62" s="211">
        <v>7388647.9800000004</v>
      </c>
      <c r="H62" s="211">
        <v>2794027.91</v>
      </c>
      <c r="I62" s="211">
        <v>392627.11</v>
      </c>
      <c r="J62" s="211">
        <v>10718316.23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50">
        <f t="shared" si="4"/>
        <v>21293619.23</v>
      </c>
      <c r="T62" s="473">
        <f t="shared" si="3"/>
        <v>0.45925072747271706</v>
      </c>
    </row>
    <row r="63" spans="1:21">
      <c r="A63" s="144">
        <v>72</v>
      </c>
      <c r="B63" s="487" t="str">
        <f>+VLOOKUP($A63,Master!$D$29:$G$225,4,FALSE)</f>
        <v>Primici od prodaje imovine</v>
      </c>
      <c r="C63" s="488"/>
      <c r="D63" s="488"/>
      <c r="E63" s="488"/>
      <c r="F63" s="488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0</v>
      </c>
      <c r="L63" s="211">
        <v>0</v>
      </c>
      <c r="M63" s="211">
        <v>0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50">
        <f t="shared" si="4"/>
        <v>155733.29999999999</v>
      </c>
      <c r="T63" s="473">
        <f t="shared" si="3"/>
        <v>3.3587822973730752E-3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54658768.349999987</v>
      </c>
      <c r="H64" s="225">
        <f t="shared" ref="H64:R64" si="14">-H59-SUM(H61:H63)</f>
        <v>75729624.37000002</v>
      </c>
      <c r="I64" s="225">
        <f t="shared" si="14"/>
        <v>248708675.89000002</v>
      </c>
      <c r="J64" s="225">
        <f t="shared" si="14"/>
        <v>60721173.529999956</v>
      </c>
      <c r="K64" s="225">
        <f t="shared" si="14"/>
        <v>0</v>
      </c>
      <c r="L64" s="225">
        <f t="shared" si="14"/>
        <v>0</v>
      </c>
      <c r="M64" s="225">
        <f t="shared" si="14"/>
        <v>0</v>
      </c>
      <c r="N64" s="225">
        <f t="shared" si="14"/>
        <v>0</v>
      </c>
      <c r="O64" s="225">
        <f t="shared" si="14"/>
        <v>0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439818242.13999999</v>
      </c>
      <c r="T64" s="477">
        <f t="shared" si="3"/>
        <v>9.4857922214553767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65" t="str">
        <f>+Master!G252</f>
        <v>Plan ostvarenja budžeta</v>
      </c>
      <c r="C81" s="566"/>
      <c r="D81" s="566"/>
      <c r="E81" s="566"/>
      <c r="F81" s="566"/>
      <c r="G81" s="573">
        <v>2021</v>
      </c>
      <c r="H81" s="574"/>
      <c r="I81" s="574"/>
      <c r="J81" s="574"/>
      <c r="K81" s="574"/>
      <c r="L81" s="574"/>
      <c r="M81" s="574"/>
      <c r="N81" s="574"/>
      <c r="O81" s="574"/>
      <c r="P81" s="574"/>
      <c r="Q81" s="574"/>
      <c r="R81" s="575"/>
      <c r="S81" s="107" t="str">
        <f>+S7</f>
        <v>BDP</v>
      </c>
      <c r="T81" s="108">
        <v>4636600000</v>
      </c>
    </row>
    <row r="82" spans="1:21" ht="15.75" customHeight="1">
      <c r="B82" s="567"/>
      <c r="C82" s="568"/>
      <c r="D82" s="568"/>
      <c r="E82" s="568"/>
      <c r="F82" s="569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73" t="str">
        <f>+Master!G246</f>
        <v>Jan - Dec</v>
      </c>
      <c r="T82" s="575">
        <f>+T8</f>
        <v>0</v>
      </c>
    </row>
    <row r="83" spans="1:21" ht="13.5" thickBot="1">
      <c r="B83" s="570"/>
      <c r="C83" s="571"/>
      <c r="D83" s="571"/>
      <c r="E83" s="571"/>
      <c r="F83" s="572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561" t="str">
        <f>+VLOOKUP(LEFT($A84,LEN(A84)-1)*1,Master!$D$29:$G$225,4,FALSE)</f>
        <v>Prihodi budžeta</v>
      </c>
      <c r="C84" s="562"/>
      <c r="D84" s="562"/>
      <c r="E84" s="562"/>
      <c r="F84" s="562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0</v>
      </c>
      <c r="L84" s="93">
        <f t="shared" si="18"/>
        <v>0</v>
      </c>
      <c r="M84" s="93">
        <f t="shared" si="18"/>
        <v>0</v>
      </c>
      <c r="N84" s="93">
        <f t="shared" si="18"/>
        <v>0</v>
      </c>
      <c r="O84" s="93">
        <f t="shared" si="18"/>
        <v>0</v>
      </c>
      <c r="P84" s="93">
        <f t="shared" si="18"/>
        <v>0</v>
      </c>
      <c r="Q84" s="93">
        <f t="shared" si="18"/>
        <v>0</v>
      </c>
      <c r="R84" s="93">
        <f t="shared" si="18"/>
        <v>0</v>
      </c>
      <c r="S84" s="454">
        <f>+SUM(G84:R84)</f>
        <v>488306879.80237174</v>
      </c>
      <c r="T84" s="478">
        <f>+S84/$T$81*100</f>
        <v>10.531572268523741</v>
      </c>
    </row>
    <row r="85" spans="1:21">
      <c r="A85" s="116" t="str">
        <f t="shared" si="17"/>
        <v>711p</v>
      </c>
      <c r="B85" s="563" t="str">
        <f>+VLOOKUP(LEFT($A85,LEN(A85)-1)*1,Master!$D$29:$G$225,4,FALSE)</f>
        <v>Porezi</v>
      </c>
      <c r="C85" s="564"/>
      <c r="D85" s="564"/>
      <c r="E85" s="564"/>
      <c r="F85" s="564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0</v>
      </c>
      <c r="L85" s="79">
        <f t="shared" si="19"/>
        <v>0</v>
      </c>
      <c r="M85" s="79">
        <f t="shared" si="19"/>
        <v>0</v>
      </c>
      <c r="N85" s="79">
        <f t="shared" si="19"/>
        <v>0</v>
      </c>
      <c r="O85" s="79">
        <f t="shared" si="19"/>
        <v>0</v>
      </c>
      <c r="P85" s="79">
        <f t="shared" si="19"/>
        <v>0</v>
      </c>
      <c r="Q85" s="79">
        <f t="shared" si="19"/>
        <v>0</v>
      </c>
      <c r="R85" s="80">
        <f t="shared" si="19"/>
        <v>0</v>
      </c>
      <c r="S85" s="111">
        <f t="shared" ref="S85:S138" si="20">+SUM(G85:R85)</f>
        <v>305002949.73717892</v>
      </c>
      <c r="T85" s="464">
        <f t="shared" ref="T85:T138" si="21">+S85/$T$81*100</f>
        <v>6.5781596371733366</v>
      </c>
      <c r="U85" s="257"/>
    </row>
    <row r="86" spans="1:21">
      <c r="A86" s="116" t="str">
        <f t="shared" si="17"/>
        <v>7111p</v>
      </c>
      <c r="B86" s="551" t="str">
        <f>+VLOOKUP(LEFT($A86,LEN(A86)-1)*1,Master!$D$29:$G$228,4,FALSE)</f>
        <v>Porez na dohodak fizičkih lica</v>
      </c>
      <c r="C86" s="552"/>
      <c r="D86" s="552"/>
      <c r="E86" s="552"/>
      <c r="F86" s="552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0</v>
      </c>
      <c r="L86" s="87">
        <v>0</v>
      </c>
      <c r="M86" s="87">
        <v>0</v>
      </c>
      <c r="N86" s="87">
        <v>0</v>
      </c>
      <c r="O86" s="87">
        <v>0</v>
      </c>
      <c r="P86" s="87">
        <v>0</v>
      </c>
      <c r="Q86" s="87">
        <v>0</v>
      </c>
      <c r="R86" s="87">
        <v>0</v>
      </c>
      <c r="S86" s="112">
        <f t="shared" si="20"/>
        <v>33683624.612185195</v>
      </c>
      <c r="T86" s="465">
        <f t="shared" si="21"/>
        <v>0.72647251460521056</v>
      </c>
    </row>
    <row r="87" spans="1:21">
      <c r="A87" s="116" t="str">
        <f t="shared" si="17"/>
        <v>7112p</v>
      </c>
      <c r="B87" s="551" t="str">
        <f>+VLOOKUP(LEFT($A87,LEN(A87)-1)*1,Master!$D$29:$G$228,4,FALSE)</f>
        <v>Porez na dobit pravnih lica</v>
      </c>
      <c r="C87" s="552"/>
      <c r="D87" s="552"/>
      <c r="E87" s="552"/>
      <c r="F87" s="552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0</v>
      </c>
      <c r="L87" s="87">
        <v>0</v>
      </c>
      <c r="M87" s="87">
        <v>0</v>
      </c>
      <c r="N87" s="87">
        <v>0</v>
      </c>
      <c r="O87" s="87">
        <v>0</v>
      </c>
      <c r="P87" s="87">
        <v>0</v>
      </c>
      <c r="Q87" s="87">
        <v>0</v>
      </c>
      <c r="R87" s="87">
        <v>0</v>
      </c>
      <c r="S87" s="112">
        <f t="shared" si="20"/>
        <v>35255616.177433416</v>
      </c>
      <c r="T87" s="465">
        <f t="shared" si="21"/>
        <v>0.76037648659434531</v>
      </c>
    </row>
    <row r="88" spans="1:21">
      <c r="A88" s="116" t="str">
        <f t="shared" si="17"/>
        <v>7113p</v>
      </c>
      <c r="B88" s="551" t="str">
        <f>+VLOOKUP(LEFT($A88,LEN(A88)-1)*1,Master!$D$29:$G$228,4,FALSE)</f>
        <v>Porez na promet nepokretnosti</v>
      </c>
      <c r="C88" s="552"/>
      <c r="D88" s="552"/>
      <c r="E88" s="552"/>
      <c r="F88" s="552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0</v>
      </c>
      <c r="L88" s="87">
        <v>0</v>
      </c>
      <c r="M88" s="87">
        <v>0</v>
      </c>
      <c r="N88" s="87">
        <v>0</v>
      </c>
      <c r="O88" s="87">
        <v>0</v>
      </c>
      <c r="P88" s="87">
        <v>0</v>
      </c>
      <c r="Q88" s="87">
        <v>0</v>
      </c>
      <c r="R88" s="87">
        <v>0</v>
      </c>
      <c r="S88" s="112">
        <f t="shared" si="20"/>
        <v>551487.46156231314</v>
      </c>
      <c r="T88" s="465">
        <f t="shared" si="21"/>
        <v>1.1894221230261681E-2</v>
      </c>
    </row>
    <row r="89" spans="1:21">
      <c r="A89" s="116" t="str">
        <f t="shared" si="17"/>
        <v>7114p</v>
      </c>
      <c r="B89" s="551" t="str">
        <f>+VLOOKUP(LEFT($A89,LEN(A89)-1)*1,Master!$D$29:$G$228,4,FALSE)</f>
        <v>Porez na dodatu vrijednost</v>
      </c>
      <c r="C89" s="552"/>
      <c r="D89" s="552"/>
      <c r="E89" s="552"/>
      <c r="F89" s="552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0</v>
      </c>
      <c r="L89" s="87">
        <v>0</v>
      </c>
      <c r="M89" s="87">
        <v>0</v>
      </c>
      <c r="N89" s="87">
        <v>0</v>
      </c>
      <c r="O89" s="87">
        <v>0</v>
      </c>
      <c r="P89" s="87">
        <v>0</v>
      </c>
      <c r="Q89" s="87">
        <v>0</v>
      </c>
      <c r="R89" s="87">
        <v>0</v>
      </c>
      <c r="S89" s="112">
        <f t="shared" si="20"/>
        <v>169550920.77432829</v>
      </c>
      <c r="T89" s="465">
        <f t="shared" si="21"/>
        <v>3.6567942193488396</v>
      </c>
    </row>
    <row r="90" spans="1:21">
      <c r="A90" s="116" t="str">
        <f t="shared" si="17"/>
        <v>7115p</v>
      </c>
      <c r="B90" s="551" t="str">
        <f>+VLOOKUP(LEFT($A90,LEN(A90)-1)*1,Master!$D$29:$G$228,4,FALSE)</f>
        <v>Akcize</v>
      </c>
      <c r="C90" s="552"/>
      <c r="D90" s="552"/>
      <c r="E90" s="552"/>
      <c r="F90" s="552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0</v>
      </c>
      <c r="L90" s="87">
        <v>0</v>
      </c>
      <c r="M90" s="87">
        <v>0</v>
      </c>
      <c r="N90" s="87">
        <v>0</v>
      </c>
      <c r="O90" s="87">
        <v>0</v>
      </c>
      <c r="P90" s="87">
        <v>0</v>
      </c>
      <c r="Q90" s="87">
        <v>0</v>
      </c>
      <c r="R90" s="87">
        <v>0</v>
      </c>
      <c r="S90" s="112">
        <f t="shared" si="20"/>
        <v>55372299.433471315</v>
      </c>
      <c r="T90" s="465">
        <f t="shared" si="21"/>
        <v>1.1942436145768736</v>
      </c>
    </row>
    <row r="91" spans="1:21">
      <c r="A91" s="116" t="str">
        <f t="shared" si="17"/>
        <v>7116p</v>
      </c>
      <c r="B91" s="551" t="str">
        <f>+VLOOKUP(LEFT($A91,LEN(A91)-1)*1,Master!$D$29:$G$228,4,FALSE)</f>
        <v>Porez na međunarodnu trgovinu i transakcije</v>
      </c>
      <c r="C91" s="552"/>
      <c r="D91" s="552"/>
      <c r="E91" s="552"/>
      <c r="F91" s="552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0</v>
      </c>
      <c r="L91" s="87">
        <v>0</v>
      </c>
      <c r="M91" s="87">
        <v>0</v>
      </c>
      <c r="N91" s="87">
        <v>0</v>
      </c>
      <c r="O91" s="87">
        <v>0</v>
      </c>
      <c r="P91" s="87">
        <v>0</v>
      </c>
      <c r="Q91" s="87">
        <v>0</v>
      </c>
      <c r="R91" s="87">
        <v>0</v>
      </c>
      <c r="S91" s="112">
        <f t="shared" si="20"/>
        <v>7331531.1654932853</v>
      </c>
      <c r="T91" s="465">
        <f t="shared" si="21"/>
        <v>0.15812300318106556</v>
      </c>
    </row>
    <row r="92" spans="1:21">
      <c r="A92" s="116" t="str">
        <f t="shared" si="17"/>
        <v>7118p</v>
      </c>
      <c r="B92" s="551" t="str">
        <f>+VLOOKUP(LEFT($A92,LEN(A92)-1)*1,Master!$D$29:$G$228,4,FALSE)</f>
        <v>Ostali državni porezi</v>
      </c>
      <c r="C92" s="552"/>
      <c r="D92" s="552"/>
      <c r="E92" s="552"/>
      <c r="F92" s="552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0</v>
      </c>
      <c r="L92" s="87">
        <v>0</v>
      </c>
      <c r="M92" s="87">
        <v>0</v>
      </c>
      <c r="N92" s="87">
        <v>0</v>
      </c>
      <c r="O92" s="87">
        <v>0</v>
      </c>
      <c r="P92" s="87">
        <v>0</v>
      </c>
      <c r="Q92" s="87">
        <v>0</v>
      </c>
      <c r="R92" s="87">
        <v>0</v>
      </c>
      <c r="S92" s="112">
        <f t="shared" si="20"/>
        <v>3257470.1127051101</v>
      </c>
      <c r="T92" s="465">
        <f t="shared" si="21"/>
        <v>7.0255577636740507E-2</v>
      </c>
    </row>
    <row r="93" spans="1:21">
      <c r="A93" s="116" t="str">
        <f t="shared" si="17"/>
        <v>712p</v>
      </c>
      <c r="B93" s="559" t="str">
        <f>+VLOOKUP(LEFT($A93,LEN(A93)-1)*1,Master!$D$29:$G$228,4,FALSE)</f>
        <v>Doprinosi</v>
      </c>
      <c r="C93" s="560"/>
      <c r="D93" s="560"/>
      <c r="E93" s="560"/>
      <c r="F93" s="560"/>
      <c r="G93" s="81">
        <f>+SUM(G94:G97)</f>
        <v>16292817.308185648</v>
      </c>
      <c r="H93" s="81">
        <f t="shared" ref="H93:R93" si="22">+SUM(H94:H97)</f>
        <v>41389656.549846224</v>
      </c>
      <c r="I93" s="481">
        <f t="shared" si="22"/>
        <v>40535464.795886271</v>
      </c>
      <c r="J93" s="81">
        <f t="shared" si="22"/>
        <v>53337844.267353572</v>
      </c>
      <c r="K93" s="81">
        <f t="shared" si="22"/>
        <v>0</v>
      </c>
      <c r="L93" s="81">
        <f t="shared" si="22"/>
        <v>0</v>
      </c>
      <c r="M93" s="81">
        <f t="shared" si="22"/>
        <v>0</v>
      </c>
      <c r="N93" s="81">
        <f t="shared" si="22"/>
        <v>0</v>
      </c>
      <c r="O93" s="81">
        <f t="shared" si="22"/>
        <v>0</v>
      </c>
      <c r="P93" s="81">
        <f t="shared" si="22"/>
        <v>0</v>
      </c>
      <c r="Q93" s="81">
        <f t="shared" si="22"/>
        <v>0</v>
      </c>
      <c r="R93" s="82">
        <f t="shared" si="22"/>
        <v>0</v>
      </c>
      <c r="S93" s="113">
        <f t="shared" si="20"/>
        <v>151555782.92127171</v>
      </c>
      <c r="T93" s="466">
        <f t="shared" si="21"/>
        <v>3.268683581099765</v>
      </c>
    </row>
    <row r="94" spans="1:21">
      <c r="A94" s="116" t="str">
        <f t="shared" si="17"/>
        <v>7121p</v>
      </c>
      <c r="B94" s="551" t="str">
        <f>+VLOOKUP(LEFT($A94,LEN(A94)-1)*1,Master!$D$29:$G$228,4,FALSE)</f>
        <v>Doprinosi za penzijsko i invalidsko osiguranje</v>
      </c>
      <c r="C94" s="552"/>
      <c r="D94" s="552"/>
      <c r="E94" s="552"/>
      <c r="F94" s="552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0</v>
      </c>
      <c r="L94" s="87">
        <v>0</v>
      </c>
      <c r="M94" s="87">
        <v>0</v>
      </c>
      <c r="N94" s="87">
        <v>0</v>
      </c>
      <c r="O94" s="87">
        <v>0</v>
      </c>
      <c r="P94" s="87">
        <v>0</v>
      </c>
      <c r="Q94" s="87">
        <v>0</v>
      </c>
      <c r="R94" s="87">
        <v>0</v>
      </c>
      <c r="S94" s="112">
        <f t="shared" si="20"/>
        <v>92020888.314715877</v>
      </c>
      <c r="T94" s="465">
        <f t="shared" si="21"/>
        <v>1.9846630788663218</v>
      </c>
    </row>
    <row r="95" spans="1:21">
      <c r="A95" s="116" t="str">
        <f t="shared" si="17"/>
        <v>7122p</v>
      </c>
      <c r="B95" s="551" t="str">
        <f>+VLOOKUP(LEFT($A95,LEN(A95)-1)*1,Master!$D$29:$G$228,4,FALSE)</f>
        <v>Doprinosi za zdravstveno osiguranje</v>
      </c>
      <c r="C95" s="552"/>
      <c r="D95" s="552"/>
      <c r="E95" s="552"/>
      <c r="F95" s="552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0</v>
      </c>
      <c r="L95" s="87">
        <v>0</v>
      </c>
      <c r="M95" s="87">
        <v>0</v>
      </c>
      <c r="N95" s="87">
        <v>0</v>
      </c>
      <c r="O95" s="87">
        <v>0</v>
      </c>
      <c r="P95" s="87">
        <v>0</v>
      </c>
      <c r="Q95" s="87">
        <v>0</v>
      </c>
      <c r="R95" s="87">
        <v>0</v>
      </c>
      <c r="S95" s="112">
        <f t="shared" si="20"/>
        <v>50968513.329562128</v>
      </c>
      <c r="T95" s="465">
        <f t="shared" si="21"/>
        <v>1.0992648347832923</v>
      </c>
    </row>
    <row r="96" spans="1:21">
      <c r="A96" s="116" t="str">
        <f t="shared" si="17"/>
        <v>7123p</v>
      </c>
      <c r="B96" s="551" t="str">
        <f>+VLOOKUP(LEFT($A96,LEN(A96)-1)*1,Master!$D$29:$G$228,4,FALSE)</f>
        <v>Doprinosi za osiguranje od nezaposlenosti</v>
      </c>
      <c r="C96" s="552"/>
      <c r="D96" s="552"/>
      <c r="E96" s="552"/>
      <c r="F96" s="552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0</v>
      </c>
      <c r="L96" s="87">
        <v>0</v>
      </c>
      <c r="M96" s="87">
        <v>0</v>
      </c>
      <c r="N96" s="87">
        <v>0</v>
      </c>
      <c r="O96" s="87">
        <v>0</v>
      </c>
      <c r="P96" s="87">
        <v>0</v>
      </c>
      <c r="Q96" s="87">
        <v>0</v>
      </c>
      <c r="R96" s="87">
        <v>0</v>
      </c>
      <c r="S96" s="112">
        <f t="shared" si="20"/>
        <v>4528978.8718346935</v>
      </c>
      <c r="T96" s="465">
        <f t="shared" si="21"/>
        <v>9.7678878312442152E-2</v>
      </c>
    </row>
    <row r="97" spans="1:20">
      <c r="A97" s="116" t="str">
        <f t="shared" si="17"/>
        <v>7124p</v>
      </c>
      <c r="B97" s="551" t="str">
        <f>+VLOOKUP(LEFT($A97,LEN(A97)-1)*1,Master!$D$29:$G$228,4,FALSE)</f>
        <v>Ostali doprinosi</v>
      </c>
      <c r="C97" s="552"/>
      <c r="D97" s="552"/>
      <c r="E97" s="552"/>
      <c r="F97" s="552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0</v>
      </c>
      <c r="L97" s="87">
        <v>0</v>
      </c>
      <c r="M97" s="87">
        <v>0</v>
      </c>
      <c r="N97" s="87">
        <v>0</v>
      </c>
      <c r="O97" s="87">
        <v>0</v>
      </c>
      <c r="P97" s="87">
        <v>0</v>
      </c>
      <c r="Q97" s="87">
        <v>0</v>
      </c>
      <c r="R97" s="87">
        <v>0</v>
      </c>
      <c r="S97" s="112">
        <f t="shared" si="20"/>
        <v>4037402.4051590292</v>
      </c>
      <c r="T97" s="465">
        <f t="shared" si="21"/>
        <v>8.707678913770929E-2</v>
      </c>
    </row>
    <row r="98" spans="1:20">
      <c r="A98" s="116" t="str">
        <f t="shared" si="17"/>
        <v>713p</v>
      </c>
      <c r="B98" s="557" t="str">
        <f>+VLOOKUP(LEFT($A98,LEN(A98)-1)*1,Master!$D$29:$G$228,4,FALSE)</f>
        <v>Takse</v>
      </c>
      <c r="C98" s="558"/>
      <c r="D98" s="558"/>
      <c r="E98" s="558"/>
      <c r="F98" s="558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0</v>
      </c>
      <c r="L98" s="83">
        <v>0</v>
      </c>
      <c r="M98" s="83">
        <v>0</v>
      </c>
      <c r="N98" s="83">
        <v>0</v>
      </c>
      <c r="O98" s="83">
        <v>0</v>
      </c>
      <c r="P98" s="83">
        <v>0</v>
      </c>
      <c r="Q98" s="83">
        <v>0</v>
      </c>
      <c r="R98" s="83">
        <v>0</v>
      </c>
      <c r="S98" s="113">
        <f t="shared" si="20"/>
        <v>3596233.8790861866</v>
      </c>
      <c r="T98" s="466">
        <f t="shared" si="21"/>
        <v>7.7561874629818978E-2</v>
      </c>
    </row>
    <row r="99" spans="1:20">
      <c r="A99" s="116" t="str">
        <f t="shared" si="17"/>
        <v>714p</v>
      </c>
      <c r="B99" s="557" t="str">
        <f>+VLOOKUP(LEFT($A99,LEN(A99)-1)*1,Master!$D$29:$G$228,4,FALSE)</f>
        <v>Naknade</v>
      </c>
      <c r="C99" s="558"/>
      <c r="D99" s="558"/>
      <c r="E99" s="558"/>
      <c r="F99" s="558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0</v>
      </c>
      <c r="L99" s="83">
        <v>0</v>
      </c>
      <c r="M99" s="83">
        <v>0</v>
      </c>
      <c r="N99" s="83">
        <v>0</v>
      </c>
      <c r="O99" s="83">
        <v>0</v>
      </c>
      <c r="P99" s="83">
        <v>0</v>
      </c>
      <c r="Q99" s="83">
        <v>0</v>
      </c>
      <c r="R99" s="83">
        <v>0</v>
      </c>
      <c r="S99" s="113">
        <f t="shared" si="20"/>
        <v>9956417.3125786446</v>
      </c>
      <c r="T99" s="466">
        <f t="shared" si="21"/>
        <v>0.21473530847126437</v>
      </c>
    </row>
    <row r="100" spans="1:20">
      <c r="A100" s="116" t="str">
        <f t="shared" si="17"/>
        <v>715p</v>
      </c>
      <c r="B100" s="557" t="str">
        <f>+VLOOKUP(LEFT($A100,LEN(A100)-1)*1,Master!$D$29:$G$228,4,FALSE)</f>
        <v>Ostali prihodi</v>
      </c>
      <c r="C100" s="558"/>
      <c r="D100" s="558"/>
      <c r="E100" s="558"/>
      <c r="F100" s="558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0</v>
      </c>
      <c r="L100" s="83">
        <v>0</v>
      </c>
      <c r="M100" s="83">
        <v>0</v>
      </c>
      <c r="N100" s="83">
        <v>0</v>
      </c>
      <c r="O100" s="83">
        <v>0</v>
      </c>
      <c r="P100" s="83">
        <v>0</v>
      </c>
      <c r="Q100" s="83">
        <v>0</v>
      </c>
      <c r="R100" s="83">
        <v>0</v>
      </c>
      <c r="S100" s="113">
        <f t="shared" si="20"/>
        <v>7598946.9539259644</v>
      </c>
      <c r="T100" s="466">
        <f t="shared" si="21"/>
        <v>0.16389050066699659</v>
      </c>
    </row>
    <row r="101" spans="1:20">
      <c r="A101" s="116" t="str">
        <f t="shared" si="17"/>
        <v>73p</v>
      </c>
      <c r="B101" s="557" t="str">
        <f>+VLOOKUP(LEFT($A101,LEN(A101)-1)*1,Master!$D$29:$G$228,4,FALSE)</f>
        <v>Primici od otplate kredita i sredstva prenesena iz prethodne godine</v>
      </c>
      <c r="C101" s="558"/>
      <c r="D101" s="558"/>
      <c r="E101" s="558"/>
      <c r="F101" s="558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0</v>
      </c>
      <c r="L101" s="83">
        <v>0</v>
      </c>
      <c r="M101" s="83">
        <v>0</v>
      </c>
      <c r="N101" s="83">
        <v>0</v>
      </c>
      <c r="O101" s="83">
        <v>0</v>
      </c>
      <c r="P101" s="83">
        <v>0</v>
      </c>
      <c r="Q101" s="83">
        <v>0</v>
      </c>
      <c r="R101" s="83">
        <v>0</v>
      </c>
      <c r="S101" s="113">
        <f t="shared" si="20"/>
        <v>1098257.770399641</v>
      </c>
      <c r="T101" s="466">
        <f t="shared" si="21"/>
        <v>2.368670513737741E-2</v>
      </c>
    </row>
    <row r="102" spans="1:20" ht="13.5" thickBot="1">
      <c r="A102" s="116" t="str">
        <f t="shared" si="17"/>
        <v>74p</v>
      </c>
      <c r="B102" s="553" t="str">
        <f>+VLOOKUP(LEFT($A102,LEN(A102)-1)*1,Master!$D$29:$G$228,4,FALSE)</f>
        <v>Donacije i transferi</v>
      </c>
      <c r="C102" s="554"/>
      <c r="D102" s="554"/>
      <c r="E102" s="554"/>
      <c r="F102" s="554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0</v>
      </c>
      <c r="L102" s="83">
        <v>0</v>
      </c>
      <c r="M102" s="83">
        <v>0</v>
      </c>
      <c r="N102" s="83">
        <v>0</v>
      </c>
      <c r="O102" s="83">
        <v>0</v>
      </c>
      <c r="P102" s="83">
        <v>0</v>
      </c>
      <c r="Q102" s="83">
        <v>0</v>
      </c>
      <c r="R102" s="83">
        <v>0</v>
      </c>
      <c r="S102" s="114">
        <f t="shared" si="20"/>
        <v>9498291.2279306129</v>
      </c>
      <c r="T102" s="467">
        <f t="shared" si="21"/>
        <v>0.20485466134517993</v>
      </c>
    </row>
    <row r="103" spans="1:20" ht="13.5" thickBot="1">
      <c r="A103" s="116" t="str">
        <f t="shared" si="17"/>
        <v>4p</v>
      </c>
      <c r="B103" s="535" t="str">
        <f>+VLOOKUP(LEFT($A103,LEN(A103)-1)*1,Master!$D$29:$G$228,4,FALSE)</f>
        <v>Izdaci budžeta</v>
      </c>
      <c r="C103" s="536"/>
      <c r="D103" s="536"/>
      <c r="E103" s="536"/>
      <c r="F103" s="536"/>
      <c r="G103" s="93">
        <f t="shared" ref="G103:R103" si="23">+G104+G114+G120+SUM(G121:G125)</f>
        <v>187305793.07270002</v>
      </c>
      <c r="H103" s="93">
        <f t="shared" si="23"/>
        <v>171688751.44849998</v>
      </c>
      <c r="I103" s="93">
        <f t="shared" si="23"/>
        <v>170392955.61309999</v>
      </c>
      <c r="J103" s="93">
        <f t="shared" si="23"/>
        <v>164798207.99250004</v>
      </c>
      <c r="K103" s="93">
        <f t="shared" si="23"/>
        <v>0</v>
      </c>
      <c r="L103" s="93">
        <f t="shared" si="23"/>
        <v>0</v>
      </c>
      <c r="M103" s="93">
        <f t="shared" si="23"/>
        <v>0</v>
      </c>
      <c r="N103" s="93">
        <f t="shared" si="23"/>
        <v>0</v>
      </c>
      <c r="O103" s="93">
        <f t="shared" si="23"/>
        <v>0</v>
      </c>
      <c r="P103" s="93">
        <f t="shared" si="23"/>
        <v>0</v>
      </c>
      <c r="Q103" s="93">
        <f t="shared" si="23"/>
        <v>0</v>
      </c>
      <c r="R103" s="93">
        <f t="shared" si="23"/>
        <v>0</v>
      </c>
      <c r="S103" s="452">
        <f>+SUM(G103:R103)</f>
        <v>694185708.12680006</v>
      </c>
      <c r="T103" s="479">
        <f t="shared" si="21"/>
        <v>14.971869648595955</v>
      </c>
    </row>
    <row r="104" spans="1:20">
      <c r="A104" s="116" t="str">
        <f t="shared" si="17"/>
        <v>41p</v>
      </c>
      <c r="B104" s="555" t="str">
        <f>+VLOOKUP(LEFT($A104,LEN(A104)-1)*1,Master!$D$29:$G$228,4,FALSE)</f>
        <v>Tekući izdaci</v>
      </c>
      <c r="C104" s="556"/>
      <c r="D104" s="556"/>
      <c r="E104" s="556"/>
      <c r="F104" s="556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0</v>
      </c>
      <c r="L104" s="85">
        <f t="shared" si="24"/>
        <v>0</v>
      </c>
      <c r="M104" s="85">
        <f t="shared" si="24"/>
        <v>0</v>
      </c>
      <c r="N104" s="85">
        <f t="shared" si="24"/>
        <v>0</v>
      </c>
      <c r="O104" s="85">
        <f t="shared" si="24"/>
        <v>0</v>
      </c>
      <c r="P104" s="85">
        <f t="shared" si="24"/>
        <v>0</v>
      </c>
      <c r="Q104" s="85">
        <f t="shared" si="24"/>
        <v>0</v>
      </c>
      <c r="R104" s="86">
        <f t="shared" si="24"/>
        <v>0</v>
      </c>
      <c r="S104" s="111">
        <f t="shared" si="20"/>
        <v>305611607.15340006</v>
      </c>
      <c r="T104" s="464">
        <f t="shared" si="21"/>
        <v>6.5912868729974567</v>
      </c>
    </row>
    <row r="105" spans="1:20">
      <c r="A105" s="116" t="str">
        <f t="shared" si="17"/>
        <v>411p</v>
      </c>
      <c r="B105" s="551" t="str">
        <f>+VLOOKUP(LEFT($A105,LEN(A105)-1)*1,Master!$D$29:$G$228,4,FALSE)</f>
        <v>Bruto zarade i doprinosi na teret poslodavca</v>
      </c>
      <c r="C105" s="552"/>
      <c r="D105" s="552"/>
      <c r="E105" s="552"/>
      <c r="F105" s="552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0</v>
      </c>
      <c r="L105" s="87">
        <v>0</v>
      </c>
      <c r="M105" s="87">
        <v>0</v>
      </c>
      <c r="N105" s="87">
        <v>0</v>
      </c>
      <c r="O105" s="87">
        <v>0</v>
      </c>
      <c r="P105" s="87">
        <v>0</v>
      </c>
      <c r="Q105" s="87">
        <v>0</v>
      </c>
      <c r="R105" s="87">
        <v>0</v>
      </c>
      <c r="S105" s="112">
        <f t="shared" si="20"/>
        <v>179823463.34920001</v>
      </c>
      <c r="T105" s="465">
        <f t="shared" si="21"/>
        <v>3.8783475682439721</v>
      </c>
    </row>
    <row r="106" spans="1:20">
      <c r="A106" s="116" t="str">
        <f t="shared" si="17"/>
        <v>412p</v>
      </c>
      <c r="B106" s="551" t="str">
        <f>+VLOOKUP(LEFT($A106,LEN(A106)-1)*1,Master!$D$29:$G$228,4,FALSE)</f>
        <v>Ostala lična primanja</v>
      </c>
      <c r="C106" s="552"/>
      <c r="D106" s="552"/>
      <c r="E106" s="552"/>
      <c r="F106" s="552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0</v>
      </c>
      <c r="L106" s="87">
        <v>0</v>
      </c>
      <c r="M106" s="87">
        <v>0</v>
      </c>
      <c r="N106" s="87">
        <v>0</v>
      </c>
      <c r="O106" s="87">
        <v>0</v>
      </c>
      <c r="P106" s="87">
        <v>0</v>
      </c>
      <c r="Q106" s="87">
        <v>0</v>
      </c>
      <c r="R106" s="87">
        <v>0</v>
      </c>
      <c r="S106" s="112">
        <f t="shared" si="20"/>
        <v>4169457.7691999981</v>
      </c>
      <c r="T106" s="465">
        <f t="shared" si="21"/>
        <v>8.9924896889962427E-2</v>
      </c>
    </row>
    <row r="107" spans="1:20">
      <c r="A107" s="116" t="str">
        <f t="shared" si="17"/>
        <v>413p</v>
      </c>
      <c r="B107" s="551" t="str">
        <f>+VLOOKUP(LEFT($A107,LEN(A107)-1)*1,Master!$D$29:$G$228,4,FALSE)</f>
        <v>Rashodi za materijal</v>
      </c>
      <c r="C107" s="552"/>
      <c r="D107" s="552"/>
      <c r="E107" s="552"/>
      <c r="F107" s="552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0</v>
      </c>
      <c r="L107" s="87">
        <v>0</v>
      </c>
      <c r="M107" s="87">
        <v>0</v>
      </c>
      <c r="N107" s="87">
        <v>0</v>
      </c>
      <c r="O107" s="87">
        <v>0</v>
      </c>
      <c r="P107" s="87">
        <v>0</v>
      </c>
      <c r="Q107" s="87">
        <v>0</v>
      </c>
      <c r="R107" s="87">
        <v>0</v>
      </c>
      <c r="S107" s="112">
        <f t="shared" si="20"/>
        <v>10611604.708099997</v>
      </c>
      <c r="T107" s="465">
        <f t="shared" si="21"/>
        <v>0.22886608092352151</v>
      </c>
    </row>
    <row r="108" spans="1:20">
      <c r="A108" s="116" t="str">
        <f t="shared" si="17"/>
        <v>414p</v>
      </c>
      <c r="B108" s="551" t="str">
        <f>+VLOOKUP(LEFT($A108,LEN(A108)-1)*1,Master!$D$29:$G$228,4,FALSE)</f>
        <v>Rashodi za usluge</v>
      </c>
      <c r="C108" s="552"/>
      <c r="D108" s="552"/>
      <c r="E108" s="552"/>
      <c r="F108" s="552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0</v>
      </c>
      <c r="L108" s="87">
        <v>0</v>
      </c>
      <c r="M108" s="87">
        <v>0</v>
      </c>
      <c r="N108" s="87">
        <v>0</v>
      </c>
      <c r="O108" s="87">
        <v>0</v>
      </c>
      <c r="P108" s="87">
        <v>0</v>
      </c>
      <c r="Q108" s="87">
        <v>0</v>
      </c>
      <c r="R108" s="87">
        <v>0</v>
      </c>
      <c r="S108" s="112">
        <f t="shared" si="20"/>
        <v>24879725.0374</v>
      </c>
      <c r="T108" s="465">
        <f t="shared" si="21"/>
        <v>0.53659416463356768</v>
      </c>
    </row>
    <row r="109" spans="1:20">
      <c r="A109" s="116" t="str">
        <f t="shared" si="17"/>
        <v>415p</v>
      </c>
      <c r="B109" s="551" t="str">
        <f>+VLOOKUP(LEFT($A109,LEN(A109)-1)*1,Master!$D$29:$G$228,4,FALSE)</f>
        <v>Rashodi za tekuće održavanje</v>
      </c>
      <c r="C109" s="552"/>
      <c r="D109" s="552"/>
      <c r="E109" s="552"/>
      <c r="F109" s="552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0</v>
      </c>
      <c r="L109" s="87">
        <v>0</v>
      </c>
      <c r="M109" s="87">
        <v>0</v>
      </c>
      <c r="N109" s="87">
        <v>0</v>
      </c>
      <c r="O109" s="87">
        <v>0</v>
      </c>
      <c r="P109" s="87">
        <v>0</v>
      </c>
      <c r="Q109" s="87">
        <v>0</v>
      </c>
      <c r="R109" s="87">
        <v>0</v>
      </c>
      <c r="S109" s="112">
        <f t="shared" si="20"/>
        <v>6734928.8579000002</v>
      </c>
      <c r="T109" s="465">
        <f t="shared" si="21"/>
        <v>0.14525576624897554</v>
      </c>
    </row>
    <row r="110" spans="1:20">
      <c r="A110" s="116" t="str">
        <f t="shared" si="17"/>
        <v>416p</v>
      </c>
      <c r="B110" s="551" t="str">
        <f>+VLOOKUP(LEFT($A110,LEN(A110)-1)*1,Master!$D$29:$G$228,4,FALSE)</f>
        <v>Kamate</v>
      </c>
      <c r="C110" s="552"/>
      <c r="D110" s="552"/>
      <c r="E110" s="552"/>
      <c r="F110" s="552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0</v>
      </c>
      <c r="L110" s="87">
        <v>0</v>
      </c>
      <c r="M110" s="87">
        <v>0</v>
      </c>
      <c r="N110" s="87">
        <v>0</v>
      </c>
      <c r="O110" s="87">
        <v>0</v>
      </c>
      <c r="P110" s="87">
        <v>0</v>
      </c>
      <c r="Q110" s="87">
        <v>0</v>
      </c>
      <c r="R110" s="87">
        <v>0</v>
      </c>
      <c r="S110" s="112">
        <f t="shared" si="20"/>
        <v>47153676.783500016</v>
      </c>
      <c r="T110" s="465">
        <f t="shared" si="21"/>
        <v>1.0169882410279087</v>
      </c>
    </row>
    <row r="111" spans="1:20">
      <c r="A111" s="116" t="str">
        <f t="shared" si="17"/>
        <v>417p</v>
      </c>
      <c r="B111" s="551" t="str">
        <f>+VLOOKUP(LEFT($A111,LEN(A111)-1)*1,Master!$D$29:$G$228,4,FALSE)</f>
        <v>Renta</v>
      </c>
      <c r="C111" s="552"/>
      <c r="D111" s="552"/>
      <c r="E111" s="552"/>
      <c r="F111" s="552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0</v>
      </c>
      <c r="L111" s="87">
        <v>0</v>
      </c>
      <c r="M111" s="87">
        <v>0</v>
      </c>
      <c r="N111" s="87">
        <v>0</v>
      </c>
      <c r="O111" s="87">
        <v>0</v>
      </c>
      <c r="P111" s="87">
        <v>0</v>
      </c>
      <c r="Q111" s="87">
        <v>0</v>
      </c>
      <c r="R111" s="87">
        <v>0</v>
      </c>
      <c r="S111" s="112">
        <f t="shared" si="20"/>
        <v>2945142.8158999998</v>
      </c>
      <c r="T111" s="465">
        <f t="shared" si="21"/>
        <v>6.3519449939610922E-2</v>
      </c>
    </row>
    <row r="112" spans="1:20">
      <c r="A112" s="116" t="str">
        <f t="shared" si="17"/>
        <v>418p</v>
      </c>
      <c r="B112" s="551" t="str">
        <f>+VLOOKUP(LEFT($A112,LEN(A112)-1)*1,Master!$D$29:$G$228,4,FALSE)</f>
        <v>Subvencije</v>
      </c>
      <c r="C112" s="552"/>
      <c r="D112" s="552"/>
      <c r="E112" s="552"/>
      <c r="F112" s="552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0</v>
      </c>
      <c r="L112" s="87">
        <v>0</v>
      </c>
      <c r="M112" s="87">
        <v>0</v>
      </c>
      <c r="N112" s="87">
        <v>0</v>
      </c>
      <c r="O112" s="87">
        <v>0</v>
      </c>
      <c r="P112" s="87">
        <v>0</v>
      </c>
      <c r="Q112" s="87">
        <v>0</v>
      </c>
      <c r="R112" s="87">
        <v>0</v>
      </c>
      <c r="S112" s="112">
        <f t="shared" si="20"/>
        <v>15251109.621100001</v>
      </c>
      <c r="T112" s="465">
        <f t="shared" si="21"/>
        <v>0.32892873271578316</v>
      </c>
    </row>
    <row r="113" spans="1:20">
      <c r="A113" s="116" t="str">
        <f t="shared" si="17"/>
        <v>419p</v>
      </c>
      <c r="B113" s="551" t="str">
        <f>+VLOOKUP(LEFT($A113,LEN(A113)-1)*1,Master!$D$29:$G$228,4,FALSE)</f>
        <v>Ostali izdaci</v>
      </c>
      <c r="C113" s="552"/>
      <c r="D113" s="552"/>
      <c r="E113" s="552"/>
      <c r="F113" s="552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0</v>
      </c>
      <c r="L113" s="87">
        <v>0</v>
      </c>
      <c r="M113" s="87">
        <v>0</v>
      </c>
      <c r="N113" s="87">
        <v>0</v>
      </c>
      <c r="O113" s="87">
        <v>0</v>
      </c>
      <c r="P113" s="87">
        <v>0</v>
      </c>
      <c r="Q113" s="87">
        <v>0</v>
      </c>
      <c r="R113" s="87">
        <v>0</v>
      </c>
      <c r="S113" s="112">
        <f t="shared" si="20"/>
        <v>14042498.211099997</v>
      </c>
      <c r="T113" s="465">
        <f t="shared" si="21"/>
        <v>0.30286197237415341</v>
      </c>
    </row>
    <row r="114" spans="1:20">
      <c r="A114" s="116" t="str">
        <f t="shared" si="17"/>
        <v>42p</v>
      </c>
      <c r="B114" s="547" t="str">
        <f>+VLOOKUP(LEFT($A114,LEN(A114)-1)*1,Master!$D$29:$G$228,4,FALSE)</f>
        <v>Transferi za socijalnu zaštitu</v>
      </c>
      <c r="C114" s="548"/>
      <c r="D114" s="548"/>
      <c r="E114" s="548"/>
      <c r="F114" s="548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0</v>
      </c>
      <c r="L114" s="84">
        <f t="shared" si="25"/>
        <v>0</v>
      </c>
      <c r="M114" s="84">
        <f t="shared" si="25"/>
        <v>0</v>
      </c>
      <c r="N114" s="84">
        <f t="shared" si="25"/>
        <v>0</v>
      </c>
      <c r="O114" s="84">
        <f t="shared" si="25"/>
        <v>0</v>
      </c>
      <c r="P114" s="84">
        <f t="shared" si="25"/>
        <v>0</v>
      </c>
      <c r="Q114" s="84">
        <f t="shared" si="25"/>
        <v>0</v>
      </c>
      <c r="R114" s="84">
        <f t="shared" si="25"/>
        <v>0</v>
      </c>
      <c r="S114" s="113">
        <f t="shared" si="20"/>
        <v>186035538.45730001</v>
      </c>
      <c r="T114" s="466">
        <f t="shared" si="21"/>
        <v>4.0123266716408574</v>
      </c>
    </row>
    <row r="115" spans="1:20">
      <c r="A115" s="116" t="str">
        <f t="shared" si="17"/>
        <v>421p</v>
      </c>
      <c r="B115" s="551" t="str">
        <f>+VLOOKUP(LEFT($A115,LEN(A115)-1)*1,Master!$D$29:$G$228,4,FALSE)</f>
        <v>Prava iz oblasti socijalne zaštite</v>
      </c>
      <c r="C115" s="552"/>
      <c r="D115" s="552"/>
      <c r="E115" s="552"/>
      <c r="F115" s="552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0</v>
      </c>
      <c r="L115" s="87">
        <v>0</v>
      </c>
      <c r="M115" s="87">
        <v>0</v>
      </c>
      <c r="N115" s="87">
        <v>0</v>
      </c>
      <c r="O115" s="87">
        <v>0</v>
      </c>
      <c r="P115" s="87">
        <v>0</v>
      </c>
      <c r="Q115" s="87">
        <v>0</v>
      </c>
      <c r="R115" s="87">
        <v>0</v>
      </c>
      <c r="S115" s="112">
        <f t="shared" si="20"/>
        <v>26808003.640000001</v>
      </c>
      <c r="T115" s="465">
        <f t="shared" si="21"/>
        <v>0.57818236725186567</v>
      </c>
    </row>
    <row r="116" spans="1:20">
      <c r="A116" s="116" t="str">
        <f t="shared" ref="A116:A138" si="26">+CONCATENATE(A42,"p")</f>
        <v>422p</v>
      </c>
      <c r="B116" s="551" t="str">
        <f>+VLOOKUP(LEFT($A116,LEN(A116)-1)*1,Master!$D$29:$G$228,4,FALSE)</f>
        <v>Sredstva za tehnološke viškove</v>
      </c>
      <c r="C116" s="552"/>
      <c r="D116" s="552"/>
      <c r="E116" s="552"/>
      <c r="F116" s="552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0</v>
      </c>
      <c r="L116" s="87">
        <v>0</v>
      </c>
      <c r="M116" s="87">
        <v>0</v>
      </c>
      <c r="N116" s="87">
        <v>0</v>
      </c>
      <c r="O116" s="87">
        <v>0</v>
      </c>
      <c r="P116" s="87">
        <v>0</v>
      </c>
      <c r="Q116" s="87">
        <v>0</v>
      </c>
      <c r="R116" s="87">
        <v>0</v>
      </c>
      <c r="S116" s="112">
        <f t="shared" si="20"/>
        <v>5737384.7245999994</v>
      </c>
      <c r="T116" s="465">
        <f t="shared" si="21"/>
        <v>0.12374120529267134</v>
      </c>
    </row>
    <row r="117" spans="1:20">
      <c r="A117" s="116" t="str">
        <f t="shared" si="26"/>
        <v>423p</v>
      </c>
      <c r="B117" s="551" t="str">
        <f>+VLOOKUP(LEFT($A117,LEN(A117)-1)*1,Master!$D$29:$G$228,4,FALSE)</f>
        <v>Prava iz oblasti penzijskog i invalidskog osiguranja</v>
      </c>
      <c r="C117" s="552"/>
      <c r="D117" s="552"/>
      <c r="E117" s="552"/>
      <c r="F117" s="552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0</v>
      </c>
      <c r="L117" s="87">
        <v>0</v>
      </c>
      <c r="M117" s="87">
        <v>0</v>
      </c>
      <c r="N117" s="87">
        <v>0</v>
      </c>
      <c r="O117" s="87">
        <v>0</v>
      </c>
      <c r="P117" s="87">
        <v>0</v>
      </c>
      <c r="Q117" s="87">
        <v>0</v>
      </c>
      <c r="R117" s="87">
        <v>0</v>
      </c>
      <c r="S117" s="112">
        <f t="shared" si="20"/>
        <v>144669476.64789999</v>
      </c>
      <c r="T117" s="465">
        <f t="shared" si="21"/>
        <v>3.1201629782146396</v>
      </c>
    </row>
    <row r="118" spans="1:20">
      <c r="A118" s="116" t="str">
        <f t="shared" si="26"/>
        <v>424p</v>
      </c>
      <c r="B118" s="551" t="str">
        <f>+VLOOKUP(LEFT($A118,LEN(A118)-1)*1,Master!$D$29:$G$228,4,FALSE)</f>
        <v>Ostala prava iz oblasti zdravstvene zaštite</v>
      </c>
      <c r="C118" s="552"/>
      <c r="D118" s="552"/>
      <c r="E118" s="552"/>
      <c r="F118" s="552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0</v>
      </c>
      <c r="L118" s="87">
        <v>0</v>
      </c>
      <c r="M118" s="87">
        <v>0</v>
      </c>
      <c r="N118" s="87">
        <v>0</v>
      </c>
      <c r="O118" s="87">
        <v>0</v>
      </c>
      <c r="P118" s="87">
        <v>0</v>
      </c>
      <c r="Q118" s="87">
        <v>0</v>
      </c>
      <c r="R118" s="87">
        <v>0</v>
      </c>
      <c r="S118" s="112">
        <f t="shared" si="20"/>
        <v>5570829.6173999999</v>
      </c>
      <c r="T118" s="465">
        <f t="shared" si="21"/>
        <v>0.12014902336625977</v>
      </c>
    </row>
    <row r="119" spans="1:20">
      <c r="A119" s="116" t="str">
        <f t="shared" si="26"/>
        <v>425p</v>
      </c>
      <c r="B119" s="551" t="str">
        <f>+VLOOKUP(LEFT($A119,LEN(A119)-1)*1,Master!$D$29:$G$228,4,FALSE)</f>
        <v>Ostala prava iz zdravstvenog osiguranja</v>
      </c>
      <c r="C119" s="552"/>
      <c r="D119" s="552"/>
      <c r="E119" s="552"/>
      <c r="F119" s="552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0</v>
      </c>
      <c r="L119" s="87">
        <v>0</v>
      </c>
      <c r="M119" s="87">
        <v>0</v>
      </c>
      <c r="N119" s="87">
        <v>0</v>
      </c>
      <c r="O119" s="87">
        <v>0</v>
      </c>
      <c r="P119" s="87">
        <v>0</v>
      </c>
      <c r="Q119" s="87">
        <v>0</v>
      </c>
      <c r="R119" s="87">
        <v>0</v>
      </c>
      <c r="S119" s="112">
        <f t="shared" si="20"/>
        <v>3249843.8273999998</v>
      </c>
      <c r="T119" s="465">
        <f t="shared" si="21"/>
        <v>7.009109751542078E-2</v>
      </c>
    </row>
    <row r="120" spans="1:20">
      <c r="A120" s="116" t="str">
        <f t="shared" si="26"/>
        <v>43p</v>
      </c>
      <c r="B120" s="549" t="str">
        <f>+VLOOKUP(LEFT($A120,LEN(A120)-1)*1,Master!$D$29:$G$228,4,FALSE)</f>
        <v xml:space="preserve">Transferi institucijama, pojedincima, nevladinom i javnom sektoru </v>
      </c>
      <c r="C120" s="550"/>
      <c r="D120" s="550"/>
      <c r="E120" s="550"/>
      <c r="F120" s="550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0</v>
      </c>
      <c r="L120" s="83">
        <v>0</v>
      </c>
      <c r="M120" s="83">
        <v>0</v>
      </c>
      <c r="N120" s="83">
        <v>0</v>
      </c>
      <c r="O120" s="83">
        <v>0</v>
      </c>
      <c r="P120" s="83">
        <v>0</v>
      </c>
      <c r="Q120" s="83">
        <v>0</v>
      </c>
      <c r="R120" s="83">
        <v>0</v>
      </c>
      <c r="S120" s="113">
        <f>+SUM(G120:R120)</f>
        <v>86411549.831400007</v>
      </c>
      <c r="T120" s="466">
        <f t="shared" si="21"/>
        <v>1.863683514458871</v>
      </c>
    </row>
    <row r="121" spans="1:20">
      <c r="A121" s="116" t="str">
        <f t="shared" si="26"/>
        <v>44p</v>
      </c>
      <c r="B121" s="549" t="str">
        <f>+VLOOKUP(LEFT($A121,LEN(A121)-1)*1,Master!$D$29:$G$228,4,FALSE)</f>
        <v>Kapitalni izdaci</v>
      </c>
      <c r="C121" s="550"/>
      <c r="D121" s="550"/>
      <c r="E121" s="550"/>
      <c r="F121" s="550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0</v>
      </c>
      <c r="L121" s="83">
        <v>0</v>
      </c>
      <c r="M121" s="83">
        <v>0</v>
      </c>
      <c r="N121" s="83">
        <v>0</v>
      </c>
      <c r="O121" s="83">
        <v>0</v>
      </c>
      <c r="P121" s="83">
        <v>0</v>
      </c>
      <c r="Q121" s="83">
        <v>0</v>
      </c>
      <c r="R121" s="83">
        <v>0</v>
      </c>
      <c r="S121" s="113">
        <f t="shared" si="20"/>
        <v>58943000.745699987</v>
      </c>
      <c r="T121" s="466">
        <f t="shared" si="21"/>
        <v>1.2712548148578697</v>
      </c>
    </row>
    <row r="122" spans="1:20">
      <c r="A122" s="116" t="str">
        <f t="shared" si="26"/>
        <v>451p</v>
      </c>
      <c r="B122" s="541" t="str">
        <f>+VLOOKUP(LEFT($A122,LEN(A122)-1)*1,Master!$D$29:$G$228,4,FALSE)</f>
        <v>Pozajmice i krediti</v>
      </c>
      <c r="C122" s="542"/>
      <c r="D122" s="542"/>
      <c r="E122" s="542"/>
      <c r="F122" s="542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0</v>
      </c>
      <c r="L122" s="87">
        <v>0</v>
      </c>
      <c r="M122" s="87">
        <v>0</v>
      </c>
      <c r="N122" s="87">
        <v>0</v>
      </c>
      <c r="O122" s="87">
        <v>0</v>
      </c>
      <c r="P122" s="87">
        <v>0</v>
      </c>
      <c r="Q122" s="87">
        <v>0</v>
      </c>
      <c r="R122" s="87">
        <v>0</v>
      </c>
      <c r="S122" s="112">
        <f t="shared" si="20"/>
        <v>624519.33480000007</v>
      </c>
      <c r="T122" s="465">
        <f t="shared" si="21"/>
        <v>1.3469338196091965E-2</v>
      </c>
    </row>
    <row r="123" spans="1:20">
      <c r="A123" s="116" t="str">
        <f t="shared" si="26"/>
        <v>47p</v>
      </c>
      <c r="B123" s="541" t="str">
        <f>+VLOOKUP(LEFT($A123,LEN(A123)-1)*1,Master!$D$29:$G$228,4,FALSE)</f>
        <v>Rezerve</v>
      </c>
      <c r="C123" s="542"/>
      <c r="D123" s="542"/>
      <c r="E123" s="542"/>
      <c r="F123" s="542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0</v>
      </c>
      <c r="L123" s="87">
        <v>0</v>
      </c>
      <c r="M123" s="87">
        <v>0</v>
      </c>
      <c r="N123" s="87">
        <v>0</v>
      </c>
      <c r="O123" s="87">
        <v>0</v>
      </c>
      <c r="P123" s="87">
        <v>0</v>
      </c>
      <c r="Q123" s="87">
        <v>0</v>
      </c>
      <c r="R123" s="87">
        <v>0</v>
      </c>
      <c r="S123" s="112">
        <f t="shared" si="20"/>
        <v>43094030.82</v>
      </c>
      <c r="T123" s="465">
        <f t="shared" si="21"/>
        <v>0.92943171332441876</v>
      </c>
    </row>
    <row r="124" spans="1:20">
      <c r="A124" s="116" t="str">
        <f t="shared" si="26"/>
        <v>462p</v>
      </c>
      <c r="B124" s="541" t="str">
        <f>+VLOOKUP(LEFT($A124,LEN(A124)-1)*1,Master!$D$29:$G$228,4,FALSE)</f>
        <v>Otplata garancija</v>
      </c>
      <c r="C124" s="542"/>
      <c r="D124" s="542"/>
      <c r="E124" s="542"/>
      <c r="F124" s="542"/>
      <c r="G124" s="87">
        <v>3836366.14</v>
      </c>
      <c r="H124" s="87">
        <v>20000</v>
      </c>
      <c r="I124" s="87">
        <v>20000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3876366.14</v>
      </c>
      <c r="T124" s="465">
        <f t="shared" si="21"/>
        <v>8.3603634991157319E-2</v>
      </c>
    </row>
    <row r="125" spans="1:20">
      <c r="A125" s="117" t="str">
        <f t="shared" si="26"/>
        <v>4630p</v>
      </c>
      <c r="B125" s="541" t="str">
        <f>+VLOOKUP(LEFT($A125,LEN(A125)-1)*1,Master!$D$29:$G$228,4,FALSE)</f>
        <v>Otplata obaveza iz prethodnog perioda</v>
      </c>
      <c r="C125" s="542"/>
      <c r="D125" s="542"/>
      <c r="E125" s="542"/>
      <c r="F125" s="542"/>
      <c r="G125" s="96">
        <v>1590076.06</v>
      </c>
      <c r="H125" s="87">
        <v>2656778.3092999929</v>
      </c>
      <c r="I125" s="87">
        <v>2677062.2602999979</v>
      </c>
      <c r="J125" s="87">
        <v>2665179.0145999948</v>
      </c>
      <c r="K125" s="87">
        <v>0</v>
      </c>
      <c r="L125" s="87">
        <v>0</v>
      </c>
      <c r="M125" s="87">
        <v>0</v>
      </c>
      <c r="N125" s="87">
        <v>0</v>
      </c>
      <c r="O125" s="87">
        <v>0</v>
      </c>
      <c r="P125" s="87">
        <v>0</v>
      </c>
      <c r="Q125" s="87">
        <v>0</v>
      </c>
      <c r="R125" s="87">
        <v>0</v>
      </c>
      <c r="S125" s="103">
        <f>+SUM(G125:R125)</f>
        <v>9589095.644199986</v>
      </c>
      <c r="T125" s="473">
        <f t="shared" si="21"/>
        <v>0.20681308812923235</v>
      </c>
    </row>
    <row r="126" spans="1:20" ht="13.5" thickBot="1">
      <c r="A126" s="116" t="str">
        <f t="shared" si="26"/>
        <v>1005p</v>
      </c>
      <c r="B126" s="541" t="str">
        <f>+VLOOKUP(LEFT($A126,LEN(A126)-1)*1,Master!$D$29:$G$228,4,FALSE)</f>
        <v>Neto povećanje obaveza</v>
      </c>
      <c r="C126" s="542"/>
      <c r="D126" s="542"/>
      <c r="E126" s="542"/>
      <c r="F126" s="542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70">
        <f t="shared" si="21"/>
        <v>0</v>
      </c>
    </row>
    <row r="127" spans="1:20" ht="13.5" thickBot="1">
      <c r="A127" s="117" t="str">
        <f t="shared" si="26"/>
        <v>1000p</v>
      </c>
      <c r="B127" s="543" t="str">
        <f>+VLOOKUP(LEFT($A127,LEN(A127)-1)*1,Master!$D$29:$G$225,4,FALSE)</f>
        <v>Suficit / deficit</v>
      </c>
      <c r="C127" s="544"/>
      <c r="D127" s="544"/>
      <c r="E127" s="544"/>
      <c r="F127" s="544"/>
      <c r="G127" s="93">
        <f t="shared" ref="G127:R127" si="27">+G84-G103</f>
        <v>-98727574.791282132</v>
      </c>
      <c r="H127" s="93">
        <f t="shared" si="27"/>
        <v>-62778309.733188093</v>
      </c>
      <c r="I127" s="93">
        <f t="shared" si="27"/>
        <v>-35412575.629021287</v>
      </c>
      <c r="J127" s="93">
        <f t="shared" si="27"/>
        <v>-8960368.1709368229</v>
      </c>
      <c r="K127" s="93">
        <f t="shared" si="27"/>
        <v>0</v>
      </c>
      <c r="L127" s="93">
        <f t="shared" si="27"/>
        <v>0</v>
      </c>
      <c r="M127" s="93">
        <f t="shared" si="27"/>
        <v>0</v>
      </c>
      <c r="N127" s="93">
        <f t="shared" si="27"/>
        <v>0</v>
      </c>
      <c r="O127" s="93">
        <f t="shared" si="27"/>
        <v>0</v>
      </c>
      <c r="P127" s="93">
        <f t="shared" si="27"/>
        <v>0</v>
      </c>
      <c r="Q127" s="93">
        <f t="shared" si="27"/>
        <v>0</v>
      </c>
      <c r="R127" s="93">
        <f t="shared" si="27"/>
        <v>0</v>
      </c>
      <c r="S127" s="106">
        <f t="shared" si="20"/>
        <v>-205878828.32442832</v>
      </c>
      <c r="T127" s="471">
        <f t="shared" si="21"/>
        <v>-4.4402973800722148</v>
      </c>
    </row>
    <row r="128" spans="1:20" ht="13.5" thickBot="1">
      <c r="A128" s="117" t="str">
        <f t="shared" si="26"/>
        <v>1001p</v>
      </c>
      <c r="B128" s="545" t="str">
        <f>+VLOOKUP(LEFT($A128,LEN(A128)-1)*1,Master!$D$29:$G$225,4,FALSE)</f>
        <v>Primarni suficit/deficit</v>
      </c>
      <c r="C128" s="546"/>
      <c r="D128" s="546"/>
      <c r="E128" s="546"/>
      <c r="F128" s="546"/>
      <c r="G128" s="94">
        <f>+G127+G110</f>
        <v>-90839170.986682132</v>
      </c>
      <c r="H128" s="94">
        <f t="shared" ref="H128:R128" si="28">+H127+H110</f>
        <v>-61599552.579688095</v>
      </c>
      <c r="I128" s="94">
        <f t="shared" si="28"/>
        <v>-19813957.642021287</v>
      </c>
      <c r="J128" s="94">
        <f t="shared" si="28"/>
        <v>13527529.667463187</v>
      </c>
      <c r="K128" s="94">
        <f t="shared" si="28"/>
        <v>0</v>
      </c>
      <c r="L128" s="94">
        <f t="shared" si="28"/>
        <v>0</v>
      </c>
      <c r="M128" s="94">
        <f t="shared" si="28"/>
        <v>0</v>
      </c>
      <c r="N128" s="94">
        <f t="shared" si="28"/>
        <v>0</v>
      </c>
      <c r="O128" s="94">
        <f t="shared" si="28"/>
        <v>0</v>
      </c>
      <c r="P128" s="94">
        <f t="shared" si="28"/>
        <v>0</v>
      </c>
      <c r="Q128" s="94">
        <f t="shared" si="28"/>
        <v>0</v>
      </c>
      <c r="R128" s="94">
        <f t="shared" si="28"/>
        <v>0</v>
      </c>
      <c r="S128" s="106">
        <f t="shared" si="20"/>
        <v>-158725151.54092833</v>
      </c>
      <c r="T128" s="471">
        <f t="shared" si="21"/>
        <v>-3.4233091390443069</v>
      </c>
    </row>
    <row r="129" spans="1:20">
      <c r="A129" s="117" t="str">
        <f t="shared" si="26"/>
        <v>46p</v>
      </c>
      <c r="B129" s="547" t="str">
        <f>+VLOOKUP(LEFT($A129,LEN(A129)-1)*1,Master!$D$29:$G$225,4,FALSE)</f>
        <v>Otplata dugova</v>
      </c>
      <c r="C129" s="548"/>
      <c r="D129" s="548"/>
      <c r="E129" s="548"/>
      <c r="F129" s="548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0</v>
      </c>
      <c r="L129" s="84">
        <f t="shared" si="29"/>
        <v>0</v>
      </c>
      <c r="M129" s="84">
        <f t="shared" si="29"/>
        <v>0</v>
      </c>
      <c r="N129" s="84">
        <f t="shared" si="29"/>
        <v>0</v>
      </c>
      <c r="O129" s="84">
        <f t="shared" si="29"/>
        <v>0</v>
      </c>
      <c r="P129" s="84">
        <f t="shared" si="29"/>
        <v>0</v>
      </c>
      <c r="Q129" s="84">
        <f t="shared" si="29"/>
        <v>0</v>
      </c>
      <c r="R129" s="84">
        <f t="shared" si="29"/>
        <v>0</v>
      </c>
      <c r="S129" s="104">
        <f t="shared" si="20"/>
        <v>333322098.86000001</v>
      </c>
      <c r="T129" s="472">
        <f t="shared" si="21"/>
        <v>7.1889336768321614</v>
      </c>
    </row>
    <row r="130" spans="1:20">
      <c r="A130" s="117" t="str">
        <f t="shared" si="26"/>
        <v>4611p</v>
      </c>
      <c r="B130" s="539" t="str">
        <f>+VLOOKUP(LEFT($A130,LEN(A130)-1)*1,Master!$D$29:$G$225,4,FALSE)</f>
        <v>Otplata hartija od vrijednosti i kredita rezidentima</v>
      </c>
      <c r="C130" s="540"/>
      <c r="D130" s="540"/>
      <c r="E130" s="540"/>
      <c r="F130" s="540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0</v>
      </c>
      <c r="L130" s="96">
        <v>0</v>
      </c>
      <c r="M130" s="96">
        <v>0</v>
      </c>
      <c r="N130" s="96">
        <v>0</v>
      </c>
      <c r="O130" s="96">
        <v>0</v>
      </c>
      <c r="P130" s="96">
        <v>0</v>
      </c>
      <c r="Q130" s="96">
        <v>0</v>
      </c>
      <c r="R130" s="96">
        <v>0</v>
      </c>
      <c r="S130" s="103">
        <f t="shared" si="20"/>
        <v>54995506.769999996</v>
      </c>
      <c r="T130" s="473">
        <f t="shared" si="21"/>
        <v>1.186117128283656</v>
      </c>
    </row>
    <row r="131" spans="1:20" ht="13.5" thickBot="1">
      <c r="A131" s="117" t="str">
        <f t="shared" si="26"/>
        <v>4612p</v>
      </c>
      <c r="B131" s="541" t="str">
        <f>+VLOOKUP(LEFT($A131,LEN(A131)-1)*1,Master!$D$29:$G$225,4,FALSE)</f>
        <v>Otplata hartija od vrijednosti i kredita nerezidentima</v>
      </c>
      <c r="C131" s="542"/>
      <c r="D131" s="542"/>
      <c r="E131" s="542"/>
      <c r="F131" s="542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0</v>
      </c>
      <c r="L131" s="96">
        <v>0</v>
      </c>
      <c r="M131" s="96">
        <v>0</v>
      </c>
      <c r="N131" s="96">
        <v>0</v>
      </c>
      <c r="O131" s="96">
        <v>0</v>
      </c>
      <c r="P131" s="96">
        <v>0</v>
      </c>
      <c r="Q131" s="96">
        <v>0</v>
      </c>
      <c r="R131" s="96">
        <v>0</v>
      </c>
      <c r="S131" s="103">
        <f t="shared" si="20"/>
        <v>278326592.08999997</v>
      </c>
      <c r="T131" s="473">
        <f t="shared" si="21"/>
        <v>6.0028165485485045</v>
      </c>
    </row>
    <row r="132" spans="1:20" ht="13.5" thickBot="1">
      <c r="A132" s="117" t="str">
        <f t="shared" si="26"/>
        <v>4418p</v>
      </c>
      <c r="B132" s="535" t="str">
        <f>+VLOOKUP(LEFT($A132,LEN(A132)-1)*1,Master!$D$29:$G$225,4,FALSE)</f>
        <v>Izdaci za kupovinu hartija od vrijednosti</v>
      </c>
      <c r="C132" s="536"/>
      <c r="D132" s="536"/>
      <c r="E132" s="536"/>
      <c r="F132" s="536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0</v>
      </c>
      <c r="S132" s="450">
        <f t="shared" si="20"/>
        <v>536784</v>
      </c>
      <c r="T132" s="480">
        <f t="shared" si="21"/>
        <v>1.1577103912349566E-2</v>
      </c>
    </row>
    <row r="133" spans="1:20" ht="13.5" thickBot="1">
      <c r="A133" s="117" t="str">
        <f t="shared" si="26"/>
        <v>1002p</v>
      </c>
      <c r="B133" s="537" t="str">
        <f>+VLOOKUP(LEFT($A133,LEN(A133)-1)*1,Master!$D$29:$G$225,4,FALSE)</f>
        <v>Nedostajuća sredstva</v>
      </c>
      <c r="C133" s="538"/>
      <c r="D133" s="538"/>
      <c r="E133" s="538"/>
      <c r="F133" s="538"/>
      <c r="G133" s="77">
        <f t="shared" ref="G133:R133" si="30">+G127-G129-G132</f>
        <v>-116366469.79128213</v>
      </c>
      <c r="H133" s="77">
        <f t="shared" si="30"/>
        <v>-78899134.733188093</v>
      </c>
      <c r="I133" s="77">
        <f t="shared" si="30"/>
        <v>-302601019.62902129</v>
      </c>
      <c r="J133" s="77">
        <f t="shared" si="30"/>
        <v>-41871087.030936822</v>
      </c>
      <c r="K133" s="77">
        <f t="shared" si="30"/>
        <v>0</v>
      </c>
      <c r="L133" s="77">
        <f t="shared" si="30"/>
        <v>0</v>
      </c>
      <c r="M133" s="77">
        <f t="shared" si="30"/>
        <v>0</v>
      </c>
      <c r="N133" s="77">
        <f t="shared" si="30"/>
        <v>0</v>
      </c>
      <c r="O133" s="77">
        <f t="shared" si="30"/>
        <v>0</v>
      </c>
      <c r="P133" s="77">
        <f t="shared" si="30"/>
        <v>0</v>
      </c>
      <c r="Q133" s="77">
        <f t="shared" si="30"/>
        <v>0</v>
      </c>
      <c r="R133" s="77">
        <f t="shared" si="30"/>
        <v>0</v>
      </c>
      <c r="S133" s="109">
        <f t="shared" si="20"/>
        <v>-539737711.18442833</v>
      </c>
      <c r="T133" s="475">
        <f t="shared" si="21"/>
        <v>-11.640808160816727</v>
      </c>
    </row>
    <row r="134" spans="1:20" ht="13.5" thickBot="1">
      <c r="A134" s="117" t="str">
        <f t="shared" si="26"/>
        <v>1003p</v>
      </c>
      <c r="B134" s="535" t="str">
        <f>+VLOOKUP(LEFT($A134,LEN(A134)-1)*1,Master!$D$29:$G$225,4,FALSE)</f>
        <v>Finansiranje</v>
      </c>
      <c r="C134" s="536"/>
      <c r="D134" s="536"/>
      <c r="E134" s="536"/>
      <c r="F134" s="536"/>
      <c r="G134" s="93">
        <f t="shared" ref="G134:R134" si="31">+SUM(G135:G138)</f>
        <v>116366469.79128213</v>
      </c>
      <c r="H134" s="93">
        <f t="shared" si="31"/>
        <v>78899134.733188093</v>
      </c>
      <c r="I134" s="93">
        <f t="shared" si="31"/>
        <v>302601019.62902129</v>
      </c>
      <c r="J134" s="93">
        <f t="shared" si="31"/>
        <v>41871087.030936822</v>
      </c>
      <c r="K134" s="93">
        <f t="shared" si="31"/>
        <v>0</v>
      </c>
      <c r="L134" s="93">
        <f t="shared" si="31"/>
        <v>0</v>
      </c>
      <c r="M134" s="93">
        <f t="shared" si="31"/>
        <v>0</v>
      </c>
      <c r="N134" s="93">
        <f t="shared" si="31"/>
        <v>0</v>
      </c>
      <c r="O134" s="93">
        <f t="shared" si="31"/>
        <v>0</v>
      </c>
      <c r="P134" s="93">
        <f t="shared" si="31"/>
        <v>0</v>
      </c>
      <c r="Q134" s="93">
        <f t="shared" si="31"/>
        <v>0</v>
      </c>
      <c r="R134" s="93">
        <f t="shared" si="31"/>
        <v>0</v>
      </c>
      <c r="S134" s="110">
        <f t="shared" si="20"/>
        <v>539737711.18442833</v>
      </c>
      <c r="T134" s="476">
        <f t="shared" si="21"/>
        <v>11.640808160816727</v>
      </c>
    </row>
    <row r="135" spans="1:20">
      <c r="A135" s="117" t="str">
        <f t="shared" si="26"/>
        <v>7511p</v>
      </c>
      <c r="B135" s="539" t="str">
        <f>+VLOOKUP(LEFT($A135,LEN(A135)-1)*1,Master!$D$29:$G$225,4,FALSE)</f>
        <v>Pozajmice i krediti od domaćih izvora</v>
      </c>
      <c r="C135" s="540"/>
      <c r="D135" s="540"/>
      <c r="E135" s="540"/>
      <c r="F135" s="540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3">
        <f t="shared" si="21"/>
        <v>0</v>
      </c>
    </row>
    <row r="136" spans="1:20">
      <c r="A136" s="117" t="str">
        <f t="shared" si="26"/>
        <v>7512p</v>
      </c>
      <c r="B136" s="541" t="str">
        <f>+VLOOKUP(LEFT($A136,LEN(A136)-1)*1,Master!$D$29:$G$225,4,FALSE)</f>
        <v>Pozajmice i krediti od inostranih izvora</v>
      </c>
      <c r="C136" s="542"/>
      <c r="D136" s="542"/>
      <c r="E136" s="542"/>
      <c r="F136" s="542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0</v>
      </c>
      <c r="L136" s="96">
        <v>0</v>
      </c>
      <c r="M136" s="96">
        <v>0</v>
      </c>
      <c r="N136" s="96">
        <v>0</v>
      </c>
      <c r="O136" s="96">
        <v>0</v>
      </c>
      <c r="P136" s="96">
        <v>0</v>
      </c>
      <c r="Q136" s="96">
        <v>0</v>
      </c>
      <c r="R136" s="96">
        <v>0</v>
      </c>
      <c r="S136" s="103">
        <f t="shared" si="20"/>
        <v>17600000</v>
      </c>
      <c r="T136" s="473">
        <f t="shared" si="21"/>
        <v>0.37958849156709662</v>
      </c>
    </row>
    <row r="137" spans="1:20">
      <c r="A137" s="117" t="str">
        <f t="shared" si="26"/>
        <v>72p</v>
      </c>
      <c r="B137" s="541" t="str">
        <f>+VLOOKUP(LEFT($A137,LEN(A137)-1)*1,Master!$D$29:$G$225,4,FALSE)</f>
        <v>Primici od prodaje imovine</v>
      </c>
      <c r="C137" s="542"/>
      <c r="D137" s="542"/>
      <c r="E137" s="542"/>
      <c r="F137" s="542"/>
      <c r="G137" s="96">
        <v>62782.51</v>
      </c>
      <c r="H137" s="96">
        <v>30000</v>
      </c>
      <c r="I137" s="96">
        <v>70000</v>
      </c>
      <c r="J137" s="96">
        <v>40000</v>
      </c>
      <c r="K137" s="96">
        <v>0</v>
      </c>
      <c r="L137" s="96">
        <v>0</v>
      </c>
      <c r="M137" s="96">
        <v>0</v>
      </c>
      <c r="N137" s="96">
        <v>0</v>
      </c>
      <c r="O137" s="96">
        <v>0</v>
      </c>
      <c r="P137" s="96">
        <v>0</v>
      </c>
      <c r="Q137" s="96">
        <v>0</v>
      </c>
      <c r="R137" s="96">
        <v>0</v>
      </c>
      <c r="S137" s="103">
        <f t="shared" si="20"/>
        <v>202782.51</v>
      </c>
      <c r="T137" s="473">
        <f t="shared" si="21"/>
        <v>4.3735174481300959E-3</v>
      </c>
    </row>
    <row r="138" spans="1:20" ht="13.5" thickBot="1">
      <c r="A138" s="117" t="str">
        <f t="shared" si="2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2">-G133-SUM(G135:G137)</f>
        <v>109303687.28128213</v>
      </c>
      <c r="H138" s="97">
        <f t="shared" si="32"/>
        <v>78669134.733188093</v>
      </c>
      <c r="I138" s="97">
        <f t="shared" si="32"/>
        <v>302131019.62902129</v>
      </c>
      <c r="J138" s="97">
        <f t="shared" si="32"/>
        <v>31831087.030936822</v>
      </c>
      <c r="K138" s="97">
        <f t="shared" si="32"/>
        <v>0</v>
      </c>
      <c r="L138" s="97">
        <f t="shared" si="32"/>
        <v>0</v>
      </c>
      <c r="M138" s="97">
        <f t="shared" si="32"/>
        <v>0</v>
      </c>
      <c r="N138" s="97">
        <f t="shared" si="32"/>
        <v>0</v>
      </c>
      <c r="O138" s="97">
        <f t="shared" si="32"/>
        <v>0</v>
      </c>
      <c r="P138" s="97">
        <f t="shared" si="32"/>
        <v>0</v>
      </c>
      <c r="Q138" s="97">
        <f t="shared" si="32"/>
        <v>0</v>
      </c>
      <c r="R138" s="97">
        <f t="shared" si="32"/>
        <v>0</v>
      </c>
      <c r="S138" s="105">
        <f t="shared" si="20"/>
        <v>521934928.67442834</v>
      </c>
      <c r="T138" s="477">
        <f t="shared" si="21"/>
        <v>11.256846151801501</v>
      </c>
    </row>
  </sheetData>
  <sheetProtection algorithmName="SHA-512" hashValue="brMD9n0VKQAtyZNBi0rhanIC05VvVKQDNKsYsCoE+hyBWTWTWM8o2EFSa88Fb3cWpFZRfmlCzoOWHrQ2ijJJCg==" saltValue="RNTYuTMrIVeK5ZoUXE09Ug==" spinCount="100000" sheet="1" objects="1" scenarios="1"/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7"/>
  <sheetViews>
    <sheetView zoomScaleNormal="100" workbookViewId="0">
      <pane ySplit="1" topLeftCell="A2" activePane="bottomLeft" state="frozen"/>
      <selection pane="bottomLeft" activeCell="S29" sqref="S29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590" t="str">
        <f>+Master!G251</f>
        <v>Ostvarenje budžeta</v>
      </c>
      <c r="C7" s="490"/>
      <c r="D7" s="490"/>
      <c r="E7" s="490"/>
      <c r="F7" s="490"/>
      <c r="G7" s="498">
        <v>2020</v>
      </c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502"/>
      <c r="S7" s="235" t="str">
        <f>+Master!G248</f>
        <v>BDP</v>
      </c>
      <c r="T7" s="236">
        <v>4193200000</v>
      </c>
    </row>
    <row r="8" spans="1:20" ht="16.5" customHeight="1">
      <c r="A8" s="144"/>
      <c r="B8" s="491"/>
      <c r="C8" s="492"/>
      <c r="D8" s="492"/>
      <c r="E8" s="492"/>
      <c r="F8" s="493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498" t="str">
        <f>+Master!G246</f>
        <v>Jan - Dec</v>
      </c>
      <c r="T8" s="502"/>
    </row>
    <row r="9" spans="1:20" ht="13.5" thickBot="1">
      <c r="A9" s="144"/>
      <c r="B9" s="494"/>
      <c r="C9" s="495"/>
      <c r="D9" s="495"/>
      <c r="E9" s="495"/>
      <c r="F9" s="49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31" t="str">
        <f>+VLOOKUP($A10,Master!$D$29:$G$225,4,FALSE)</f>
        <v>Prihodi budžeta</v>
      </c>
      <c r="C10" s="532"/>
      <c r="D10" s="532"/>
      <c r="E10" s="532"/>
      <c r="F10" s="532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5">
        <f>+S10/$T$7*100</f>
        <v>39.07586188567204</v>
      </c>
    </row>
    <row r="11" spans="1:20">
      <c r="A11" s="150">
        <v>711</v>
      </c>
      <c r="B11" s="533" t="str">
        <f>+VLOOKUP($A11,Master!$D$29:$G$225,4,FALSE)</f>
        <v>Porezi</v>
      </c>
      <c r="C11" s="534"/>
      <c r="D11" s="534"/>
      <c r="E11" s="534"/>
      <c r="F11" s="534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6">
        <f t="shared" ref="T11:T64" si="4">+S11/$T$7*100</f>
        <v>23.03977473719355</v>
      </c>
    </row>
    <row r="12" spans="1:20">
      <c r="A12" s="150">
        <v>7111</v>
      </c>
      <c r="B12" s="519" t="str">
        <f>+VLOOKUP($A12,Master!$D$29:$G$225,4,FALSE)</f>
        <v>Porez na dohodak fizičkih lica</v>
      </c>
      <c r="C12" s="520"/>
      <c r="D12" s="520"/>
      <c r="E12" s="520"/>
      <c r="F12" s="520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7">
        <f t="shared" si="4"/>
        <v>2.822236689878852</v>
      </c>
    </row>
    <row r="13" spans="1:20">
      <c r="A13" s="150">
        <v>7112</v>
      </c>
      <c r="B13" s="519" t="str">
        <f>+VLOOKUP($A13,Master!$D$29:$G$225,4,FALSE)</f>
        <v>Porez na dobit pravnih lica</v>
      </c>
      <c r="C13" s="520"/>
      <c r="D13" s="520"/>
      <c r="E13" s="520"/>
      <c r="F13" s="520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7">
        <f t="shared" si="4"/>
        <v>1.8702984978059716</v>
      </c>
    </row>
    <row r="14" spans="1:20">
      <c r="A14" s="150">
        <v>7113</v>
      </c>
      <c r="B14" s="519" t="str">
        <f>+VLOOKUP($A14,Master!$D$29:$G$225,4,FALSE)</f>
        <v>Porez na promet nepokretnosti</v>
      </c>
      <c r="C14" s="520"/>
      <c r="D14" s="520"/>
      <c r="E14" s="520"/>
      <c r="F14" s="520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7">
        <f t="shared" si="4"/>
        <v>3.6808421253457985E-2</v>
      </c>
    </row>
    <row r="15" spans="1:20">
      <c r="A15" s="150">
        <v>7114</v>
      </c>
      <c r="B15" s="519" t="str">
        <f>+VLOOKUP($A15,Master!$D$29:$G$225,4,FALSE)</f>
        <v>Porez na dodatu vrijednost</v>
      </c>
      <c r="C15" s="520"/>
      <c r="D15" s="520"/>
      <c r="E15" s="520"/>
      <c r="F15" s="520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7">
        <f t="shared" si="4"/>
        <v>12.634274825670133</v>
      </c>
    </row>
    <row r="16" spans="1:20">
      <c r="A16" s="150">
        <v>7115</v>
      </c>
      <c r="B16" s="519" t="str">
        <f>+VLOOKUP($A16,Master!$D$29:$G$225,4,FALSE)</f>
        <v>Akcize</v>
      </c>
      <c r="C16" s="520"/>
      <c r="D16" s="520"/>
      <c r="E16" s="520"/>
      <c r="F16" s="520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7">
        <f t="shared" si="4"/>
        <v>4.8982304151960321</v>
      </c>
    </row>
    <row r="17" spans="1:25">
      <c r="A17" s="150">
        <v>7116</v>
      </c>
      <c r="B17" s="519" t="str">
        <f>+VLOOKUP($A17,Master!$D$29:$G$225,4,FALSE)</f>
        <v>Porez na međunarodnu trgovinu i transakcije</v>
      </c>
      <c r="C17" s="520"/>
      <c r="D17" s="520"/>
      <c r="E17" s="520"/>
      <c r="F17" s="520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7">
        <f t="shared" si="4"/>
        <v>0.53987197534102827</v>
      </c>
    </row>
    <row r="18" spans="1:25">
      <c r="A18" s="150">
        <v>7118</v>
      </c>
      <c r="B18" s="519" t="str">
        <f>+VLOOKUP($A18,Master!$D$29:$G$225,4,FALSE)</f>
        <v>Ostali državni porezi</v>
      </c>
      <c r="C18" s="520"/>
      <c r="D18" s="520"/>
      <c r="E18" s="520"/>
      <c r="F18" s="520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7">
        <f t="shared" si="4"/>
        <v>0.23805391204807785</v>
      </c>
    </row>
    <row r="19" spans="1:25">
      <c r="A19" s="150">
        <v>712</v>
      </c>
      <c r="B19" s="529" t="str">
        <f>+VLOOKUP($A19,Master!$D$29:$G$225,4,FALSE)</f>
        <v>Doprinosi</v>
      </c>
      <c r="C19" s="530"/>
      <c r="D19" s="530"/>
      <c r="E19" s="530"/>
      <c r="F19" s="530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8">
        <f t="shared" si="4"/>
        <v>12.663850314556901</v>
      </c>
    </row>
    <row r="20" spans="1:25">
      <c r="A20" s="150">
        <v>7121</v>
      </c>
      <c r="B20" s="519" t="str">
        <f>+VLOOKUP($A20,Master!$D$29:$G$225,4,FALSE)</f>
        <v>Doprinosi za penzijsko i invalidsko osiguranje</v>
      </c>
      <c r="C20" s="520"/>
      <c r="D20" s="520"/>
      <c r="E20" s="520"/>
      <c r="F20" s="520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7">
        <f t="shared" si="4"/>
        <v>7.8891372670037203</v>
      </c>
    </row>
    <row r="21" spans="1:25">
      <c r="A21" s="150">
        <v>7122</v>
      </c>
      <c r="B21" s="519" t="str">
        <f>+VLOOKUP($A21,Master!$D$29:$G$225,4,FALSE)</f>
        <v>Doprinosi za zdravstveno osiguranje</v>
      </c>
      <c r="C21" s="520"/>
      <c r="D21" s="520"/>
      <c r="E21" s="520"/>
      <c r="F21" s="520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7">
        <f t="shared" si="4"/>
        <v>4.0914253806162346</v>
      </c>
    </row>
    <row r="22" spans="1:25">
      <c r="A22" s="150">
        <v>7123</v>
      </c>
      <c r="B22" s="519" t="str">
        <f>+VLOOKUP($A22,Master!$D$29:$G$225,4,FALSE)</f>
        <v>Doprinosi za osiguranje od nezaposlenosti</v>
      </c>
      <c r="C22" s="520"/>
      <c r="D22" s="520"/>
      <c r="E22" s="520"/>
      <c r="F22" s="520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7">
        <f t="shared" si="4"/>
        <v>0.36772938471811512</v>
      </c>
    </row>
    <row r="23" spans="1:25">
      <c r="A23" s="150">
        <v>7124</v>
      </c>
      <c r="B23" s="519" t="str">
        <f>+VLOOKUP($A23,Master!$D$29:$G$225,4,FALSE)</f>
        <v>Ostali doprinosi</v>
      </c>
      <c r="C23" s="520"/>
      <c r="D23" s="520"/>
      <c r="E23" s="520"/>
      <c r="F23" s="520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7">
        <f t="shared" si="4"/>
        <v>0.31555828221883048</v>
      </c>
      <c r="Y23" s="305"/>
    </row>
    <row r="24" spans="1:25">
      <c r="A24" s="150">
        <v>713</v>
      </c>
      <c r="B24" s="521" t="str">
        <f>+VLOOKUP($A24,Master!$D$29:$G$225,4,FALSE)</f>
        <v>Takse</v>
      </c>
      <c r="C24" s="522"/>
      <c r="D24" s="522"/>
      <c r="E24" s="522"/>
      <c r="F24" s="522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8">
        <f t="shared" si="4"/>
        <v>0.25365932581322143</v>
      </c>
      <c r="Y24" s="305"/>
    </row>
    <row r="25" spans="1:25">
      <c r="A25" s="150">
        <v>714</v>
      </c>
      <c r="B25" s="521" t="str">
        <f>+VLOOKUP($A25,Master!$D$29:$G$225,4,FALSE)</f>
        <v>Naknade</v>
      </c>
      <c r="C25" s="522"/>
      <c r="D25" s="522"/>
      <c r="E25" s="522"/>
      <c r="F25" s="522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8">
        <f t="shared" si="4"/>
        <v>0.66342614375655828</v>
      </c>
      <c r="W25" s="292"/>
    </row>
    <row r="26" spans="1:25">
      <c r="A26" s="150">
        <v>715</v>
      </c>
      <c r="B26" s="521" t="str">
        <f>+VLOOKUP($A26,Master!$D$29:$G$225,4,FALSE)</f>
        <v>Ostali prihodi</v>
      </c>
      <c r="C26" s="522"/>
      <c r="D26" s="522"/>
      <c r="E26" s="522"/>
      <c r="F26" s="522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8">
        <f t="shared" si="4"/>
        <v>0.89706214323189915</v>
      </c>
      <c r="W26" s="311"/>
    </row>
    <row r="27" spans="1:25">
      <c r="A27" s="150">
        <v>73</v>
      </c>
      <c r="B27" s="521" t="str">
        <f>+VLOOKUP($A27,Master!$D$29:$G$225,4,FALSE)</f>
        <v>Primici od otplate kredita i sredstva prenesena iz prethodne godine</v>
      </c>
      <c r="C27" s="522"/>
      <c r="D27" s="522"/>
      <c r="E27" s="522"/>
      <c r="F27" s="522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8">
        <f t="shared" si="4"/>
        <v>0.17683188853381665</v>
      </c>
    </row>
    <row r="28" spans="1:25" ht="13.5" thickBot="1">
      <c r="A28" s="150">
        <v>74</v>
      </c>
      <c r="B28" s="523" t="str">
        <f>+VLOOKUP($A28,Master!$D$29:$G$225,4,FALSE)</f>
        <v>Donacije i transferi</v>
      </c>
      <c r="C28" s="524"/>
      <c r="D28" s="524"/>
      <c r="E28" s="524"/>
      <c r="F28" s="524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9">
        <f t="shared" si="4"/>
        <v>1.3812573325860917</v>
      </c>
    </row>
    <row r="29" spans="1:25" ht="13.5" thickBot="1">
      <c r="A29" s="150">
        <v>4</v>
      </c>
      <c r="B29" s="509" t="str">
        <f>+VLOOKUP($A29,Master!$D$29:$G$225,4,FALSE)</f>
        <v>Izdaci budžeta</v>
      </c>
      <c r="C29" s="510"/>
      <c r="D29" s="510"/>
      <c r="E29" s="510"/>
      <c r="F29" s="510"/>
      <c r="G29" s="151">
        <f t="shared" ref="G29:R29" si="5">+G30+G40+G46+SUM(G47:G51)</f>
        <v>128597238.24400002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164193652.48000002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2064687266.0799997</v>
      </c>
      <c r="T29" s="440">
        <f t="shared" si="4"/>
        <v>49.238940810836581</v>
      </c>
    </row>
    <row r="30" spans="1:25">
      <c r="A30" s="150">
        <v>41</v>
      </c>
      <c r="B30" s="527" t="str">
        <f>+VLOOKUP($A30,Master!$D$29:$G$225,4,FALSE)</f>
        <v>Tekući izdaci</v>
      </c>
      <c r="C30" s="528"/>
      <c r="D30" s="528"/>
      <c r="E30" s="528"/>
      <c r="F30" s="528"/>
      <c r="G30" s="187">
        <f t="shared" ref="G30:R30" si="6">+SUM(G31:G39)</f>
        <v>53655716.330000006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5">
        <f t="shared" si="3"/>
        <v>858021278.61999989</v>
      </c>
      <c r="T30" s="436">
        <f t="shared" si="4"/>
        <v>20.462207350472188</v>
      </c>
    </row>
    <row r="31" spans="1:25">
      <c r="A31" s="150">
        <v>411</v>
      </c>
      <c r="B31" s="519" t="str">
        <f>+VLOOKUP($A31,Master!$D$29:$G$225,4,FALSE)</f>
        <v>Bruto zarade i doprinosi na teret poslodavca</v>
      </c>
      <c r="C31" s="520"/>
      <c r="D31" s="520"/>
      <c r="E31" s="520"/>
      <c r="F31" s="520"/>
      <c r="G31" s="163">
        <f>+INDEX(DataEx!$1:$1048576,MATCH('2020'!$A31,DataEx!$D:$D,0),MATCH('2020'!G$6,DataEx!$7:$7,0))</f>
        <v>40884832.280000001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499152382.91000003</v>
      </c>
      <c r="T31" s="437">
        <f t="shared" si="4"/>
        <v>11.903853451063627</v>
      </c>
    </row>
    <row r="32" spans="1:25">
      <c r="A32" s="150">
        <v>412</v>
      </c>
      <c r="B32" s="519" t="str">
        <f>+VLOOKUP($A32,Master!$D$29:$G$225,4,FALSE)</f>
        <v>Ostala lična primanja</v>
      </c>
      <c r="C32" s="520"/>
      <c r="D32" s="520"/>
      <c r="E32" s="520"/>
      <c r="F32" s="520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7">
        <f t="shared" si="4"/>
        <v>0.30810947557950968</v>
      </c>
    </row>
    <row r="33" spans="1:23">
      <c r="A33" s="150">
        <v>413</v>
      </c>
      <c r="B33" s="519" t="str">
        <f>+VLOOKUP($A33,Master!$D$29:$G$225,4,FALSE)</f>
        <v>Rashodi za materijal</v>
      </c>
      <c r="C33" s="520"/>
      <c r="D33" s="520"/>
      <c r="E33" s="520"/>
      <c r="F33" s="520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7">
        <f t="shared" si="4"/>
        <v>0.95222477153486618</v>
      </c>
      <c r="V33" s="291"/>
    </row>
    <row r="34" spans="1:23" s="362" customFormat="1">
      <c r="A34" s="361">
        <v>414</v>
      </c>
      <c r="B34" s="588" t="str">
        <f>+VLOOKUP($A34,Master!$D$29:$G$225,4,FALSE)</f>
        <v>Rashodi za usluge</v>
      </c>
      <c r="C34" s="589"/>
      <c r="D34" s="589"/>
      <c r="E34" s="589"/>
      <c r="F34" s="589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7">
        <f t="shared" si="4"/>
        <v>1.7706275705904797</v>
      </c>
      <c r="U34" s="258"/>
    </row>
    <row r="35" spans="1:23">
      <c r="A35" s="150">
        <v>415</v>
      </c>
      <c r="B35" s="519" t="str">
        <f>+VLOOKUP($A35,Master!$D$29:$G$225,4,FALSE)</f>
        <v>Rashodi za tekuće održavanje</v>
      </c>
      <c r="C35" s="520"/>
      <c r="D35" s="520"/>
      <c r="E35" s="520"/>
      <c r="F35" s="520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7">
        <f t="shared" si="4"/>
        <v>0.58102842196890214</v>
      </c>
    </row>
    <row r="36" spans="1:23">
      <c r="A36" s="150">
        <v>416</v>
      </c>
      <c r="B36" s="519" t="str">
        <f>+VLOOKUP($A36,Master!$D$29:$G$225,4,FALSE)</f>
        <v>Kamate</v>
      </c>
      <c r="C36" s="520"/>
      <c r="D36" s="520"/>
      <c r="E36" s="520"/>
      <c r="F36" s="520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7">
        <f t="shared" si="4"/>
        <v>2.6497402544596014</v>
      </c>
    </row>
    <row r="37" spans="1:23">
      <c r="A37" s="150">
        <v>417</v>
      </c>
      <c r="B37" s="519" t="str">
        <f>+VLOOKUP($A37,Master!$D$29:$G$225,4,FALSE)</f>
        <v>Renta</v>
      </c>
      <c r="C37" s="520"/>
      <c r="D37" s="520"/>
      <c r="E37" s="520"/>
      <c r="F37" s="520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7">
        <f t="shared" si="4"/>
        <v>0.27114387102928555</v>
      </c>
    </row>
    <row r="38" spans="1:23">
      <c r="A38" s="150">
        <v>418</v>
      </c>
      <c r="B38" s="519" t="str">
        <f>+VLOOKUP($A38,Master!$D$29:$G$225,4,FALSE)</f>
        <v>Subvencije</v>
      </c>
      <c r="C38" s="520"/>
      <c r="D38" s="520"/>
      <c r="E38" s="520"/>
      <c r="F38" s="520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7">
        <f t="shared" si="4"/>
        <v>0.866265675856148</v>
      </c>
    </row>
    <row r="39" spans="1:23" s="362" customFormat="1">
      <c r="A39" s="361">
        <v>419</v>
      </c>
      <c r="B39" s="588" t="str">
        <f>+VLOOKUP($A39,Master!$D$29:$G$225,4,FALSE)</f>
        <v>Ostali izdaci</v>
      </c>
      <c r="C39" s="589"/>
      <c r="D39" s="589"/>
      <c r="E39" s="589"/>
      <c r="F39" s="589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7">
        <f t="shared" si="4"/>
        <v>1.1592138583897742</v>
      </c>
      <c r="U39" s="258"/>
    </row>
    <row r="40" spans="1:23">
      <c r="A40" s="150">
        <v>42</v>
      </c>
      <c r="B40" s="515" t="str">
        <f>+VLOOKUP($A40,Master!$D$29:$G$225,4,FALSE)</f>
        <v>Transferi za socijalnu zaštitu</v>
      </c>
      <c r="C40" s="516"/>
      <c r="D40" s="516"/>
      <c r="E40" s="516"/>
      <c r="F40" s="516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8">
        <f t="shared" si="4"/>
        <v>13.323451504817324</v>
      </c>
      <c r="U40" s="242"/>
      <c r="W40" s="309"/>
    </row>
    <row r="41" spans="1:23">
      <c r="A41" s="150">
        <v>421</v>
      </c>
      <c r="B41" s="519" t="str">
        <f>+VLOOKUP($A41,Master!$D$29:$G$225,4,FALSE)</f>
        <v>Prava iz oblasti socijalne zaštite</v>
      </c>
      <c r="C41" s="520"/>
      <c r="D41" s="520"/>
      <c r="E41" s="520"/>
      <c r="F41" s="520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7">
        <f t="shared" si="4"/>
        <v>1.9192809205380139</v>
      </c>
      <c r="U41" s="242"/>
    </row>
    <row r="42" spans="1:23">
      <c r="A42" s="150">
        <v>422</v>
      </c>
      <c r="B42" s="519" t="str">
        <f>+VLOOKUP($A42,Master!$D$29:$G$225,4,FALSE)</f>
        <v>Sredstva za tehnološke viškove</v>
      </c>
      <c r="C42" s="520"/>
      <c r="D42" s="520"/>
      <c r="E42" s="520"/>
      <c r="F42" s="520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7">
        <f t="shared" si="4"/>
        <v>0.47931132786416103</v>
      </c>
      <c r="U42" s="242"/>
    </row>
    <row r="43" spans="1:23">
      <c r="A43" s="150">
        <v>423</v>
      </c>
      <c r="B43" s="519" t="str">
        <f>+VLOOKUP($A43,Master!$D$29:$G$225,4,FALSE)</f>
        <v>Prava iz oblasti penzijskog i invalidskog osiguranja</v>
      </c>
      <c r="C43" s="520"/>
      <c r="D43" s="520"/>
      <c r="E43" s="520"/>
      <c r="F43" s="520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7">
        <f t="shared" si="4"/>
        <v>10.208709002194031</v>
      </c>
      <c r="U43" s="242"/>
    </row>
    <row r="44" spans="1:23">
      <c r="A44" s="150">
        <v>424</v>
      </c>
      <c r="B44" s="519" t="str">
        <f>+VLOOKUP($A44,Master!$D$29:$G$225,4,FALSE)</f>
        <v>Ostala prava iz oblasti zdravstvene zaštite</v>
      </c>
      <c r="C44" s="520"/>
      <c r="D44" s="520"/>
      <c r="E44" s="520"/>
      <c r="F44" s="520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7">
        <f t="shared" si="4"/>
        <v>0.48224239244491068</v>
      </c>
      <c r="U44" s="242"/>
    </row>
    <row r="45" spans="1:23" s="362" customFormat="1">
      <c r="A45" s="361">
        <v>425</v>
      </c>
      <c r="B45" s="584" t="str">
        <f>+VLOOKUP($A45,Master!$D$29:$G$225,4,FALSE)</f>
        <v>Ostala prava iz zdravstvenog osiguranja</v>
      </c>
      <c r="C45" s="585"/>
      <c r="D45" s="585"/>
      <c r="E45" s="585"/>
      <c r="F45" s="585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7">
        <f t="shared" si="4"/>
        <v>0.23390786177620906</v>
      </c>
      <c r="U45" s="242"/>
    </row>
    <row r="46" spans="1:23">
      <c r="A46" s="150">
        <v>43</v>
      </c>
      <c r="B46" s="517" t="str">
        <f>+VLOOKUP($A46,Master!$D$29:$G$225,4,FALSE)</f>
        <v xml:space="preserve">Transferi institucijama, pojedincima, nevladinom i javnom sektoru </v>
      </c>
      <c r="C46" s="518"/>
      <c r="D46" s="518"/>
      <c r="E46" s="518"/>
      <c r="F46" s="518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8">
        <f t="shared" si="4"/>
        <v>6.7072618167509299</v>
      </c>
      <c r="U46" s="242"/>
    </row>
    <row r="47" spans="1:23">
      <c r="A47" s="150">
        <v>44</v>
      </c>
      <c r="B47" s="517" t="str">
        <f>+VLOOKUP($A47,Master!$D$29:$G$225,4,FALSE)</f>
        <v>Kapitalni izdaci</v>
      </c>
      <c r="C47" s="518"/>
      <c r="D47" s="518"/>
      <c r="E47" s="518"/>
      <c r="F47" s="518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19124293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229937455.56</v>
      </c>
      <c r="T47" s="438">
        <f t="shared" si="4"/>
        <v>5.4835794991891635</v>
      </c>
      <c r="U47" s="242"/>
    </row>
    <row r="48" spans="1:23">
      <c r="A48" s="150">
        <v>451</v>
      </c>
      <c r="B48" s="586" t="str">
        <f>+VLOOKUP($A48,Master!$D$29:$G$225,4,FALSE)</f>
        <v>Pozajmice i krediti</v>
      </c>
      <c r="C48" s="587"/>
      <c r="D48" s="587"/>
      <c r="E48" s="587"/>
      <c r="F48" s="587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7">
        <f t="shared" si="4"/>
        <v>3.8430482686253938E-2</v>
      </c>
      <c r="U48" s="242"/>
    </row>
    <row r="49" spans="1:22" s="362" customFormat="1">
      <c r="A49" s="361">
        <v>47</v>
      </c>
      <c r="B49" s="578" t="str">
        <f>+VLOOKUP($A49,Master!$D$29:$G$225,4,FALSE)</f>
        <v>Rezerve</v>
      </c>
      <c r="C49" s="579"/>
      <c r="D49" s="579"/>
      <c r="E49" s="579"/>
      <c r="F49" s="579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7">
        <f t="shared" si="4"/>
        <v>2.7762498616808164</v>
      </c>
      <c r="U49" s="242"/>
    </row>
    <row r="50" spans="1:22" ht="13.5" thickBot="1">
      <c r="A50" s="150">
        <v>462</v>
      </c>
      <c r="B50" s="505" t="str">
        <f>+VLOOKUP($A50,Master!$D$29:$G$225,4,FALSE)</f>
        <v>Otplata garancija</v>
      </c>
      <c r="C50" s="506"/>
      <c r="D50" s="506"/>
      <c r="E50" s="506"/>
      <c r="F50" s="506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7">
        <f t="shared" si="4"/>
        <v>0</v>
      </c>
      <c r="U50" s="242"/>
      <c r="V50" s="293"/>
    </row>
    <row r="51" spans="1:22" ht="13.5" thickBot="1">
      <c r="A51" s="144">
        <v>4630</v>
      </c>
      <c r="B51" s="580" t="str">
        <f>+VLOOKUP($A51,Master!$D$29:$G$225,4,TRUE)</f>
        <v>Otplata obaveza iz prethodnog perioda</v>
      </c>
      <c r="C51" s="581"/>
      <c r="D51" s="581"/>
      <c r="E51" s="581"/>
      <c r="F51" s="581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6">
        <f>+SUM(G51:R51)</f>
        <v>18775484.700000003</v>
      </c>
      <c r="T51" s="441">
        <f t="shared" si="4"/>
        <v>0.44776029523991229</v>
      </c>
      <c r="U51" s="242"/>
    </row>
    <row r="52" spans="1:22" ht="13.5" thickBot="1">
      <c r="A52" s="70">
        <v>1005</v>
      </c>
      <c r="B52" s="582" t="str">
        <f>+VLOOKUP($A52,Master!$D$29:$G$227,4,FALSE)</f>
        <v>Neto povećanje obaveza</v>
      </c>
      <c r="C52" s="583"/>
      <c r="D52" s="583"/>
      <c r="E52" s="583"/>
      <c r="F52" s="583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2">
        <f t="shared" si="4"/>
        <v>0</v>
      </c>
    </row>
    <row r="53" spans="1:22" ht="13.5" thickBot="1">
      <c r="A53" s="144">
        <v>1000</v>
      </c>
      <c r="B53" s="511" t="str">
        <f>+VLOOKUP($A53,Master!$D$29:$G$225,4,FALSE)</f>
        <v>Suficit / deficit</v>
      </c>
      <c r="C53" s="512"/>
      <c r="D53" s="512"/>
      <c r="E53" s="512"/>
      <c r="F53" s="512"/>
      <c r="G53" s="151">
        <f t="shared" ref="G53:R53" si="8">+G10-G29</f>
        <v>-34274992.30400002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-21620426.810000032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-426158225.49000001</v>
      </c>
      <c r="T53" s="443">
        <f t="shared" si="4"/>
        <v>-10.163078925164552</v>
      </c>
    </row>
    <row r="54" spans="1:22" ht="13.5" thickBot="1">
      <c r="A54" s="144">
        <v>1001</v>
      </c>
      <c r="B54" s="513" t="str">
        <f>+VLOOKUP($A54,Master!$D$29:$G$225,4,FALSE)</f>
        <v>Primarni suficit/deficit</v>
      </c>
      <c r="C54" s="514"/>
      <c r="D54" s="514"/>
      <c r="E54" s="514"/>
      <c r="F54" s="514"/>
      <c r="G54" s="205">
        <f t="shared" ref="G54:R54" si="9">+G53+G36</f>
        <v>-26620146.914000019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-20067991.520000033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-315049317.13999999</v>
      </c>
      <c r="T54" s="443">
        <f t="shared" si="4"/>
        <v>-7.5133386707049503</v>
      </c>
    </row>
    <row r="55" spans="1:22">
      <c r="A55" s="144">
        <v>46</v>
      </c>
      <c r="B55" s="576" t="str">
        <f>+VLOOKUP($A55,Master!$D$29:$G$225,4,FALSE)</f>
        <v>Otplata dugova</v>
      </c>
      <c r="C55" s="577"/>
      <c r="D55" s="577"/>
      <c r="E55" s="577"/>
      <c r="F55" s="577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4">
        <f t="shared" si="4"/>
        <v>15.87918605432605</v>
      </c>
      <c r="V55" s="309"/>
    </row>
    <row r="56" spans="1:22">
      <c r="A56" s="144">
        <v>4611</v>
      </c>
      <c r="B56" s="503" t="str">
        <f>+VLOOKUP($A56,Master!$D$29:$G$225,4,FALSE)</f>
        <v>Otplata hartija od vrijednosti i kredita rezidentima</v>
      </c>
      <c r="C56" s="504"/>
      <c r="D56" s="504"/>
      <c r="E56" s="504"/>
      <c r="F56" s="504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5">
        <f t="shared" si="4"/>
        <v>5.8235766405132114</v>
      </c>
      <c r="V56" s="354"/>
    </row>
    <row r="57" spans="1:22" ht="13.5" thickBot="1">
      <c r="A57" s="144">
        <v>4612</v>
      </c>
      <c r="B57" s="487" t="str">
        <f>+VLOOKUP($A57,Master!$D$29:$G$225,4,FALSE)</f>
        <v>Otplata hartija od vrijednosti i kredita nerezidentima</v>
      </c>
      <c r="C57" s="488"/>
      <c r="D57" s="488"/>
      <c r="E57" s="488"/>
      <c r="F57" s="488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5">
        <f t="shared" si="4"/>
        <v>10.05560941381284</v>
      </c>
      <c r="V57" s="319"/>
    </row>
    <row r="58" spans="1:22" ht="13.5" thickBot="1">
      <c r="A58" s="144">
        <v>4418</v>
      </c>
      <c r="B58" s="576" t="str">
        <f>+VLOOKUP($A58,Master!$D$29:$G$225,4,FALSE)</f>
        <v>Izdaci za kupovinu hartija od vrijednosti</v>
      </c>
      <c r="C58" s="577"/>
      <c r="D58" s="577"/>
      <c r="E58" s="577"/>
      <c r="F58" s="577"/>
      <c r="G58" s="193">
        <f>+INDEX(DataEx!$1:$1048576,MATCH('2020'!$A58,DataEx!$D:$D,0),MATCH('2020'!G$6,DataEx!$7:$7,0))</f>
        <v>0</v>
      </c>
      <c r="H58" s="193">
        <f>+INDEX(DataEx!$1:$1048576,MATCH('2020'!$A58,DataEx!$D:$D,0),MATCH('2020'!H$6,DataEx!$7:$7,0))</f>
        <v>0</v>
      </c>
      <c r="I58" s="193">
        <f>+INDEX(DataEx!$1:$1048576,MATCH('2020'!$A58,DataEx!$D:$D,0),MATCH('2020'!I$6,DataEx!$7:$7,0))</f>
        <v>0</v>
      </c>
      <c r="J58" s="193">
        <f>+INDEX(DataEx!$1:$1048576,MATCH('2020'!$A58,DataEx!$D:$D,0),MATCH('2020'!J$6,DataEx!$7:$7,0))</f>
        <v>0</v>
      </c>
      <c r="K58" s="193">
        <f>+INDEX(DataEx!$1:$1048576,MATCH('2020'!$A58,DataEx!$D:$D,0),MATCH('2020'!K$6,DataEx!$7:$7,0))</f>
        <v>0</v>
      </c>
      <c r="L58" s="193">
        <f>+INDEX(DataEx!$1:$1048576,MATCH('2020'!$A58,DataEx!$D:$D,0),MATCH('2020'!L$6,DataEx!$7:$7,0))</f>
        <v>0</v>
      </c>
      <c r="M58" s="193">
        <f>+INDEX(DataEx!$1:$1048576,MATCH('2020'!$A58,DataEx!$D:$D,0),MATCH('2020'!M$6,DataEx!$7:$7,0))</f>
        <v>0</v>
      </c>
      <c r="N58" s="193">
        <f>+INDEX(DataEx!$1:$1048576,MATCH('2020'!$A58,DataEx!$D:$D,0),MATCH('2020'!N$6,DataEx!$7:$7,0))</f>
        <v>0</v>
      </c>
      <c r="O58" s="193">
        <f>+INDEX(DataEx!$1:$1048576,MATCH('2020'!$A58,DataEx!$D:$D,0),MATCH('2020'!O$6,DataEx!$7:$7,0))</f>
        <v>940769.61</v>
      </c>
      <c r="P58" s="193">
        <f>+INDEX(DataEx!$1:$1048576,MATCH('2020'!$A58,DataEx!$D:$D,0),MATCH('2020'!P$6,DataEx!$7:$7,0))</f>
        <v>0</v>
      </c>
      <c r="Q58" s="193">
        <f>+INDEX(DataEx!$1:$1048576,MATCH('2020'!$A58,DataEx!$D:$D,0),MATCH('2020'!Q$6,DataEx!$7:$7,0))</f>
        <v>0</v>
      </c>
      <c r="R58" s="193">
        <f>+INDEX(DataEx!$1:$1048576,MATCH('2020'!$A58,DataEx!$D:$D,0),MATCH('2020'!R$6,DataEx!$7:$7,0))</f>
        <v>0</v>
      </c>
      <c r="S58" s="249">
        <f>SUM(G58:R58)</f>
        <v>940769.61</v>
      </c>
      <c r="T58" s="446">
        <f t="shared" si="4"/>
        <v>2.2435600734522561E-2</v>
      </c>
      <c r="V58" s="319"/>
    </row>
    <row r="59" spans="1:22" ht="13.5" thickBot="1">
      <c r="A59" s="144">
        <v>1002</v>
      </c>
      <c r="B59" s="507" t="str">
        <f>+VLOOKUP($A59,Master!$D$29:$G$225,4,FALSE)</f>
        <v>Nedostajuća sredstva</v>
      </c>
      <c r="C59" s="508"/>
      <c r="D59" s="508"/>
      <c r="E59" s="508"/>
      <c r="F59" s="508"/>
      <c r="G59" s="217">
        <f>+G53-G55-G58</f>
        <v>-58801185.584000021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-32382261.980000034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-1092945024.73</v>
      </c>
      <c r="T59" s="447">
        <f t="shared" si="4"/>
        <v>-26.064700580225125</v>
      </c>
    </row>
    <row r="60" spans="1:22" ht="13.5" thickBot="1">
      <c r="A60" s="144">
        <v>1003</v>
      </c>
      <c r="B60" s="509" t="str">
        <f>+VLOOKUP($A60,Master!$D$29:$G$225,4,FALSE)</f>
        <v>Finansiranje</v>
      </c>
      <c r="C60" s="510"/>
      <c r="D60" s="510"/>
      <c r="E60" s="510"/>
      <c r="F60" s="510"/>
      <c r="G60" s="151">
        <f>+SUM(G61:G64)</f>
        <v>58801185.584000021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32382261.980000034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1092945024.73</v>
      </c>
      <c r="T60" s="448">
        <f t="shared" si="4"/>
        <v>26.064700580225125</v>
      </c>
    </row>
    <row r="61" spans="1:22">
      <c r="A61" s="144">
        <v>7511</v>
      </c>
      <c r="B61" s="503" t="str">
        <f>+VLOOKUP($A61,Master!$D$29:$G$225,4,FALSE)</f>
        <v>Pozajmice i krediti od domaćih izvora</v>
      </c>
      <c r="C61" s="504"/>
      <c r="D61" s="504"/>
      <c r="E61" s="504"/>
      <c r="F61" s="504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5">
        <f t="shared" si="4"/>
        <v>3.9953271756653628</v>
      </c>
    </row>
    <row r="62" spans="1:22">
      <c r="A62" s="144">
        <v>7512</v>
      </c>
      <c r="B62" s="487" t="str">
        <f>+VLOOKUP($A62,Master!$D$29:$G$225,4,FALSE)</f>
        <v>Pozajmice i krediti od inostranih izvora</v>
      </c>
      <c r="C62" s="488"/>
      <c r="D62" s="488"/>
      <c r="E62" s="488"/>
      <c r="F62" s="488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5">
        <f t="shared" si="4"/>
        <v>28.27780343937804</v>
      </c>
    </row>
    <row r="63" spans="1:22">
      <c r="A63" s="144">
        <v>72</v>
      </c>
      <c r="B63" s="487" t="str">
        <f>+VLOOKUP($A63,Master!$D$29:$G$225,4,FALSE)</f>
        <v>Primici od prodaje imovine</v>
      </c>
      <c r="C63" s="488"/>
      <c r="D63" s="488"/>
      <c r="E63" s="488"/>
      <c r="F63" s="488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5">
        <f t="shared" si="4"/>
        <v>0.20383599542115807</v>
      </c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43521838.23400002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28257134.440000035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-268879139.17999995</v>
      </c>
      <c r="T64" s="449">
        <f t="shared" si="4"/>
        <v>-6.4122660302394348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65" t="str">
        <f>+Master!G252</f>
        <v>Plan ostvarenja budžeta</v>
      </c>
      <c r="C100" s="566"/>
      <c r="D100" s="566"/>
      <c r="E100" s="566"/>
      <c r="F100" s="566"/>
      <c r="G100" s="573">
        <v>2020</v>
      </c>
      <c r="H100" s="574"/>
      <c r="I100" s="574"/>
      <c r="J100" s="574"/>
      <c r="K100" s="574"/>
      <c r="L100" s="574"/>
      <c r="M100" s="574"/>
      <c r="N100" s="574"/>
      <c r="O100" s="574"/>
      <c r="P100" s="574"/>
      <c r="Q100" s="574"/>
      <c r="R100" s="575"/>
      <c r="S100" s="107" t="str">
        <f>+S7</f>
        <v>BDP</v>
      </c>
      <c r="T100" s="108">
        <v>4607300000</v>
      </c>
    </row>
    <row r="101" spans="1:21" ht="15.75" customHeight="1">
      <c r="B101" s="567"/>
      <c r="C101" s="568"/>
      <c r="D101" s="568"/>
      <c r="E101" s="568"/>
      <c r="F101" s="569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73" t="str">
        <f>+Master!G246</f>
        <v>Jan - Dec</v>
      </c>
      <c r="T101" s="575">
        <f>+T8</f>
        <v>0</v>
      </c>
    </row>
    <row r="102" spans="1:21" ht="13.5" thickBot="1">
      <c r="B102" s="570"/>
      <c r="C102" s="571"/>
      <c r="D102" s="571"/>
      <c r="E102" s="571"/>
      <c r="F102" s="572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61" t="str">
        <f>+VLOOKUP(LEFT($A103,LEN(A103)-1)*1,Master!$D$29:$G$225,4,FALSE)</f>
        <v>Prihodi budžeta</v>
      </c>
      <c r="C103" s="562"/>
      <c r="D103" s="562"/>
      <c r="E103" s="562"/>
      <c r="F103" s="562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4">
        <f>+SUM(G103:R103)</f>
        <v>1704989389.157774</v>
      </c>
      <c r="T103" s="455">
        <f>+S103/$T$100*100</f>
        <v>37.006259396127319</v>
      </c>
    </row>
    <row r="104" spans="1:21">
      <c r="A104" s="116" t="str">
        <f t="shared" si="16"/>
        <v>711p</v>
      </c>
      <c r="B104" s="563" t="str">
        <f>+VLOOKUP(LEFT($A104,LEN(A104)-1)*1,Master!$D$29:$G$225,4,FALSE)</f>
        <v>Porezi</v>
      </c>
      <c r="C104" s="564"/>
      <c r="D104" s="564"/>
      <c r="E104" s="564"/>
      <c r="F104" s="564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6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51" t="str">
        <f>+VLOOKUP(LEFT($A105,LEN(A105)-1)*1,Master!$D$29:$G$228,4,FALSE)</f>
        <v>Porez na dohodak fizičkih lica</v>
      </c>
      <c r="C105" s="552"/>
      <c r="D105" s="552"/>
      <c r="E105" s="552"/>
      <c r="F105" s="552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7">
        <f t="shared" si="20"/>
        <v>2.4452362067202373</v>
      </c>
    </row>
    <row r="106" spans="1:21">
      <c r="A106" s="116" t="str">
        <f t="shared" si="16"/>
        <v>7112p</v>
      </c>
      <c r="B106" s="551" t="str">
        <f>+VLOOKUP(LEFT($A106,LEN(A106)-1)*1,Master!$D$29:$G$228,4,FALSE)</f>
        <v>Porez na dobit pravnih lica</v>
      </c>
      <c r="C106" s="552"/>
      <c r="D106" s="552"/>
      <c r="E106" s="552"/>
      <c r="F106" s="552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7">
        <f t="shared" si="20"/>
        <v>1.4671745812461314</v>
      </c>
    </row>
    <row r="107" spans="1:21">
      <c r="A107" s="116" t="str">
        <f t="shared" si="16"/>
        <v>7113p</v>
      </c>
      <c r="B107" s="551" t="str">
        <f>+VLOOKUP(LEFT($A107,LEN(A107)-1)*1,Master!$D$29:$G$228,4,FALSE)</f>
        <v>Porez na promet nepokretnosti</v>
      </c>
      <c r="C107" s="552"/>
      <c r="D107" s="552"/>
      <c r="E107" s="552"/>
      <c r="F107" s="552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7">
        <f t="shared" si="20"/>
        <v>4.1303611443361622E-2</v>
      </c>
    </row>
    <row r="108" spans="1:21">
      <c r="A108" s="116" t="str">
        <f t="shared" si="16"/>
        <v>7114p</v>
      </c>
      <c r="B108" s="551" t="str">
        <f>+VLOOKUP(LEFT($A108,LEN(A108)-1)*1,Master!$D$29:$G$228,4,FALSE)</f>
        <v>Porez na dodatu vrijednost</v>
      </c>
      <c r="C108" s="552"/>
      <c r="D108" s="552"/>
      <c r="E108" s="552"/>
      <c r="F108" s="552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7">
        <f t="shared" si="20"/>
        <v>13.365384391976216</v>
      </c>
    </row>
    <row r="109" spans="1:21">
      <c r="A109" s="116" t="str">
        <f t="shared" si="16"/>
        <v>7115p</v>
      </c>
      <c r="B109" s="551" t="str">
        <f>+VLOOKUP(LEFT($A109,LEN(A109)-1)*1,Master!$D$29:$G$228,4,FALSE)</f>
        <v>Akcize</v>
      </c>
      <c r="C109" s="552"/>
      <c r="D109" s="552"/>
      <c r="E109" s="552"/>
      <c r="F109" s="552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7">
        <f t="shared" si="20"/>
        <v>4.8051517235226715</v>
      </c>
    </row>
    <row r="110" spans="1:21">
      <c r="A110" s="116" t="str">
        <f t="shared" si="16"/>
        <v>7116p</v>
      </c>
      <c r="B110" s="551" t="str">
        <f>+VLOOKUP(LEFT($A110,LEN(A110)-1)*1,Master!$D$29:$G$228,4,FALSE)</f>
        <v>Porez na međunarodnu trgovinu i transakcije</v>
      </c>
      <c r="C110" s="552"/>
      <c r="D110" s="552"/>
      <c r="E110" s="552"/>
      <c r="F110" s="552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7">
        <f t="shared" si="20"/>
        <v>0.58139087437023862</v>
      </c>
    </row>
    <row r="111" spans="1:21">
      <c r="A111" s="116" t="str">
        <f t="shared" si="16"/>
        <v>7118p</v>
      </c>
      <c r="B111" s="551" t="str">
        <f>+VLOOKUP(LEFT($A111,LEN(A111)-1)*1,Master!$D$29:$G$228,4,FALSE)</f>
        <v>Ostali državni porezi</v>
      </c>
      <c r="C111" s="552"/>
      <c r="D111" s="552"/>
      <c r="E111" s="552"/>
      <c r="F111" s="552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7">
        <f t="shared" si="20"/>
        <v>0.20229513960237019</v>
      </c>
    </row>
    <row r="112" spans="1:21">
      <c r="A112" s="116" t="str">
        <f t="shared" si="16"/>
        <v>712p</v>
      </c>
      <c r="B112" s="559" t="str">
        <f>+VLOOKUP(LEFT($A112,LEN(A112)-1)*1,Master!$D$29:$G$228,4,FALSE)</f>
        <v>Doprinosi</v>
      </c>
      <c r="C112" s="560"/>
      <c r="D112" s="560"/>
      <c r="E112" s="560"/>
      <c r="F112" s="560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8">
        <f t="shared" si="20"/>
        <v>10.68956613019113</v>
      </c>
    </row>
    <row r="113" spans="1:20">
      <c r="A113" s="116" t="str">
        <f t="shared" si="16"/>
        <v>7121p</v>
      </c>
      <c r="B113" s="551" t="str">
        <f>+VLOOKUP(LEFT($A113,LEN(A113)-1)*1,Master!$D$29:$G$228,4,FALSE)</f>
        <v>Doprinosi za penzijsko i invalidsko osiguranje</v>
      </c>
      <c r="C113" s="552"/>
      <c r="D113" s="552"/>
      <c r="E113" s="552"/>
      <c r="F113" s="552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7">
        <f t="shared" si="20"/>
        <v>6.6171744431734636</v>
      </c>
    </row>
    <row r="114" spans="1:20">
      <c r="A114" s="116" t="str">
        <f t="shared" si="16"/>
        <v>7122p</v>
      </c>
      <c r="B114" s="551" t="str">
        <f>+VLOOKUP(LEFT($A114,LEN(A114)-1)*1,Master!$D$29:$G$228,4,FALSE)</f>
        <v>Doprinosi za zdravstveno osiguranje</v>
      </c>
      <c r="C114" s="552"/>
      <c r="D114" s="552"/>
      <c r="E114" s="552"/>
      <c r="F114" s="552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7">
        <f t="shared" si="20"/>
        <v>3.4819631387690197</v>
      </c>
    </row>
    <row r="115" spans="1:20">
      <c r="A115" s="116" t="str">
        <f t="shared" si="16"/>
        <v>7123p</v>
      </c>
      <c r="B115" s="551" t="str">
        <f>+VLOOKUP(LEFT($A115,LEN(A115)-1)*1,Master!$D$29:$G$228,4,FALSE)</f>
        <v>Doprinosi za osiguranje od nezaposlenosti</v>
      </c>
      <c r="C115" s="552"/>
      <c r="D115" s="552"/>
      <c r="E115" s="552"/>
      <c r="F115" s="552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7">
        <f t="shared" si="20"/>
        <v>0.31374529664462025</v>
      </c>
    </row>
    <row r="116" spans="1:20">
      <c r="A116" s="116" t="str">
        <f t="shared" si="16"/>
        <v>7124p</v>
      </c>
      <c r="B116" s="551" t="str">
        <f>+VLOOKUP(LEFT($A116,LEN(A116)-1)*1,Master!$D$29:$G$228,4,FALSE)</f>
        <v>Ostali doprinosi</v>
      </c>
      <c r="C116" s="552"/>
      <c r="D116" s="552"/>
      <c r="E116" s="552"/>
      <c r="F116" s="552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7">
        <f t="shared" si="20"/>
        <v>0.2766832516040264</v>
      </c>
    </row>
    <row r="117" spans="1:20">
      <c r="A117" s="116" t="str">
        <f t="shared" si="16"/>
        <v>713p</v>
      </c>
      <c r="B117" s="557" t="str">
        <f>+VLOOKUP(LEFT($A117,LEN(A117)-1)*1,Master!$D$29:$G$228,4,FALSE)</f>
        <v>Takse</v>
      </c>
      <c r="C117" s="558"/>
      <c r="D117" s="558"/>
      <c r="E117" s="558"/>
      <c r="F117" s="558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8">
        <f t="shared" si="20"/>
        <v>0.26451836008573354</v>
      </c>
    </row>
    <row r="118" spans="1:20">
      <c r="A118" s="116" t="str">
        <f t="shared" si="16"/>
        <v>714p</v>
      </c>
      <c r="B118" s="557" t="str">
        <f>+VLOOKUP(LEFT($A118,LEN(A118)-1)*1,Master!$D$29:$G$228,4,FALSE)</f>
        <v>Naknade</v>
      </c>
      <c r="C118" s="558"/>
      <c r="D118" s="558"/>
      <c r="E118" s="558"/>
      <c r="F118" s="558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8">
        <f t="shared" si="20"/>
        <v>0.53882429835369972</v>
      </c>
    </row>
    <row r="119" spans="1:20">
      <c r="A119" s="116" t="str">
        <f t="shared" si="16"/>
        <v>715p</v>
      </c>
      <c r="B119" s="557" t="str">
        <f>+VLOOKUP(LEFT($A119,LEN(A119)-1)*1,Master!$D$29:$G$228,4,FALSE)</f>
        <v>Ostali prihodi</v>
      </c>
      <c r="C119" s="558"/>
      <c r="D119" s="558"/>
      <c r="E119" s="558"/>
      <c r="F119" s="558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8">
        <f t="shared" si="20"/>
        <v>1.148755088100482</v>
      </c>
    </row>
    <row r="120" spans="1:20">
      <c r="A120" s="116" t="str">
        <f t="shared" si="16"/>
        <v>73p</v>
      </c>
      <c r="B120" s="557" t="str">
        <f>+VLOOKUP(LEFT($A120,LEN(A120)-1)*1,Master!$D$29:$G$228,4,FALSE)</f>
        <v>Primici od otplate kredita i sredstva prenesena iz prethodne godine</v>
      </c>
      <c r="C120" s="558"/>
      <c r="D120" s="558"/>
      <c r="E120" s="558"/>
      <c r="F120" s="558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8">
        <f t="shared" si="20"/>
        <v>0.37142952358214143</v>
      </c>
    </row>
    <row r="121" spans="1:20" ht="13.5" thickBot="1">
      <c r="A121" s="116" t="str">
        <f t="shared" si="16"/>
        <v>74p</v>
      </c>
      <c r="B121" s="553" t="str">
        <f>+VLOOKUP(LEFT($A121,LEN(A121)-1)*1,Master!$D$29:$G$228,4,FALSE)</f>
        <v>Donacije i transferi</v>
      </c>
      <c r="C121" s="554"/>
      <c r="D121" s="554"/>
      <c r="E121" s="554"/>
      <c r="F121" s="554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9">
        <f t="shared" si="20"/>
        <v>1.0852294669329108</v>
      </c>
    </row>
    <row r="122" spans="1:20" ht="13.5" thickBot="1">
      <c r="A122" s="116" t="str">
        <f t="shared" si="16"/>
        <v>4p</v>
      </c>
      <c r="B122" s="535" t="str">
        <f>+VLOOKUP(LEFT($A122,LEN(A122)-1)*1,Master!$D$29:$G$228,4,FALSE)</f>
        <v>Izdaci budžeta</v>
      </c>
      <c r="C122" s="536"/>
      <c r="D122" s="536"/>
      <c r="E122" s="536"/>
      <c r="F122" s="536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2">
        <f>+SUM(G122:R122)</f>
        <v>2040879206.795902</v>
      </c>
      <c r="T122" s="453">
        <f t="shared" si="20"/>
        <v>44.296642432572263</v>
      </c>
    </row>
    <row r="123" spans="1:20">
      <c r="A123" s="116" t="str">
        <f t="shared" si="16"/>
        <v>41p</v>
      </c>
      <c r="B123" s="555" t="str">
        <f>+VLOOKUP(LEFT($A123,LEN(A123)-1)*1,Master!$D$29:$G$228,4,FALSE)</f>
        <v>Tekući izdaci</v>
      </c>
      <c r="C123" s="556"/>
      <c r="D123" s="556"/>
      <c r="E123" s="556"/>
      <c r="F123" s="556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6">
        <f t="shared" si="20"/>
        <v>18.234006898745513</v>
      </c>
    </row>
    <row r="124" spans="1:20">
      <c r="A124" s="116" t="str">
        <f t="shared" si="16"/>
        <v>411p</v>
      </c>
      <c r="B124" s="551" t="str">
        <f>+VLOOKUP(LEFT($A124,LEN(A124)-1)*1,Master!$D$29:$G$228,4,FALSE)</f>
        <v>Bruto zarade i doprinosi na teret poslodavca</v>
      </c>
      <c r="C124" s="552"/>
      <c r="D124" s="552"/>
      <c r="E124" s="552"/>
      <c r="F124" s="552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7">
        <f t="shared" si="20"/>
        <v>10.81917370889675</v>
      </c>
    </row>
    <row r="125" spans="1:20">
      <c r="A125" s="116" t="str">
        <f t="shared" si="16"/>
        <v>412p</v>
      </c>
      <c r="B125" s="551" t="str">
        <f>+VLOOKUP(LEFT($A125,LEN(A125)-1)*1,Master!$D$29:$G$228,4,FALSE)</f>
        <v>Ostala lična primanja</v>
      </c>
      <c r="C125" s="552"/>
      <c r="D125" s="552"/>
      <c r="E125" s="552"/>
      <c r="F125" s="552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7">
        <f t="shared" si="20"/>
        <v>0.32417865148785635</v>
      </c>
    </row>
    <row r="126" spans="1:20">
      <c r="A126" s="116" t="str">
        <f t="shared" si="16"/>
        <v>413p</v>
      </c>
      <c r="B126" s="551" t="str">
        <f>+VLOOKUP(LEFT($A126,LEN(A126)-1)*1,Master!$D$29:$G$228,4,FALSE)</f>
        <v>Rashodi za materijal</v>
      </c>
      <c r="C126" s="552"/>
      <c r="D126" s="552"/>
      <c r="E126" s="552"/>
      <c r="F126" s="552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7">
        <f t="shared" si="20"/>
        <v>0.77555155266429454</v>
      </c>
    </row>
    <row r="127" spans="1:20">
      <c r="A127" s="116" t="str">
        <f t="shared" si="16"/>
        <v>414p</v>
      </c>
      <c r="B127" s="551" t="str">
        <f>+VLOOKUP(LEFT($A127,LEN(A127)-1)*1,Master!$D$29:$G$228,4,FALSE)</f>
        <v>Rashodi za usluge</v>
      </c>
      <c r="C127" s="552"/>
      <c r="D127" s="552"/>
      <c r="E127" s="552"/>
      <c r="F127" s="552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7">
        <f t="shared" si="20"/>
        <v>1.3413157254791312</v>
      </c>
    </row>
    <row r="128" spans="1:20">
      <c r="A128" s="116" t="str">
        <f t="shared" si="16"/>
        <v>415p</v>
      </c>
      <c r="B128" s="551" t="str">
        <f>+VLOOKUP(LEFT($A128,LEN(A128)-1)*1,Master!$D$29:$G$228,4,FALSE)</f>
        <v>Rashodi za tekuće održavanje</v>
      </c>
      <c r="C128" s="552"/>
      <c r="D128" s="552"/>
      <c r="E128" s="552"/>
      <c r="F128" s="552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7">
        <f t="shared" si="20"/>
        <v>0.56486301651726611</v>
      </c>
    </row>
    <row r="129" spans="1:20">
      <c r="A129" s="116" t="str">
        <f t="shared" si="16"/>
        <v>416p</v>
      </c>
      <c r="B129" s="551" t="str">
        <f>+VLOOKUP(LEFT($A129,LEN(A129)-1)*1,Master!$D$29:$G$228,4,FALSE)</f>
        <v>Kamate</v>
      </c>
      <c r="C129" s="552"/>
      <c r="D129" s="552"/>
      <c r="E129" s="552"/>
      <c r="F129" s="552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7">
        <f t="shared" si="20"/>
        <v>2.2430494311201787</v>
      </c>
    </row>
    <row r="130" spans="1:20">
      <c r="A130" s="116" t="str">
        <f t="shared" si="16"/>
        <v>417p</v>
      </c>
      <c r="B130" s="551" t="str">
        <f>+VLOOKUP(LEFT($A130,LEN(A130)-1)*1,Master!$D$29:$G$228,4,FALSE)</f>
        <v>Renta</v>
      </c>
      <c r="C130" s="552"/>
      <c r="D130" s="552"/>
      <c r="E130" s="552"/>
      <c r="F130" s="552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7">
        <f t="shared" si="20"/>
        <v>0.24149152996331913</v>
      </c>
    </row>
    <row r="131" spans="1:20">
      <c r="A131" s="116" t="str">
        <f t="shared" si="16"/>
        <v>418p</v>
      </c>
      <c r="B131" s="551" t="str">
        <f>+VLOOKUP(LEFT($A131,LEN(A131)-1)*1,Master!$D$29:$G$228,4,FALSE)</f>
        <v>Subvencije</v>
      </c>
      <c r="C131" s="552"/>
      <c r="D131" s="552"/>
      <c r="E131" s="552"/>
      <c r="F131" s="552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7">
        <f t="shared" si="20"/>
        <v>0.84831977448831197</v>
      </c>
    </row>
    <row r="132" spans="1:20">
      <c r="A132" s="116" t="str">
        <f t="shared" si="16"/>
        <v>419p</v>
      </c>
      <c r="B132" s="551" t="str">
        <f>+VLOOKUP(LEFT($A132,LEN(A132)-1)*1,Master!$D$29:$G$228,4,FALSE)</f>
        <v>Ostali izdaci</v>
      </c>
      <c r="C132" s="552"/>
      <c r="D132" s="552"/>
      <c r="E132" s="552"/>
      <c r="F132" s="552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7">
        <f t="shared" si="20"/>
        <v>1.0760635081284049</v>
      </c>
    </row>
    <row r="133" spans="1:20">
      <c r="A133" s="116" t="str">
        <f t="shared" si="16"/>
        <v>42p</v>
      </c>
      <c r="B133" s="547" t="str">
        <f>+VLOOKUP(LEFT($A133,LEN(A133)-1)*1,Master!$D$29:$G$228,4,FALSE)</f>
        <v>Transferi za socijalnu zaštitu</v>
      </c>
      <c r="C133" s="548"/>
      <c r="D133" s="548"/>
      <c r="E133" s="548"/>
      <c r="F133" s="548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8">
        <f t="shared" si="20"/>
        <v>12.538545292470646</v>
      </c>
    </row>
    <row r="134" spans="1:20">
      <c r="A134" s="116" t="str">
        <f t="shared" si="16"/>
        <v>421p</v>
      </c>
      <c r="B134" s="551" t="str">
        <f>+VLOOKUP(LEFT($A134,LEN(A134)-1)*1,Master!$D$29:$G$228,4,FALSE)</f>
        <v>Prava iz oblasti socijalne zaštite</v>
      </c>
      <c r="C134" s="552"/>
      <c r="D134" s="552"/>
      <c r="E134" s="552"/>
      <c r="F134" s="552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7">
        <f t="shared" si="20"/>
        <v>1.8346971111062882</v>
      </c>
    </row>
    <row r="135" spans="1:20">
      <c r="A135" s="116" t="str">
        <f t="shared" si="16"/>
        <v>422p</v>
      </c>
      <c r="B135" s="551" t="str">
        <f>+VLOOKUP(LEFT($A135,LEN(A135)-1)*1,Master!$D$29:$G$228,4,FALSE)</f>
        <v>Sredstva za tehnološke viškove</v>
      </c>
      <c r="C135" s="552"/>
      <c r="D135" s="552"/>
      <c r="E135" s="552"/>
      <c r="F135" s="552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7">
        <f t="shared" si="20"/>
        <v>0.44186401406463649</v>
      </c>
    </row>
    <row r="136" spans="1:20">
      <c r="A136" s="116" t="str">
        <f t="shared" si="16"/>
        <v>423p</v>
      </c>
      <c r="B136" s="551" t="str">
        <f>+VLOOKUP(LEFT($A136,LEN(A136)-1)*1,Master!$D$29:$G$228,4,FALSE)</f>
        <v>Prava iz oblasti penzijskog i invalidskog osiguranja</v>
      </c>
      <c r="C136" s="552"/>
      <c r="D136" s="552"/>
      <c r="E136" s="552"/>
      <c r="F136" s="552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7">
        <f t="shared" si="20"/>
        <v>9.5972781138627852</v>
      </c>
    </row>
    <row r="137" spans="1:20">
      <c r="A137" s="116" t="str">
        <f t="shared" si="16"/>
        <v>424p</v>
      </c>
      <c r="B137" s="551" t="str">
        <f>+VLOOKUP(LEFT($A137,LEN(A137)-1)*1,Master!$D$29:$G$228,4,FALSE)</f>
        <v>Ostala prava iz oblasti zdravstvene zaštite</v>
      </c>
      <c r="C137" s="552"/>
      <c r="D137" s="552"/>
      <c r="E137" s="552"/>
      <c r="F137" s="552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7">
        <f t="shared" si="20"/>
        <v>0.43409374253901412</v>
      </c>
    </row>
    <row r="138" spans="1:20">
      <c r="A138" s="116" t="str">
        <f t="shared" si="16"/>
        <v>425p</v>
      </c>
      <c r="B138" s="551" t="str">
        <f>+VLOOKUP(LEFT($A138,LEN(A138)-1)*1,Master!$D$29:$G$228,4,FALSE)</f>
        <v>Ostala prava iz zdravstvenog osiguranja</v>
      </c>
      <c r="C138" s="552"/>
      <c r="D138" s="552"/>
      <c r="E138" s="552"/>
      <c r="F138" s="552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7">
        <f t="shared" si="20"/>
        <v>0.23061231089792286</v>
      </c>
    </row>
    <row r="139" spans="1:20">
      <c r="A139" s="116" t="str">
        <f t="shared" si="16"/>
        <v>43p</v>
      </c>
      <c r="B139" s="549" t="str">
        <f>+VLOOKUP(LEFT($A139,LEN(A139)-1)*1,Master!$D$29:$G$228,4,FALSE)</f>
        <v xml:space="preserve">Transferi institucijama, pojedincima, nevladinom i javnom sektoru </v>
      </c>
      <c r="C139" s="550"/>
      <c r="D139" s="550"/>
      <c r="E139" s="550"/>
      <c r="F139" s="550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8">
        <f t="shared" si="20"/>
        <v>6.0063028847698297</v>
      </c>
    </row>
    <row r="140" spans="1:20">
      <c r="A140" s="116" t="str">
        <f t="shared" si="16"/>
        <v>44p</v>
      </c>
      <c r="B140" s="549" t="str">
        <f>+VLOOKUP(LEFT($A140,LEN(A140)-1)*1,Master!$D$29:$G$228,4,FALSE)</f>
        <v>Kapitalni izdaci</v>
      </c>
      <c r="C140" s="550"/>
      <c r="D140" s="550"/>
      <c r="E140" s="550"/>
      <c r="F140" s="550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8">
        <f t="shared" si="20"/>
        <v>4.229181139713063</v>
      </c>
    </row>
    <row r="141" spans="1:20">
      <c r="A141" s="116" t="str">
        <f t="shared" si="16"/>
        <v>451p</v>
      </c>
      <c r="B141" s="541" t="str">
        <f>+VLOOKUP(LEFT($A141,LEN(A141)-1)*1,Master!$D$29:$G$228,4,FALSE)</f>
        <v>Pozajmice i krediti</v>
      </c>
      <c r="C141" s="542"/>
      <c r="D141" s="542"/>
      <c r="E141" s="542"/>
      <c r="F141" s="542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7">
        <f t="shared" si="20"/>
        <v>3.4293447355283994E-2</v>
      </c>
    </row>
    <row r="142" spans="1:20">
      <c r="A142" s="116" t="str">
        <f t="shared" si="16"/>
        <v>47p</v>
      </c>
      <c r="B142" s="541" t="str">
        <f>+VLOOKUP(LEFT($A142,LEN(A142)-1)*1,Master!$D$29:$G$228,4,FALSE)</f>
        <v>Rezerve</v>
      </c>
      <c r="C142" s="542"/>
      <c r="D142" s="542"/>
      <c r="E142" s="542"/>
      <c r="F142" s="542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7">
        <f t="shared" si="20"/>
        <v>2.9004080480975842</v>
      </c>
    </row>
    <row r="143" spans="1:20">
      <c r="A143" s="116" t="str">
        <f t="shared" si="16"/>
        <v>462p</v>
      </c>
      <c r="B143" s="541" t="str">
        <f>+VLOOKUP(LEFT($A143,LEN(A143)-1)*1,Master!$D$29:$G$228,4,FALSE)</f>
        <v>Otplata garancija</v>
      </c>
      <c r="C143" s="542"/>
      <c r="D143" s="542"/>
      <c r="E143" s="542"/>
      <c r="F143" s="542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7">
        <f t="shared" si="20"/>
        <v>0</v>
      </c>
    </row>
    <row r="144" spans="1:20">
      <c r="A144" s="117" t="str">
        <f t="shared" si="16"/>
        <v>4630p</v>
      </c>
      <c r="B144" s="541" t="str">
        <f>+VLOOKUP(LEFT($A144,LEN(A144)-1)*1,Master!$D$29:$G$228,4,FALSE)</f>
        <v>Otplata obaveza iz prethodnog perioda</v>
      </c>
      <c r="C144" s="542"/>
      <c r="D144" s="542"/>
      <c r="E144" s="542"/>
      <c r="F144" s="542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5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41" t="str">
        <f>+VLOOKUP(LEFT($A145,LEN(A145)-1)*1,Master!$D$29:$G$228,4,FALSE)</f>
        <v>Neto povećanje obaveza</v>
      </c>
      <c r="C145" s="542"/>
      <c r="D145" s="542"/>
      <c r="E145" s="542"/>
      <c r="F145" s="542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2">
        <f t="shared" si="20"/>
        <v>0</v>
      </c>
    </row>
    <row r="146" spans="1:23" ht="13.5" thickBot="1">
      <c r="A146" s="117" t="str">
        <f t="shared" si="25"/>
        <v>1000p</v>
      </c>
      <c r="B146" s="543" t="str">
        <f>+VLOOKUP(LEFT($A146,LEN(A146)-1)*1,Master!$D$29:$G$225,4,FALSE)</f>
        <v>Suficit / deficit</v>
      </c>
      <c r="C146" s="544"/>
      <c r="D146" s="544"/>
      <c r="E146" s="544"/>
      <c r="F146" s="544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3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45" t="str">
        <f>+VLOOKUP(LEFT($A147,LEN(A147)-1)*1,Master!$D$29:$G$225,4,FALSE)</f>
        <v>Primarni suficit/deficit</v>
      </c>
      <c r="C147" s="546"/>
      <c r="D147" s="546"/>
      <c r="E147" s="546"/>
      <c r="F147" s="546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3">
        <f t="shared" si="20"/>
        <v>-5.0473336053247726</v>
      </c>
    </row>
    <row r="148" spans="1:23">
      <c r="A148" s="117" t="str">
        <f t="shared" si="25"/>
        <v>46p</v>
      </c>
      <c r="B148" s="547" t="str">
        <f>+VLOOKUP(LEFT($A148,LEN(A148)-1)*1,Master!$D$29:$G$225,4,FALSE)</f>
        <v>Otplata dugova</v>
      </c>
      <c r="C148" s="548"/>
      <c r="D148" s="548"/>
      <c r="E148" s="548"/>
      <c r="F148" s="548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4">
        <f t="shared" si="20"/>
        <v>11.711631541249758</v>
      </c>
    </row>
    <row r="149" spans="1:23">
      <c r="A149" s="117" t="str">
        <f t="shared" si="25"/>
        <v>4611p</v>
      </c>
      <c r="B149" s="539" t="str">
        <f>+VLOOKUP(LEFT($A149,LEN(A149)-1)*1,Master!$D$29:$G$225,4,FALSE)</f>
        <v>Otplata hartija od vrijednosti i kredita rezidentima</v>
      </c>
      <c r="C149" s="540"/>
      <c r="D149" s="540"/>
      <c r="E149" s="540"/>
      <c r="F149" s="540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5">
        <f t="shared" si="20"/>
        <v>2.598267966053871</v>
      </c>
    </row>
    <row r="150" spans="1:23" ht="13.5" thickBot="1">
      <c r="A150" s="117" t="str">
        <f t="shared" si="25"/>
        <v>4612p</v>
      </c>
      <c r="B150" s="541" t="str">
        <f>+VLOOKUP(LEFT($A150,LEN(A150)-1)*1,Master!$D$29:$G$225,4,FALSE)</f>
        <v>Otplata hartija od vrijednosti i kredita nerezidentima</v>
      </c>
      <c r="C150" s="542"/>
      <c r="D150" s="542"/>
      <c r="E150" s="542"/>
      <c r="F150" s="542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5">
        <f t="shared" si="20"/>
        <v>9.1133635751958835</v>
      </c>
    </row>
    <row r="151" spans="1:23" ht="13.5" thickBot="1">
      <c r="A151" s="117" t="str">
        <f t="shared" si="25"/>
        <v>4418p</v>
      </c>
      <c r="B151" s="535" t="str">
        <f>+VLOOKUP(LEFT($A151,LEN(A151)-1)*1,Master!$D$29:$G$225,4,FALSE)</f>
        <v>Izdaci za kupovinu hartija od vrijednosti</v>
      </c>
      <c r="C151" s="536"/>
      <c r="D151" s="536"/>
      <c r="E151" s="536"/>
      <c r="F151" s="536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50">
        <f t="shared" si="19"/>
        <v>2010000</v>
      </c>
      <c r="T151" s="451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37" t="str">
        <f>+VLOOKUP(LEFT($A152,LEN(A152)-1)*1,Master!$D$29:$G$225,4,FALSE)</f>
        <v>Nedostajuća sredstva</v>
      </c>
      <c r="C152" s="538"/>
      <c r="D152" s="538"/>
      <c r="E152" s="538"/>
      <c r="F152" s="538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7">
        <f t="shared" si="20"/>
        <v>-19.045640996638557</v>
      </c>
    </row>
    <row r="153" spans="1:23" ht="13.5" thickBot="1">
      <c r="A153" s="117" t="str">
        <f t="shared" si="29"/>
        <v>1003p</v>
      </c>
      <c r="B153" s="535" t="str">
        <f>+VLOOKUP(LEFT($A153,LEN(A153)-1)*1,Master!$D$29:$G$225,4,FALSE)</f>
        <v>Finansiranje</v>
      </c>
      <c r="C153" s="536"/>
      <c r="D153" s="536"/>
      <c r="E153" s="536"/>
      <c r="F153" s="536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8">
        <f t="shared" si="20"/>
        <v>19.045640996638557</v>
      </c>
    </row>
    <row r="154" spans="1:23">
      <c r="A154" s="117" t="str">
        <f t="shared" si="29"/>
        <v>7511p</v>
      </c>
      <c r="B154" s="539" t="str">
        <f>+VLOOKUP(LEFT($A154,LEN(A154)-1)*1,Master!$D$29:$G$225,4,FALSE)</f>
        <v>Pozajmice i krediti od domaćih izvora</v>
      </c>
      <c r="C154" s="540"/>
      <c r="D154" s="540"/>
      <c r="E154" s="540"/>
      <c r="F154" s="540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5">
        <f t="shared" si="20"/>
        <v>0</v>
      </c>
    </row>
    <row r="155" spans="1:23">
      <c r="A155" s="117" t="str">
        <f t="shared" si="29"/>
        <v>7512p</v>
      </c>
      <c r="B155" s="541" t="str">
        <f>+VLOOKUP(LEFT($A155,LEN(A155)-1)*1,Master!$D$29:$G$225,4,FALSE)</f>
        <v>Pozajmice i krediti od inostranih izvora</v>
      </c>
      <c r="C155" s="542"/>
      <c r="D155" s="542"/>
      <c r="E155" s="542"/>
      <c r="F155" s="542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5">
        <f t="shared" si="20"/>
        <v>7.1948775823150264</v>
      </c>
    </row>
    <row r="156" spans="1:23">
      <c r="A156" s="117" t="str">
        <f t="shared" si="29"/>
        <v>72p</v>
      </c>
      <c r="B156" s="541" t="str">
        <f>+VLOOKUP(LEFT($A156,LEN(A156)-1)*1,Master!$D$29:$G$225,4,FALSE)</f>
        <v>Primici od prodaje imovine</v>
      </c>
      <c r="C156" s="542"/>
      <c r="D156" s="542"/>
      <c r="E156" s="542"/>
      <c r="F156" s="542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5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9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zoomScaleNormal="100" workbookViewId="0">
      <pane ySplit="1" topLeftCell="A29" activePane="bottomLeft" state="frozen"/>
      <selection pane="bottomLeft" activeCell="R53" sqref="R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590" t="s">
        <v>554</v>
      </c>
      <c r="C7" s="490"/>
      <c r="D7" s="490"/>
      <c r="E7" s="490"/>
      <c r="F7" s="490"/>
      <c r="G7" s="498">
        <v>2019</v>
      </c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502"/>
      <c r="S7" s="235" t="s">
        <v>419</v>
      </c>
      <c r="T7" s="236">
        <v>4951000000</v>
      </c>
    </row>
    <row r="8" spans="1:20" ht="16.5" customHeight="1">
      <c r="A8" s="144"/>
      <c r="B8" s="491"/>
      <c r="C8" s="492"/>
      <c r="D8" s="492"/>
      <c r="E8" s="492"/>
      <c r="F8" s="493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498" t="s">
        <v>809</v>
      </c>
      <c r="T8" s="502"/>
    </row>
    <row r="9" spans="1:20" ht="13.5" thickBot="1">
      <c r="A9" s="144"/>
      <c r="B9" s="494"/>
      <c r="C9" s="495"/>
      <c r="D9" s="495"/>
      <c r="E9" s="495"/>
      <c r="F9" s="49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09" t="s">
        <v>681</v>
      </c>
      <c r="C10" s="510"/>
      <c r="D10" s="510"/>
      <c r="E10" s="510"/>
      <c r="F10" s="510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4">
        <f>+SUM(G10:R10)</f>
        <v>1885212618.1600001</v>
      </c>
      <c r="T10" s="369">
        <f>+S10/$T$7</f>
        <v>0.38077410990910932</v>
      </c>
    </row>
    <row r="11" spans="1:20">
      <c r="A11" s="150">
        <v>711</v>
      </c>
      <c r="B11" s="533" t="s">
        <v>21</v>
      </c>
      <c r="C11" s="534"/>
      <c r="D11" s="534"/>
      <c r="E11" s="534"/>
      <c r="F11" s="534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5">
        <f t="shared" ref="S11:S63" si="3">+SUM(G11:R11)</f>
        <v>1172748653.1199999</v>
      </c>
      <c r="T11" s="370">
        <f t="shared" ref="T11:T64" si="4">+S11/$T$7</f>
        <v>0.23687106708139768</v>
      </c>
    </row>
    <row r="12" spans="1:20">
      <c r="A12" s="150">
        <v>7111</v>
      </c>
      <c r="B12" s="519" t="s">
        <v>23</v>
      </c>
      <c r="C12" s="520"/>
      <c r="D12" s="520"/>
      <c r="E12" s="520"/>
      <c r="F12" s="520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6">
        <f t="shared" si="3"/>
        <v>125000927.16</v>
      </c>
      <c r="T12" s="371">
        <f t="shared" si="4"/>
        <v>2.5247612029892952E-2</v>
      </c>
    </row>
    <row r="13" spans="1:20">
      <c r="A13" s="150">
        <v>7112</v>
      </c>
      <c r="B13" s="519" t="s">
        <v>25</v>
      </c>
      <c r="C13" s="520"/>
      <c r="D13" s="520"/>
      <c r="E13" s="520"/>
      <c r="F13" s="520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6">
        <f t="shared" si="3"/>
        <v>72815973.079999998</v>
      </c>
      <c r="T13" s="371">
        <f t="shared" si="4"/>
        <v>1.4707326414865683E-2</v>
      </c>
    </row>
    <row r="14" spans="1:20">
      <c r="A14" s="150">
        <v>7113</v>
      </c>
      <c r="B14" s="519" t="s">
        <v>27</v>
      </c>
      <c r="C14" s="520"/>
      <c r="D14" s="520"/>
      <c r="E14" s="520"/>
      <c r="F14" s="520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6">
        <f t="shared" si="3"/>
        <v>2037253.77</v>
      </c>
      <c r="T14" s="371">
        <f t="shared" si="4"/>
        <v>4.1148329024439506E-4</v>
      </c>
    </row>
    <row r="15" spans="1:20">
      <c r="A15" s="150">
        <v>7114</v>
      </c>
      <c r="B15" s="519" t="s">
        <v>29</v>
      </c>
      <c r="C15" s="520"/>
      <c r="D15" s="520"/>
      <c r="E15" s="520"/>
      <c r="F15" s="520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6">
        <f t="shared" si="3"/>
        <v>695728953.52999997</v>
      </c>
      <c r="T15" s="371">
        <f t="shared" si="4"/>
        <v>0.14052291527570188</v>
      </c>
    </row>
    <row r="16" spans="1:20">
      <c r="A16" s="150">
        <v>7115</v>
      </c>
      <c r="B16" s="519" t="s">
        <v>31</v>
      </c>
      <c r="C16" s="520"/>
      <c r="D16" s="520"/>
      <c r="E16" s="520"/>
      <c r="F16" s="520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6">
        <f t="shared" si="3"/>
        <v>235518297.74000001</v>
      </c>
      <c r="T16" s="371">
        <f t="shared" si="4"/>
        <v>4.7569844019390024E-2</v>
      </c>
    </row>
    <row r="17" spans="1:25">
      <c r="A17" s="150">
        <v>7116</v>
      </c>
      <c r="B17" s="519" t="s">
        <v>33</v>
      </c>
      <c r="C17" s="520"/>
      <c r="D17" s="520"/>
      <c r="E17" s="520"/>
      <c r="F17" s="520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6">
        <f t="shared" si="3"/>
        <v>28526540.740000002</v>
      </c>
      <c r="T17" s="371">
        <f t="shared" si="4"/>
        <v>5.7617735285800855E-3</v>
      </c>
    </row>
    <row r="18" spans="1:25">
      <c r="A18" s="150">
        <v>7118</v>
      </c>
      <c r="B18" s="519" t="s">
        <v>722</v>
      </c>
      <c r="C18" s="520"/>
      <c r="D18" s="520"/>
      <c r="E18" s="520"/>
      <c r="F18" s="520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6">
        <f t="shared" si="3"/>
        <v>13120707.100000001</v>
      </c>
      <c r="T18" s="371">
        <f t="shared" si="4"/>
        <v>2.6501125227226825E-3</v>
      </c>
    </row>
    <row r="19" spans="1:25">
      <c r="A19" s="150">
        <v>712</v>
      </c>
      <c r="B19" s="529" t="s">
        <v>37</v>
      </c>
      <c r="C19" s="530"/>
      <c r="D19" s="530"/>
      <c r="E19" s="530"/>
      <c r="F19" s="530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7">
        <f t="shared" si="3"/>
        <v>546265768.94000006</v>
      </c>
      <c r="T19" s="372">
        <f t="shared" si="4"/>
        <v>0.11033443121389619</v>
      </c>
    </row>
    <row r="20" spans="1:25">
      <c r="A20" s="150">
        <v>7121</v>
      </c>
      <c r="B20" s="519" t="s">
        <v>39</v>
      </c>
      <c r="C20" s="520"/>
      <c r="D20" s="520"/>
      <c r="E20" s="520"/>
      <c r="F20" s="520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6">
        <f>+SUM(G20:R20)</f>
        <v>329181424.36000001</v>
      </c>
      <c r="T20" s="371">
        <f t="shared" si="4"/>
        <v>6.6487865958392248E-2</v>
      </c>
    </row>
    <row r="21" spans="1:25">
      <c r="A21" s="150">
        <v>7122</v>
      </c>
      <c r="B21" s="519" t="s">
        <v>41</v>
      </c>
      <c r="C21" s="520"/>
      <c r="D21" s="520"/>
      <c r="E21" s="520"/>
      <c r="F21" s="520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6">
        <f t="shared" si="3"/>
        <v>187748508.43000001</v>
      </c>
      <c r="T21" s="371">
        <f t="shared" si="4"/>
        <v>3.7921330727125835E-2</v>
      </c>
    </row>
    <row r="22" spans="1:25">
      <c r="A22" s="150">
        <v>7123</v>
      </c>
      <c r="B22" s="519" t="s">
        <v>43</v>
      </c>
      <c r="C22" s="520"/>
      <c r="D22" s="520"/>
      <c r="E22" s="520"/>
      <c r="F22" s="520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6">
        <f t="shared" si="3"/>
        <v>15122153.449999999</v>
      </c>
      <c r="T22" s="371">
        <f t="shared" si="4"/>
        <v>3.0543634518279132E-3</v>
      </c>
    </row>
    <row r="23" spans="1:25">
      <c r="A23" s="150">
        <v>7124</v>
      </c>
      <c r="B23" s="519" t="s">
        <v>45</v>
      </c>
      <c r="C23" s="520"/>
      <c r="D23" s="520"/>
      <c r="E23" s="520"/>
      <c r="F23" s="520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6">
        <f t="shared" si="3"/>
        <v>14213682.699999999</v>
      </c>
      <c r="T23" s="371">
        <f t="shared" si="4"/>
        <v>2.8708710765501916E-3</v>
      </c>
      <c r="Y23" s="305"/>
    </row>
    <row r="24" spans="1:25">
      <c r="A24" s="150">
        <v>713</v>
      </c>
      <c r="B24" s="521" t="s">
        <v>47</v>
      </c>
      <c r="C24" s="522"/>
      <c r="D24" s="522"/>
      <c r="E24" s="522"/>
      <c r="F24" s="522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7">
        <f t="shared" si="3"/>
        <v>15661588.439999998</v>
      </c>
      <c r="T24" s="372">
        <f t="shared" si="4"/>
        <v>3.1633182064229443E-3</v>
      </c>
      <c r="Y24" s="305"/>
    </row>
    <row r="25" spans="1:25">
      <c r="A25" s="150">
        <v>714</v>
      </c>
      <c r="B25" s="521" t="s">
        <v>61</v>
      </c>
      <c r="C25" s="522"/>
      <c r="D25" s="522"/>
      <c r="E25" s="522"/>
      <c r="F25" s="522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7">
        <f t="shared" si="3"/>
        <v>28237754.950000003</v>
      </c>
      <c r="T25" s="372">
        <f t="shared" si="4"/>
        <v>5.7034447485356504E-3</v>
      </c>
      <c r="W25" s="292"/>
    </row>
    <row r="26" spans="1:25">
      <c r="A26" s="150">
        <v>715</v>
      </c>
      <c r="B26" s="521" t="s">
        <v>81</v>
      </c>
      <c r="C26" s="522"/>
      <c r="D26" s="522"/>
      <c r="E26" s="522"/>
      <c r="F26" s="522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7">
        <f t="shared" si="3"/>
        <v>75820963.530000001</v>
      </c>
      <c r="T26" s="372">
        <f t="shared" si="4"/>
        <v>1.5314272577257121E-2</v>
      </c>
      <c r="W26" s="311"/>
    </row>
    <row r="27" spans="1:25">
      <c r="A27" s="150">
        <v>73</v>
      </c>
      <c r="B27" s="521" t="s">
        <v>99</v>
      </c>
      <c r="C27" s="522"/>
      <c r="D27" s="522"/>
      <c r="E27" s="522"/>
      <c r="F27" s="522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7">
        <f t="shared" si="3"/>
        <v>8269563.3099999996</v>
      </c>
      <c r="T27" s="372">
        <f t="shared" si="4"/>
        <v>1.6702814199151686E-3</v>
      </c>
    </row>
    <row r="28" spans="1:25" ht="13.5" thickBot="1">
      <c r="A28" s="150">
        <v>74</v>
      </c>
      <c r="B28" s="523" t="s">
        <v>105</v>
      </c>
      <c r="C28" s="524"/>
      <c r="D28" s="524"/>
      <c r="E28" s="524"/>
      <c r="F28" s="524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7">
        <f t="shared" si="3"/>
        <v>38208325.869999997</v>
      </c>
      <c r="T28" s="373">
        <f t="shared" si="4"/>
        <v>7.7172946616845079E-3</v>
      </c>
    </row>
    <row r="29" spans="1:25" ht="13.5" thickBot="1">
      <c r="A29" s="150">
        <v>4</v>
      </c>
      <c r="B29" s="509" t="s">
        <v>802</v>
      </c>
      <c r="C29" s="510"/>
      <c r="D29" s="510"/>
      <c r="E29" s="510"/>
      <c r="F29" s="510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8">
        <f t="shared" si="3"/>
        <v>2028496341.4899998</v>
      </c>
      <c r="T29" s="374">
        <f t="shared" si="4"/>
        <v>0.40971447010502926</v>
      </c>
    </row>
    <row r="30" spans="1:25" ht="13.5" thickBot="1">
      <c r="A30" s="150">
        <v>40</v>
      </c>
      <c r="B30" s="525" t="s">
        <v>120</v>
      </c>
      <c r="C30" s="526"/>
      <c r="D30" s="526"/>
      <c r="E30" s="526"/>
      <c r="F30" s="526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9">
        <f t="shared" si="3"/>
        <v>822772770.01999998</v>
      </c>
      <c r="T30" s="375">
        <f t="shared" si="4"/>
        <v>0.16618314886285598</v>
      </c>
      <c r="U30" s="242"/>
    </row>
    <row r="31" spans="1:25">
      <c r="A31" s="150">
        <v>411</v>
      </c>
      <c r="B31" s="519" t="s">
        <v>122</v>
      </c>
      <c r="C31" s="520"/>
      <c r="D31" s="520"/>
      <c r="E31" s="520"/>
      <c r="F31" s="520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6">
        <f>+SUM(G31:R31)</f>
        <v>472853876.71000004</v>
      </c>
      <c r="T31" s="371">
        <f t="shared" si="4"/>
        <v>9.5506741407796414E-2</v>
      </c>
      <c r="U31" s="458"/>
      <c r="W31" s="257"/>
    </row>
    <row r="32" spans="1:25">
      <c r="A32" s="150">
        <v>412</v>
      </c>
      <c r="B32" s="519" t="s">
        <v>133</v>
      </c>
      <c r="C32" s="520"/>
      <c r="D32" s="520"/>
      <c r="E32" s="520"/>
      <c r="F32" s="520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6">
        <f t="shared" si="3"/>
        <v>15228326.93</v>
      </c>
      <c r="T32" s="371">
        <f t="shared" si="4"/>
        <v>3.0758083074126437E-3</v>
      </c>
    </row>
    <row r="33" spans="1:23">
      <c r="A33" s="150">
        <v>413</v>
      </c>
      <c r="B33" s="519" t="s">
        <v>148</v>
      </c>
      <c r="C33" s="520"/>
      <c r="D33" s="520"/>
      <c r="E33" s="520"/>
      <c r="F33" s="520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6">
        <f t="shared" si="3"/>
        <v>33231725.990000002</v>
      </c>
      <c r="T33" s="371">
        <f t="shared" si="4"/>
        <v>6.7121240133306403E-3</v>
      </c>
      <c r="U33" s="293"/>
    </row>
    <row r="34" spans="1:23">
      <c r="A34" s="361">
        <v>414</v>
      </c>
      <c r="B34" s="519" t="s">
        <v>162</v>
      </c>
      <c r="C34" s="520"/>
      <c r="D34" s="520"/>
      <c r="E34" s="520"/>
      <c r="F34" s="520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6">
        <f t="shared" si="3"/>
        <v>77664645.890000001</v>
      </c>
      <c r="T34" s="371">
        <f t="shared" si="4"/>
        <v>1.5686658430620077E-2</v>
      </c>
      <c r="U34" s="311"/>
      <c r="V34" s="291"/>
    </row>
    <row r="35" spans="1:23" s="362" customFormat="1">
      <c r="A35" s="150">
        <v>415</v>
      </c>
      <c r="B35" s="588" t="s">
        <v>182</v>
      </c>
      <c r="C35" s="589"/>
      <c r="D35" s="589"/>
      <c r="E35" s="589"/>
      <c r="F35" s="589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6">
        <f t="shared" si="3"/>
        <v>22511706.030000001</v>
      </c>
      <c r="T35" s="371">
        <f t="shared" si="4"/>
        <v>4.5469008341749145E-3</v>
      </c>
      <c r="U35" s="311"/>
    </row>
    <row r="36" spans="1:23">
      <c r="A36" s="150">
        <v>416</v>
      </c>
      <c r="B36" s="519" t="s">
        <v>190</v>
      </c>
      <c r="C36" s="520"/>
      <c r="D36" s="520"/>
      <c r="E36" s="520"/>
      <c r="F36" s="520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6">
        <f t="shared" si="3"/>
        <v>105803340.84999999</v>
      </c>
      <c r="T36" s="371">
        <f t="shared" si="4"/>
        <v>2.1370095101999595E-2</v>
      </c>
      <c r="U36" s="311"/>
    </row>
    <row r="37" spans="1:23">
      <c r="A37" s="150">
        <v>417</v>
      </c>
      <c r="B37" s="519" t="s">
        <v>196</v>
      </c>
      <c r="C37" s="520"/>
      <c r="D37" s="520"/>
      <c r="E37" s="520"/>
      <c r="F37" s="520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6">
        <f>+SUM(G37:R37)</f>
        <v>10953661.65</v>
      </c>
      <c r="T37" s="371">
        <f t="shared" si="4"/>
        <v>2.2124139870733188E-3</v>
      </c>
      <c r="U37" s="311"/>
    </row>
    <row r="38" spans="1:23">
      <c r="A38" s="150">
        <v>418</v>
      </c>
      <c r="B38" s="519" t="s">
        <v>204</v>
      </c>
      <c r="C38" s="520"/>
      <c r="D38" s="520"/>
      <c r="E38" s="520"/>
      <c r="F38" s="520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6">
        <f t="shared" si="3"/>
        <v>34566147.960000001</v>
      </c>
      <c r="T38" s="371">
        <f t="shared" si="4"/>
        <v>6.9816497596445161E-3</v>
      </c>
      <c r="U38" s="311"/>
    </row>
    <row r="39" spans="1:23">
      <c r="A39" s="361">
        <v>419</v>
      </c>
      <c r="B39" s="519" t="s">
        <v>212</v>
      </c>
      <c r="C39" s="520"/>
      <c r="D39" s="520"/>
      <c r="E39" s="520"/>
      <c r="F39" s="520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6">
        <f t="shared" si="3"/>
        <v>49959338.009999998</v>
      </c>
      <c r="T39" s="371">
        <f t="shared" si="4"/>
        <v>1.0090757020803878E-2</v>
      </c>
      <c r="U39" s="311"/>
    </row>
    <row r="40" spans="1:23" s="362" customFormat="1">
      <c r="A40" s="150">
        <v>42</v>
      </c>
      <c r="B40" s="515" t="s">
        <v>230</v>
      </c>
      <c r="C40" s="516"/>
      <c r="D40" s="516"/>
      <c r="E40" s="516"/>
      <c r="F40" s="516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7">
        <f t="shared" si="3"/>
        <v>554348899.89999998</v>
      </c>
      <c r="T40" s="372">
        <f t="shared" si="4"/>
        <v>0.11196705713997172</v>
      </c>
      <c r="U40" s="311"/>
    </row>
    <row r="41" spans="1:23">
      <c r="A41" s="150">
        <v>421</v>
      </c>
      <c r="B41" s="519" t="s">
        <v>232</v>
      </c>
      <c r="C41" s="520"/>
      <c r="D41" s="520"/>
      <c r="E41" s="520"/>
      <c r="F41" s="520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6">
        <f t="shared" si="3"/>
        <v>79857118.899999991</v>
      </c>
      <c r="T41" s="371">
        <f t="shared" si="4"/>
        <v>1.6129492809533425E-2</v>
      </c>
      <c r="W41" s="309"/>
    </row>
    <row r="42" spans="1:23">
      <c r="A42" s="150">
        <v>422</v>
      </c>
      <c r="B42" s="519" t="s">
        <v>248</v>
      </c>
      <c r="C42" s="520"/>
      <c r="D42" s="520"/>
      <c r="E42" s="520"/>
      <c r="F42" s="520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6">
        <f t="shared" si="3"/>
        <v>20398152.109999999</v>
      </c>
      <c r="T42" s="371">
        <f t="shared" si="4"/>
        <v>4.1200064855584726E-3</v>
      </c>
    </row>
    <row r="43" spans="1:23">
      <c r="A43" s="150">
        <v>423</v>
      </c>
      <c r="B43" s="519" t="s">
        <v>259</v>
      </c>
      <c r="C43" s="520"/>
      <c r="D43" s="520"/>
      <c r="E43" s="520"/>
      <c r="F43" s="520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6">
        <f t="shared" si="3"/>
        <v>420870901.67999995</v>
      </c>
      <c r="T43" s="371">
        <f t="shared" si="4"/>
        <v>8.5007251399717224E-2</v>
      </c>
      <c r="V43" s="291"/>
    </row>
    <row r="44" spans="1:23">
      <c r="A44" s="150">
        <v>424</v>
      </c>
      <c r="B44" s="519" t="s">
        <v>274</v>
      </c>
      <c r="C44" s="520"/>
      <c r="D44" s="520"/>
      <c r="E44" s="520"/>
      <c r="F44" s="520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6">
        <f t="shared" si="3"/>
        <v>21699290.620000005</v>
      </c>
      <c r="T44" s="371">
        <f t="shared" si="4"/>
        <v>4.3828096586548178E-3</v>
      </c>
    </row>
    <row r="45" spans="1:23">
      <c r="A45" s="361">
        <v>425</v>
      </c>
      <c r="B45" s="519" t="s">
        <v>278</v>
      </c>
      <c r="C45" s="520"/>
      <c r="D45" s="520"/>
      <c r="E45" s="520"/>
      <c r="F45" s="520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6">
        <f t="shared" si="3"/>
        <v>11523436.590000002</v>
      </c>
      <c r="T45" s="371">
        <f t="shared" si="4"/>
        <v>2.3274967865077765E-3</v>
      </c>
      <c r="U45" s="354"/>
    </row>
    <row r="46" spans="1:23" s="362" customFormat="1">
      <c r="A46" s="150">
        <v>43</v>
      </c>
      <c r="B46" s="517" t="s">
        <v>286</v>
      </c>
      <c r="C46" s="518"/>
      <c r="D46" s="518"/>
      <c r="E46" s="518"/>
      <c r="F46" s="518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7">
        <f t="shared" si="3"/>
        <v>219689949.60999998</v>
      </c>
      <c r="T46" s="372">
        <f t="shared" si="4"/>
        <v>4.4372843791153298E-2</v>
      </c>
    </row>
    <row r="47" spans="1:23">
      <c r="A47" s="150">
        <v>44</v>
      </c>
      <c r="B47" s="517" t="s">
        <v>320</v>
      </c>
      <c r="C47" s="518"/>
      <c r="D47" s="518"/>
      <c r="E47" s="518"/>
      <c r="F47" s="518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7">
        <f t="shared" si="3"/>
        <v>344885621.69999993</v>
      </c>
      <c r="T47" s="372">
        <f t="shared" si="4"/>
        <v>6.965979028479094E-2</v>
      </c>
      <c r="U47" s="291"/>
    </row>
    <row r="48" spans="1:23">
      <c r="A48" s="150">
        <v>451</v>
      </c>
      <c r="B48" s="586" t="s">
        <v>113</v>
      </c>
      <c r="C48" s="587"/>
      <c r="D48" s="587"/>
      <c r="E48" s="587"/>
      <c r="F48" s="587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6">
        <f t="shared" si="3"/>
        <v>3176935.98</v>
      </c>
      <c r="T48" s="371">
        <f t="shared" si="4"/>
        <v>6.416756170470612E-4</v>
      </c>
    </row>
    <row r="49" spans="1:22" s="362" customFormat="1">
      <c r="A49" s="361">
        <v>47</v>
      </c>
      <c r="B49" s="578" t="s">
        <v>366</v>
      </c>
      <c r="C49" s="579"/>
      <c r="D49" s="579"/>
      <c r="E49" s="579"/>
      <c r="F49" s="579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6">
        <f t="shared" si="3"/>
        <v>24296455.589999996</v>
      </c>
      <c r="T49" s="371">
        <f t="shared" si="4"/>
        <v>4.9073834760654409E-3</v>
      </c>
    </row>
    <row r="50" spans="1:22" ht="13.5" thickBot="1">
      <c r="A50" s="150">
        <v>462</v>
      </c>
      <c r="B50" s="505" t="s">
        <v>359</v>
      </c>
      <c r="C50" s="506"/>
      <c r="D50" s="506"/>
      <c r="E50" s="506"/>
      <c r="F50" s="506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6">
        <f t="shared" si="3"/>
        <v>38684699.409999996</v>
      </c>
      <c r="T50" s="376">
        <f t="shared" si="4"/>
        <v>7.8135123025651378E-3</v>
      </c>
      <c r="U50" s="292"/>
      <c r="V50" s="293"/>
    </row>
    <row r="51" spans="1:22" ht="13.5" thickBot="1">
      <c r="A51" s="144">
        <v>4630</v>
      </c>
      <c r="B51" s="580" t="s">
        <v>795</v>
      </c>
      <c r="C51" s="581"/>
      <c r="D51" s="581"/>
      <c r="E51" s="581"/>
      <c r="F51" s="581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1">
        <f>+SUM(G51:R51)</f>
        <v>20641009.280000001</v>
      </c>
      <c r="T51" s="376">
        <f>+S51/$T$7</f>
        <v>4.1690586305796811E-3</v>
      </c>
    </row>
    <row r="52" spans="1:22" ht="13.5" thickBot="1">
      <c r="A52" s="70">
        <v>1005</v>
      </c>
      <c r="B52" s="582" t="s">
        <v>685</v>
      </c>
      <c r="C52" s="583"/>
      <c r="D52" s="583"/>
      <c r="E52" s="583"/>
      <c r="F52" s="583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2">
        <f>+SUM(G52:R52)</f>
        <v>0</v>
      </c>
      <c r="T52" s="377">
        <f>+S52/$T$7</f>
        <v>0</v>
      </c>
    </row>
    <row r="53" spans="1:22" ht="13.5" thickBot="1">
      <c r="A53" s="144">
        <v>1000</v>
      </c>
      <c r="B53" s="511" t="s">
        <v>545</v>
      </c>
      <c r="C53" s="512"/>
      <c r="D53" s="512"/>
      <c r="E53" s="512"/>
      <c r="F53" s="512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3">
        <f t="shared" si="3"/>
        <v>-143283723.32999992</v>
      </c>
      <c r="T53" s="378">
        <f t="shared" si="4"/>
        <v>-2.8940360195920001E-2</v>
      </c>
    </row>
    <row r="54" spans="1:22" ht="13.5" thickBot="1">
      <c r="A54" s="144">
        <v>1001</v>
      </c>
      <c r="B54" s="513" t="s">
        <v>793</v>
      </c>
      <c r="C54" s="514"/>
      <c r="D54" s="514"/>
      <c r="E54" s="514"/>
      <c r="F54" s="514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3">
        <f t="shared" si="3"/>
        <v>-37480382.479999945</v>
      </c>
      <c r="T54" s="378">
        <f t="shared" si="4"/>
        <v>-7.5702650939204093E-3</v>
      </c>
    </row>
    <row r="55" spans="1:22">
      <c r="A55" s="144">
        <v>46</v>
      </c>
      <c r="B55" s="576" t="s">
        <v>352</v>
      </c>
      <c r="C55" s="577"/>
      <c r="D55" s="577"/>
      <c r="E55" s="577"/>
      <c r="F55" s="577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4">
        <f t="shared" si="3"/>
        <v>507341253.08999997</v>
      </c>
      <c r="T55" s="379">
        <f t="shared" si="4"/>
        <v>0.10247248093112502</v>
      </c>
      <c r="V55" s="309"/>
    </row>
    <row r="56" spans="1:22">
      <c r="A56" s="144">
        <v>4611</v>
      </c>
      <c r="B56" s="503" t="s">
        <v>355</v>
      </c>
      <c r="C56" s="504"/>
      <c r="D56" s="504"/>
      <c r="E56" s="504"/>
      <c r="F56" s="504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5">
        <f t="shared" si="3"/>
        <v>178415558.27999997</v>
      </c>
      <c r="T56" s="380">
        <f t="shared" si="4"/>
        <v>3.6036267073318515E-2</v>
      </c>
      <c r="V56" s="354"/>
    </row>
    <row r="57" spans="1:22" ht="13.5" thickBot="1">
      <c r="A57" s="144">
        <v>4612</v>
      </c>
      <c r="B57" s="487" t="s">
        <v>357</v>
      </c>
      <c r="C57" s="488"/>
      <c r="D57" s="488"/>
      <c r="E57" s="488"/>
      <c r="F57" s="488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5">
        <f t="shared" si="3"/>
        <v>328925694.81</v>
      </c>
      <c r="T57" s="380">
        <f t="shared" si="4"/>
        <v>6.64362138578065E-2</v>
      </c>
      <c r="V57" s="319"/>
    </row>
    <row r="58" spans="1:22" ht="13.5" thickBot="1">
      <c r="A58" s="144">
        <v>4418</v>
      </c>
      <c r="B58" s="595" t="s">
        <v>336</v>
      </c>
      <c r="C58" s="596"/>
      <c r="D58" s="596"/>
      <c r="E58" s="596"/>
      <c r="F58" s="596"/>
      <c r="G58" s="193">
        <f>DataEx!FF167</f>
        <v>0</v>
      </c>
      <c r="H58" s="193">
        <f>DataEx!FG167</f>
        <v>35272.089999999997</v>
      </c>
      <c r="I58" s="193">
        <f>DataEx!FH167</f>
        <v>0</v>
      </c>
      <c r="J58" s="193">
        <f>DataEx!FI167</f>
        <v>39948396.369999997</v>
      </c>
      <c r="K58" s="193">
        <f>DataEx!FJ167</f>
        <v>0</v>
      </c>
      <c r="L58" s="193">
        <f>DataEx!FK167</f>
        <v>0</v>
      </c>
      <c r="M58" s="193">
        <f>DataEx!FL167</f>
        <v>0</v>
      </c>
      <c r="N58" s="193">
        <f>DataEx!FM167</f>
        <v>0</v>
      </c>
      <c r="O58" s="193">
        <f>DataEx!FN167</f>
        <v>0</v>
      </c>
      <c r="P58" s="193">
        <f>DataEx!FO167</f>
        <v>0</v>
      </c>
      <c r="Q58" s="193">
        <f>DataEx!FP167</f>
        <v>14495201.140000001</v>
      </c>
      <c r="R58" s="193">
        <f>DataEx!FQ167</f>
        <v>2849828.78</v>
      </c>
      <c r="S58" s="394">
        <f>SUM(G58:R58)</f>
        <v>57328698.380000003</v>
      </c>
      <c r="T58" s="379">
        <f>+S58/$T$7</f>
        <v>1.1579215992728742E-2</v>
      </c>
      <c r="V58" s="319"/>
    </row>
    <row r="59" spans="1:22" ht="13.5" thickBot="1">
      <c r="A59" s="144">
        <v>1002</v>
      </c>
      <c r="B59" s="507" t="s">
        <v>543</v>
      </c>
      <c r="C59" s="508"/>
      <c r="D59" s="508"/>
      <c r="E59" s="508"/>
      <c r="F59" s="508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6">
        <f t="shared" si="3"/>
        <v>-707953674.79999995</v>
      </c>
      <c r="T59" s="381">
        <f t="shared" si="4"/>
        <v>-0.14299205711977378</v>
      </c>
    </row>
    <row r="60" spans="1:22" ht="13.5" thickBot="1">
      <c r="A60" s="144">
        <v>1003</v>
      </c>
      <c r="B60" s="509" t="s">
        <v>544</v>
      </c>
      <c r="C60" s="510"/>
      <c r="D60" s="510"/>
      <c r="E60" s="510"/>
      <c r="F60" s="510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7">
        <f t="shared" si="3"/>
        <v>707953674.79999995</v>
      </c>
      <c r="T60" s="382">
        <f t="shared" si="4"/>
        <v>0.14299205711977378</v>
      </c>
    </row>
    <row r="61" spans="1:22">
      <c r="A61" s="144">
        <v>7511</v>
      </c>
      <c r="B61" s="503" t="s">
        <v>114</v>
      </c>
      <c r="C61" s="504"/>
      <c r="D61" s="504"/>
      <c r="E61" s="504"/>
      <c r="F61" s="504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5">
        <f t="shared" si="3"/>
        <v>363438000</v>
      </c>
      <c r="T61" s="380">
        <f t="shared" si="4"/>
        <v>7.3406988487174307E-2</v>
      </c>
    </row>
    <row r="62" spans="1:22">
      <c r="A62" s="144">
        <v>7512</v>
      </c>
      <c r="B62" s="487" t="s">
        <v>116</v>
      </c>
      <c r="C62" s="488"/>
      <c r="D62" s="488"/>
      <c r="E62" s="488"/>
      <c r="F62" s="488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5">
        <f t="shared" si="3"/>
        <v>651580293.42999995</v>
      </c>
      <c r="T62" s="380">
        <f t="shared" si="4"/>
        <v>0.13160579548172086</v>
      </c>
    </row>
    <row r="63" spans="1:22">
      <c r="A63" s="144">
        <v>72</v>
      </c>
      <c r="B63" s="487" t="s">
        <v>93</v>
      </c>
      <c r="C63" s="488"/>
      <c r="D63" s="488"/>
      <c r="E63" s="488"/>
      <c r="F63" s="488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5">
        <f t="shared" si="3"/>
        <v>4278082.92</v>
      </c>
      <c r="T63" s="380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8">
        <f>+SUM(G64:R64)</f>
        <v>-311342701.55000001</v>
      </c>
      <c r="T64" s="383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65" t="s">
        <v>552</v>
      </c>
      <c r="C100" s="566"/>
      <c r="D100" s="566"/>
      <c r="E100" s="566"/>
      <c r="F100" s="566"/>
      <c r="G100" s="573">
        <v>2019</v>
      </c>
      <c r="H100" s="574"/>
      <c r="I100" s="574"/>
      <c r="J100" s="574"/>
      <c r="K100" s="574"/>
      <c r="L100" s="574"/>
      <c r="M100" s="574"/>
      <c r="N100" s="574"/>
      <c r="O100" s="574"/>
      <c r="P100" s="574"/>
      <c r="Q100" s="574"/>
      <c r="R100" s="575"/>
      <c r="S100" s="107" t="str">
        <f>+S7</f>
        <v>BDP</v>
      </c>
      <c r="T100" s="108">
        <f>+T7</f>
        <v>4951000000</v>
      </c>
    </row>
    <row r="101" spans="1:21" ht="15.75" customHeight="1">
      <c r="B101" s="567"/>
      <c r="C101" s="568"/>
      <c r="D101" s="568"/>
      <c r="E101" s="568"/>
      <c r="F101" s="569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73" t="s">
        <v>809</v>
      </c>
      <c r="T101" s="575">
        <f>+T8</f>
        <v>0</v>
      </c>
    </row>
    <row r="102" spans="1:21" ht="13.5" thickBot="1">
      <c r="B102" s="570"/>
      <c r="C102" s="571"/>
      <c r="D102" s="571"/>
      <c r="E102" s="571"/>
      <c r="F102" s="572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61" t="s">
        <v>681</v>
      </c>
      <c r="C103" s="562"/>
      <c r="D103" s="562"/>
      <c r="E103" s="562"/>
      <c r="F103" s="562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9">
        <f>+SUM(G103:R103)</f>
        <v>1834032913.7635608</v>
      </c>
      <c r="T103" s="412">
        <f>+S103/$T$7</f>
        <v>0.37043686402010922</v>
      </c>
    </row>
    <row r="104" spans="1:21">
      <c r="A104" s="116" t="str">
        <f t="shared" si="16"/>
        <v>711p</v>
      </c>
      <c r="B104" s="563" t="s">
        <v>21</v>
      </c>
      <c r="C104" s="564"/>
      <c r="D104" s="564"/>
      <c r="E104" s="564"/>
      <c r="F104" s="564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400">
        <f t="shared" ref="S104:S159" si="19">+SUM(G104:R104)</f>
        <v>1122669950.9867301</v>
      </c>
      <c r="T104" s="413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51" t="s">
        <v>23</v>
      </c>
      <c r="C105" s="552"/>
      <c r="D105" s="552"/>
      <c r="E105" s="552"/>
      <c r="F105" s="552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1">
        <f t="shared" si="19"/>
        <v>120237518.04497004</v>
      </c>
      <c r="T105" s="414">
        <f t="shared" si="20"/>
        <v>2.4285501523928506E-2</v>
      </c>
    </row>
    <row r="106" spans="1:21">
      <c r="A106" s="116" t="str">
        <f t="shared" si="16"/>
        <v>7112p</v>
      </c>
      <c r="B106" s="551" t="s">
        <v>25</v>
      </c>
      <c r="C106" s="552"/>
      <c r="D106" s="552"/>
      <c r="E106" s="552"/>
      <c r="F106" s="552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1">
        <f t="shared" si="19"/>
        <v>71194860.131909981</v>
      </c>
      <c r="T106" s="414">
        <f t="shared" si="20"/>
        <v>1.4379894997356086E-2</v>
      </c>
    </row>
    <row r="107" spans="1:21">
      <c r="A107" s="116" t="str">
        <f t="shared" si="16"/>
        <v>7113p</v>
      </c>
      <c r="B107" s="551" t="s">
        <v>27</v>
      </c>
      <c r="C107" s="552"/>
      <c r="D107" s="552"/>
      <c r="E107" s="552"/>
      <c r="F107" s="552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1">
        <f t="shared" si="19"/>
        <v>1862816.4104000002</v>
      </c>
      <c r="T107" s="414">
        <f t="shared" si="20"/>
        <v>3.7625053734599074E-4</v>
      </c>
    </row>
    <row r="108" spans="1:21">
      <c r="A108" s="116" t="str">
        <f t="shared" si="16"/>
        <v>7114p</v>
      </c>
      <c r="B108" s="551" t="s">
        <v>29</v>
      </c>
      <c r="C108" s="552"/>
      <c r="D108" s="552"/>
      <c r="E108" s="552"/>
      <c r="F108" s="552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1">
        <f t="shared" si="19"/>
        <v>657905657.67184997</v>
      </c>
      <c r="T108" s="414">
        <f t="shared" si="20"/>
        <v>0.1328833887440618</v>
      </c>
    </row>
    <row r="109" spans="1:21">
      <c r="A109" s="116" t="str">
        <f t="shared" si="16"/>
        <v>7115p</v>
      </c>
      <c r="B109" s="551" t="s">
        <v>31</v>
      </c>
      <c r="C109" s="552"/>
      <c r="D109" s="552"/>
      <c r="E109" s="552"/>
      <c r="F109" s="552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1">
        <f t="shared" si="19"/>
        <v>234801605.29820004</v>
      </c>
      <c r="T109" s="414">
        <f t="shared" si="20"/>
        <v>4.7425086911371449E-2</v>
      </c>
    </row>
    <row r="110" spans="1:21">
      <c r="A110" s="116" t="str">
        <f t="shared" si="16"/>
        <v>7116p</v>
      </c>
      <c r="B110" s="551" t="s">
        <v>33</v>
      </c>
      <c r="C110" s="552"/>
      <c r="D110" s="552"/>
      <c r="E110" s="552"/>
      <c r="F110" s="552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1">
        <f t="shared" si="19"/>
        <v>27167589.829800002</v>
      </c>
      <c r="T110" s="414">
        <f t="shared" si="20"/>
        <v>5.4872934416885484E-3</v>
      </c>
    </row>
    <row r="111" spans="1:21">
      <c r="A111" s="116" t="str">
        <f t="shared" si="16"/>
        <v>7118p</v>
      </c>
      <c r="B111" s="551" t="s">
        <v>722</v>
      </c>
      <c r="C111" s="552"/>
      <c r="D111" s="552"/>
      <c r="E111" s="552"/>
      <c r="F111" s="552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1">
        <f t="shared" si="19"/>
        <v>9499903.5996000003</v>
      </c>
      <c r="T111" s="414">
        <f t="shared" si="20"/>
        <v>1.918784811068471E-3</v>
      </c>
    </row>
    <row r="112" spans="1:21">
      <c r="A112" s="116" t="str">
        <f t="shared" si="16"/>
        <v>712p</v>
      </c>
      <c r="B112" s="559" t="s">
        <v>37</v>
      </c>
      <c r="C112" s="560"/>
      <c r="D112" s="560"/>
      <c r="E112" s="560"/>
      <c r="F112" s="560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2">
        <f t="shared" si="19"/>
        <v>534213514.07533062</v>
      </c>
      <c r="T112" s="415">
        <f t="shared" si="20"/>
        <v>0.10790012403056566</v>
      </c>
    </row>
    <row r="113" spans="1:20">
      <c r="A113" s="116" t="str">
        <f t="shared" si="16"/>
        <v>7121p</v>
      </c>
      <c r="B113" s="551" t="s">
        <v>39</v>
      </c>
      <c r="C113" s="552"/>
      <c r="D113" s="552"/>
      <c r="E113" s="552"/>
      <c r="F113" s="552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1">
        <f t="shared" si="19"/>
        <v>327876749.17454183</v>
      </c>
      <c r="T113" s="414">
        <f t="shared" si="20"/>
        <v>6.6224348449715573E-2</v>
      </c>
    </row>
    <row r="114" spans="1:20">
      <c r="A114" s="116" t="str">
        <f t="shared" si="16"/>
        <v>7122p</v>
      </c>
      <c r="B114" s="551" t="s">
        <v>41</v>
      </c>
      <c r="C114" s="552"/>
      <c r="D114" s="552"/>
      <c r="E114" s="552"/>
      <c r="F114" s="552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1">
        <f t="shared" si="19"/>
        <v>178851341.72447601</v>
      </c>
      <c r="T114" s="414">
        <f t="shared" si="20"/>
        <v>3.6124286351136341E-2</v>
      </c>
    </row>
    <row r="115" spans="1:20">
      <c r="A115" s="116" t="str">
        <f t="shared" si="16"/>
        <v>7123p</v>
      </c>
      <c r="B115" s="551" t="s">
        <v>43</v>
      </c>
      <c r="C115" s="552"/>
      <c r="D115" s="552"/>
      <c r="E115" s="552"/>
      <c r="F115" s="552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1">
        <f t="shared" si="19"/>
        <v>14950709.439620741</v>
      </c>
      <c r="T115" s="414">
        <f t="shared" si="20"/>
        <v>3.0197352938034216E-3</v>
      </c>
    </row>
    <row r="116" spans="1:20">
      <c r="A116" s="116" t="str">
        <f t="shared" si="16"/>
        <v>7124p</v>
      </c>
      <c r="B116" s="551" t="s">
        <v>45</v>
      </c>
      <c r="C116" s="552"/>
      <c r="D116" s="552"/>
      <c r="E116" s="552"/>
      <c r="F116" s="552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1">
        <f t="shared" si="19"/>
        <v>12534713.736692008</v>
      </c>
      <c r="T116" s="414">
        <f t="shared" si="20"/>
        <v>2.5317539359103226E-3</v>
      </c>
    </row>
    <row r="117" spans="1:20">
      <c r="A117" s="116" t="str">
        <f t="shared" si="16"/>
        <v>713p</v>
      </c>
      <c r="B117" s="557" t="s">
        <v>47</v>
      </c>
      <c r="C117" s="558"/>
      <c r="D117" s="558"/>
      <c r="E117" s="558"/>
      <c r="F117" s="558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2">
        <f t="shared" si="19"/>
        <v>15318488.925500004</v>
      </c>
      <c r="T117" s="415">
        <f t="shared" si="20"/>
        <v>3.0940191729953554E-3</v>
      </c>
    </row>
    <row r="118" spans="1:20">
      <c r="A118" s="116" t="str">
        <f t="shared" si="16"/>
        <v>714p</v>
      </c>
      <c r="B118" s="557" t="s">
        <v>61</v>
      </c>
      <c r="C118" s="558"/>
      <c r="D118" s="558"/>
      <c r="E118" s="558"/>
      <c r="F118" s="558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2">
        <f t="shared" si="19"/>
        <v>31390844.861600004</v>
      </c>
      <c r="T118" s="415">
        <f t="shared" si="20"/>
        <v>6.3403039510401948E-3</v>
      </c>
    </row>
    <row r="119" spans="1:20">
      <c r="A119" s="116" t="str">
        <f t="shared" si="16"/>
        <v>715p</v>
      </c>
      <c r="B119" s="557" t="s">
        <v>81</v>
      </c>
      <c r="C119" s="558"/>
      <c r="D119" s="558"/>
      <c r="E119" s="558"/>
      <c r="F119" s="558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2">
        <f t="shared" si="19"/>
        <v>77448450.912399963</v>
      </c>
      <c r="T119" s="415">
        <f t="shared" si="20"/>
        <v>1.5642991499171876E-2</v>
      </c>
    </row>
    <row r="120" spans="1:20">
      <c r="A120" s="116" t="str">
        <f t="shared" si="16"/>
        <v>73p</v>
      </c>
      <c r="B120" s="557" t="s">
        <v>99</v>
      </c>
      <c r="C120" s="558"/>
      <c r="D120" s="558"/>
      <c r="E120" s="558"/>
      <c r="F120" s="558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2">
        <f t="shared" si="19"/>
        <v>8511664.0019999985</v>
      </c>
      <c r="T120" s="415">
        <f t="shared" si="20"/>
        <v>1.7191807719652591E-3</v>
      </c>
    </row>
    <row r="121" spans="1:20" ht="13.5" thickBot="1">
      <c r="A121" s="116" t="str">
        <f t="shared" si="16"/>
        <v>74p</v>
      </c>
      <c r="B121" s="553" t="s">
        <v>105</v>
      </c>
      <c r="C121" s="554"/>
      <c r="D121" s="554"/>
      <c r="E121" s="554"/>
      <c r="F121" s="554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3">
        <f t="shared" si="19"/>
        <v>44480000</v>
      </c>
      <c r="T121" s="416">
        <f t="shared" si="20"/>
        <v>8.98404362754999E-3</v>
      </c>
    </row>
    <row r="122" spans="1:20" ht="13.5" thickBot="1">
      <c r="A122" s="116" t="str">
        <f t="shared" si="16"/>
        <v>4p</v>
      </c>
      <c r="B122" s="535" t="s">
        <v>811</v>
      </c>
      <c r="C122" s="536"/>
      <c r="D122" s="536"/>
      <c r="E122" s="536"/>
      <c r="F122" s="536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4">
        <f>+SUM(G122:R122)</f>
        <v>1976630978.4000001</v>
      </c>
      <c r="T122" s="417">
        <f t="shared" si="20"/>
        <v>0.39923873528580089</v>
      </c>
    </row>
    <row r="123" spans="1:20" ht="13.5" thickBot="1">
      <c r="A123" s="116" t="str">
        <f t="shared" si="16"/>
        <v>40p</v>
      </c>
      <c r="B123" s="593" t="s">
        <v>774</v>
      </c>
      <c r="C123" s="594"/>
      <c r="D123" s="594"/>
      <c r="E123" s="594"/>
      <c r="F123" s="594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5">
        <f t="shared" si="19"/>
        <v>1680705978.4000001</v>
      </c>
      <c r="T123" s="418">
        <f t="shared" si="20"/>
        <v>0.33946798190264593</v>
      </c>
    </row>
    <row r="124" spans="1:20">
      <c r="A124" s="116" t="e">
        <f>+CONCATENATE(#REF!,"p")</f>
        <v>#REF!</v>
      </c>
      <c r="B124" s="555" t="e">
        <v>#REF!</v>
      </c>
      <c r="C124" s="556"/>
      <c r="D124" s="556"/>
      <c r="E124" s="556"/>
      <c r="F124" s="556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400">
        <f t="shared" si="19"/>
        <v>846670934.61000013</v>
      </c>
      <c r="T124" s="413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51" t="s">
        <v>122</v>
      </c>
      <c r="C125" s="552"/>
      <c r="D125" s="552"/>
      <c r="E125" s="552"/>
      <c r="F125" s="552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1">
        <f t="shared" si="19"/>
        <v>472054247.1500001</v>
      </c>
      <c r="T125" s="414">
        <f t="shared" si="20"/>
        <v>9.5345232710563541E-2</v>
      </c>
    </row>
    <row r="126" spans="1:20">
      <c r="A126" s="116" t="str">
        <f t="shared" si="25"/>
        <v>412p</v>
      </c>
      <c r="B126" s="551" t="s">
        <v>133</v>
      </c>
      <c r="C126" s="552"/>
      <c r="D126" s="552"/>
      <c r="E126" s="552"/>
      <c r="F126" s="552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1">
        <f t="shared" si="19"/>
        <v>15077125.449999996</v>
      </c>
      <c r="T126" s="414">
        <f t="shared" si="20"/>
        <v>3.0452687234902029E-3</v>
      </c>
    </row>
    <row r="127" spans="1:20">
      <c r="A127" s="116" t="str">
        <f t="shared" si="25"/>
        <v>413p</v>
      </c>
      <c r="B127" s="551" t="s">
        <v>148</v>
      </c>
      <c r="C127" s="552"/>
      <c r="D127" s="552"/>
      <c r="E127" s="552"/>
      <c r="F127" s="552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1">
        <f t="shared" si="19"/>
        <v>36652827.660000004</v>
      </c>
      <c r="T127" s="414">
        <f t="shared" si="20"/>
        <v>7.4031160694809136E-3</v>
      </c>
    </row>
    <row r="128" spans="1:20">
      <c r="A128" s="116" t="str">
        <f t="shared" si="25"/>
        <v>414p</v>
      </c>
      <c r="B128" s="551" t="s">
        <v>162</v>
      </c>
      <c r="C128" s="552"/>
      <c r="D128" s="552"/>
      <c r="E128" s="552"/>
      <c r="F128" s="552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1">
        <f t="shared" si="19"/>
        <v>63127045.969999991</v>
      </c>
      <c r="T128" s="414">
        <f t="shared" si="20"/>
        <v>1.2750362748939606E-2</v>
      </c>
    </row>
    <row r="129" spans="1:20">
      <c r="A129" s="116" t="str">
        <f t="shared" si="25"/>
        <v>415p</v>
      </c>
      <c r="B129" s="551" t="s">
        <v>182</v>
      </c>
      <c r="C129" s="552"/>
      <c r="D129" s="552"/>
      <c r="E129" s="552"/>
      <c r="F129" s="552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1">
        <f t="shared" si="19"/>
        <v>23117903.600000001</v>
      </c>
      <c r="T129" s="414">
        <f t="shared" si="20"/>
        <v>4.6693402544940423E-3</v>
      </c>
    </row>
    <row r="130" spans="1:20">
      <c r="A130" s="116" t="str">
        <f t="shared" si="25"/>
        <v>416p</v>
      </c>
      <c r="B130" s="551" t="s">
        <v>190</v>
      </c>
      <c r="C130" s="552"/>
      <c r="D130" s="552"/>
      <c r="E130" s="552"/>
      <c r="F130" s="552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1">
        <f t="shared" si="19"/>
        <v>95752699.999999985</v>
      </c>
      <c r="T130" s="414">
        <f t="shared" si="20"/>
        <v>1.9340072712583315E-2</v>
      </c>
    </row>
    <row r="131" spans="1:20">
      <c r="A131" s="116" t="str">
        <f t="shared" si="25"/>
        <v>417p</v>
      </c>
      <c r="B131" s="551" t="s">
        <v>196</v>
      </c>
      <c r="C131" s="552"/>
      <c r="D131" s="552"/>
      <c r="E131" s="552"/>
      <c r="F131" s="552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1">
        <f t="shared" si="19"/>
        <v>9821101.7599999998</v>
      </c>
      <c r="T131" s="414">
        <f t="shared" si="20"/>
        <v>1.9836602221773377E-3</v>
      </c>
    </row>
    <row r="132" spans="1:20">
      <c r="A132" s="116" t="str">
        <f t="shared" si="25"/>
        <v>418p</v>
      </c>
      <c r="B132" s="551" t="s">
        <v>204</v>
      </c>
      <c r="C132" s="552"/>
      <c r="D132" s="552"/>
      <c r="E132" s="552"/>
      <c r="F132" s="552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1">
        <f t="shared" si="19"/>
        <v>30814599.999999993</v>
      </c>
      <c r="T132" s="414">
        <f t="shared" si="20"/>
        <v>6.2239143607352035E-3</v>
      </c>
    </row>
    <row r="133" spans="1:20">
      <c r="A133" s="116" t="str">
        <f t="shared" si="25"/>
        <v>419p</v>
      </c>
      <c r="B133" s="551" t="s">
        <v>212</v>
      </c>
      <c r="C133" s="552"/>
      <c r="D133" s="552"/>
      <c r="E133" s="552"/>
      <c r="F133" s="552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1">
        <f t="shared" si="19"/>
        <v>41196323.400000006</v>
      </c>
      <c r="T133" s="414">
        <f t="shared" si="20"/>
        <v>8.3208086043223602E-3</v>
      </c>
    </row>
    <row r="134" spans="1:20">
      <c r="A134" s="116" t="e">
        <f>+CONCATENATE(#REF!,"p")</f>
        <v>#REF!</v>
      </c>
      <c r="B134" s="551" t="e">
        <v>#REF!</v>
      </c>
      <c r="C134" s="552"/>
      <c r="D134" s="552"/>
      <c r="E134" s="552"/>
      <c r="F134" s="552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1">
        <f t="shared" si="19"/>
        <v>59057059.620000012</v>
      </c>
      <c r="T134" s="414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47" t="s">
        <v>230</v>
      </c>
      <c r="C135" s="548"/>
      <c r="D135" s="548"/>
      <c r="E135" s="548"/>
      <c r="F135" s="548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2">
        <f t="shared" si="19"/>
        <v>557842584.41999996</v>
      </c>
      <c r="T135" s="415">
        <f t="shared" si="20"/>
        <v>0.11267270943647748</v>
      </c>
    </row>
    <row r="136" spans="1:20">
      <c r="A136" s="116" t="str">
        <f t="shared" si="26"/>
        <v>421p</v>
      </c>
      <c r="B136" s="551" t="s">
        <v>232</v>
      </c>
      <c r="C136" s="552"/>
      <c r="D136" s="552"/>
      <c r="E136" s="552"/>
      <c r="F136" s="552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1">
        <f t="shared" si="19"/>
        <v>80990000.000000015</v>
      </c>
      <c r="T136" s="414">
        <f t="shared" si="20"/>
        <v>1.6358311452231874E-2</v>
      </c>
    </row>
    <row r="137" spans="1:20">
      <c r="A137" s="116" t="str">
        <f t="shared" si="26"/>
        <v>422p</v>
      </c>
      <c r="B137" s="551" t="s">
        <v>248</v>
      </c>
      <c r="C137" s="552"/>
      <c r="D137" s="552"/>
      <c r="E137" s="552"/>
      <c r="F137" s="552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1">
        <f t="shared" si="19"/>
        <v>18202468.969999999</v>
      </c>
      <c r="T137" s="414">
        <f t="shared" si="20"/>
        <v>3.6765237265198947E-3</v>
      </c>
    </row>
    <row r="138" spans="1:20">
      <c r="A138" s="116" t="str">
        <f t="shared" si="26"/>
        <v>423p</v>
      </c>
      <c r="B138" s="551" t="s">
        <v>259</v>
      </c>
      <c r="C138" s="552"/>
      <c r="D138" s="552"/>
      <c r="E138" s="552"/>
      <c r="F138" s="552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1">
        <f t="shared" si="19"/>
        <v>429025014.44999993</v>
      </c>
      <c r="T138" s="414">
        <f t="shared" si="20"/>
        <v>8.6654214189052697E-2</v>
      </c>
    </row>
    <row r="139" spans="1:20">
      <c r="A139" s="116" t="str">
        <f t="shared" si="26"/>
        <v>424p</v>
      </c>
      <c r="B139" s="551" t="s">
        <v>274</v>
      </c>
      <c r="C139" s="552"/>
      <c r="D139" s="552"/>
      <c r="E139" s="552"/>
      <c r="F139" s="552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1">
        <f t="shared" si="19"/>
        <v>19000100</v>
      </c>
      <c r="T139" s="414">
        <f t="shared" si="20"/>
        <v>3.8376287618662897E-3</v>
      </c>
    </row>
    <row r="140" spans="1:20">
      <c r="A140" s="116" t="str">
        <f t="shared" si="26"/>
        <v>425p</v>
      </c>
      <c r="B140" s="551" t="s">
        <v>278</v>
      </c>
      <c r="C140" s="552"/>
      <c r="D140" s="552"/>
      <c r="E140" s="552"/>
      <c r="F140" s="552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1">
        <f t="shared" si="19"/>
        <v>10625001</v>
      </c>
      <c r="T140" s="414">
        <f t="shared" si="20"/>
        <v>2.1460313068067055E-3</v>
      </c>
    </row>
    <row r="141" spans="1:20">
      <c r="A141" s="116" t="str">
        <f t="shared" si="26"/>
        <v>43p</v>
      </c>
      <c r="B141" s="549" t="s">
        <v>286</v>
      </c>
      <c r="C141" s="550"/>
      <c r="D141" s="550"/>
      <c r="E141" s="550"/>
      <c r="F141" s="550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2">
        <f>+SUM(G141:R141)</f>
        <v>220947786.96000001</v>
      </c>
      <c r="T141" s="415">
        <f t="shared" si="20"/>
        <v>4.4626901022015754E-2</v>
      </c>
    </row>
    <row r="142" spans="1:20">
      <c r="A142" s="116" t="str">
        <f t="shared" si="26"/>
        <v>44p</v>
      </c>
      <c r="B142" s="549" t="s">
        <v>812</v>
      </c>
      <c r="C142" s="550"/>
      <c r="D142" s="550"/>
      <c r="E142" s="550"/>
      <c r="F142" s="550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2">
        <f t="shared" si="19"/>
        <v>295925000</v>
      </c>
      <c r="T142" s="415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41" t="s">
        <v>113</v>
      </c>
      <c r="C143" s="542"/>
      <c r="D143" s="542"/>
      <c r="E143" s="542"/>
      <c r="F143" s="542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1">
        <f t="shared" si="19"/>
        <v>2280000.9999999995</v>
      </c>
      <c r="T143" s="414">
        <f t="shared" si="20"/>
        <v>4.6051322965057553E-4</v>
      </c>
    </row>
    <row r="144" spans="1:20">
      <c r="A144" s="116" t="str">
        <f t="shared" si="28"/>
        <v>47p</v>
      </c>
      <c r="B144" s="541" t="s">
        <v>366</v>
      </c>
      <c r="C144" s="542"/>
      <c r="D144" s="542"/>
      <c r="E144" s="542"/>
      <c r="F144" s="542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1">
        <f t="shared" si="19"/>
        <v>24999999.999999996</v>
      </c>
      <c r="T144" s="414">
        <f t="shared" si="20"/>
        <v>5.0494849525348409E-3</v>
      </c>
    </row>
    <row r="145" spans="1:20">
      <c r="A145" s="116" t="str">
        <f t="shared" si="28"/>
        <v>462p</v>
      </c>
      <c r="B145" s="541" t="s">
        <v>359</v>
      </c>
      <c r="C145" s="542"/>
      <c r="D145" s="542"/>
      <c r="E145" s="542"/>
      <c r="F145" s="542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1">
        <f t="shared" si="19"/>
        <v>9434672.4100000001</v>
      </c>
      <c r="T145" s="414">
        <f t="shared" si="20"/>
        <v>1.9056094546556252E-3</v>
      </c>
    </row>
    <row r="146" spans="1:20">
      <c r="A146" s="117" t="str">
        <f>+CONCATENATE(A51,"p")</f>
        <v>4630p</v>
      </c>
      <c r="B146" s="541" t="s">
        <v>365</v>
      </c>
      <c r="C146" s="542"/>
      <c r="D146" s="542"/>
      <c r="E146" s="542"/>
      <c r="F146" s="542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6">
        <f>+SUM(G146:R146)</f>
        <v>18529999</v>
      </c>
      <c r="T146" s="419">
        <f>+S146/$T$7</f>
        <v>3.7426780448394266E-3</v>
      </c>
    </row>
    <row r="147" spans="1:20" ht="13.5" thickBot="1">
      <c r="A147" s="116"/>
      <c r="B147" s="591" t="s">
        <v>686</v>
      </c>
      <c r="C147" s="592"/>
      <c r="D147" s="592"/>
      <c r="E147" s="592"/>
      <c r="F147" s="592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2">
        <f>SUM(G147:R147)</f>
        <v>0</v>
      </c>
      <c r="T147" s="377">
        <f t="shared" si="20"/>
        <v>0</v>
      </c>
    </row>
    <row r="148" spans="1:20" ht="13.5" thickBot="1">
      <c r="A148" s="117" t="str">
        <f>+CONCATENATE(A53,"p")</f>
        <v>1000p</v>
      </c>
      <c r="B148" s="543" t="s">
        <v>545</v>
      </c>
      <c r="C148" s="544"/>
      <c r="D148" s="544"/>
      <c r="E148" s="544"/>
      <c r="F148" s="544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7">
        <f t="shared" si="19"/>
        <v>-142598064.63643947</v>
      </c>
      <c r="T148" s="420">
        <f t="shared" si="20"/>
        <v>-2.8801871265691673E-2</v>
      </c>
    </row>
    <row r="149" spans="1:20" ht="13.5" thickBot="1">
      <c r="A149" s="117" t="str">
        <f>+CONCATENATE(A54,"p")</f>
        <v>1001p</v>
      </c>
      <c r="B149" s="545" t="s">
        <v>813</v>
      </c>
      <c r="C149" s="546"/>
      <c r="D149" s="546"/>
      <c r="E149" s="546"/>
      <c r="F149" s="546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7">
        <f t="shared" si="19"/>
        <v>-46845364.63643948</v>
      </c>
      <c r="T149" s="420">
        <f t="shared" si="20"/>
        <v>-9.4617985531083582E-3</v>
      </c>
    </row>
    <row r="150" spans="1:20">
      <c r="A150" s="117" t="str">
        <f>+CONCATENATE(A55,"p")</f>
        <v>46p</v>
      </c>
      <c r="B150" s="547" t="s">
        <v>352</v>
      </c>
      <c r="C150" s="548"/>
      <c r="D150" s="548"/>
      <c r="E150" s="548"/>
      <c r="F150" s="548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8">
        <f t="shared" si="19"/>
        <v>373600000</v>
      </c>
      <c r="T150" s="421">
        <f t="shared" si="20"/>
        <v>7.5459503130680672E-2</v>
      </c>
    </row>
    <row r="151" spans="1:20">
      <c r="A151" s="117" t="str">
        <f>+CONCATENATE(A56,"p")</f>
        <v>4611p</v>
      </c>
      <c r="B151" s="539" t="s">
        <v>355</v>
      </c>
      <c r="C151" s="540"/>
      <c r="D151" s="540"/>
      <c r="E151" s="540"/>
      <c r="F151" s="540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6">
        <f t="shared" si="19"/>
        <v>44100000.039999999</v>
      </c>
      <c r="T151" s="419">
        <f t="shared" si="20"/>
        <v>8.9072914643506355E-3</v>
      </c>
    </row>
    <row r="152" spans="1:20" ht="13.5" thickBot="1">
      <c r="A152" s="117" t="str">
        <f>+CONCATENATE(A57,"p")</f>
        <v>4612p</v>
      </c>
      <c r="B152" s="541" t="s">
        <v>357</v>
      </c>
      <c r="C152" s="542"/>
      <c r="D152" s="542"/>
      <c r="E152" s="542"/>
      <c r="F152" s="542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6">
        <f t="shared" si="19"/>
        <v>329499999.95999998</v>
      </c>
      <c r="T152" s="419">
        <f t="shared" si="20"/>
        <v>6.6552211666330033E-2</v>
      </c>
    </row>
    <row r="153" spans="1:20" ht="13.5" thickBot="1">
      <c r="A153" s="117"/>
      <c r="B153" s="523" t="s">
        <v>770</v>
      </c>
      <c r="C153" s="524"/>
      <c r="D153" s="524"/>
      <c r="E153" s="524"/>
      <c r="F153" s="524"/>
      <c r="G153" s="94">
        <v>26666.67</v>
      </c>
      <c r="H153" s="94">
        <v>26666.67</v>
      </c>
      <c r="I153" s="94">
        <v>26666.67</v>
      </c>
      <c r="J153" s="94">
        <v>39926666.670000002</v>
      </c>
      <c r="K153" s="94">
        <v>26666.67</v>
      </c>
      <c r="L153" s="94">
        <v>26666.67</v>
      </c>
      <c r="M153" s="94">
        <v>26666.67</v>
      </c>
      <c r="N153" s="94">
        <v>26666.67</v>
      </c>
      <c r="O153" s="94">
        <v>26666.67</v>
      </c>
      <c r="P153" s="94">
        <v>26666.67</v>
      </c>
      <c r="Q153" s="94">
        <v>26666.67</v>
      </c>
      <c r="R153" s="94">
        <v>26666.63</v>
      </c>
      <c r="S153" s="407">
        <f t="shared" si="19"/>
        <v>40220000.000000015</v>
      </c>
      <c r="T153" s="420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37" t="s">
        <v>543</v>
      </c>
      <c r="C154" s="538"/>
      <c r="D154" s="538"/>
      <c r="E154" s="538"/>
      <c r="F154" s="538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9">
        <f t="shared" si="19"/>
        <v>-556418064.63643956</v>
      </c>
      <c r="T154" s="422">
        <f t="shared" si="20"/>
        <v>-0.11238498578801041</v>
      </c>
    </row>
    <row r="155" spans="1:20" ht="13.5" thickBot="1">
      <c r="A155" s="117" t="str">
        <f t="shared" si="32"/>
        <v>1003p</v>
      </c>
      <c r="B155" s="535" t="s">
        <v>544</v>
      </c>
      <c r="C155" s="536"/>
      <c r="D155" s="536"/>
      <c r="E155" s="536"/>
      <c r="F155" s="536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10">
        <f t="shared" si="19"/>
        <v>556418064.63643956</v>
      </c>
      <c r="T155" s="423">
        <f t="shared" si="20"/>
        <v>0.11238498578801041</v>
      </c>
    </row>
    <row r="156" spans="1:20">
      <c r="A156" s="117" t="str">
        <f t="shared" si="32"/>
        <v>7511p</v>
      </c>
      <c r="B156" s="539" t="s">
        <v>114</v>
      </c>
      <c r="C156" s="540"/>
      <c r="D156" s="540"/>
      <c r="E156" s="540"/>
      <c r="F156" s="540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6">
        <f t="shared" si="19"/>
        <v>190000000</v>
      </c>
      <c r="T156" s="419">
        <f t="shared" si="20"/>
        <v>3.8376085639264798E-2</v>
      </c>
    </row>
    <row r="157" spans="1:20">
      <c r="A157" s="117" t="str">
        <f t="shared" si="32"/>
        <v>7512p</v>
      </c>
      <c r="B157" s="541" t="s">
        <v>116</v>
      </c>
      <c r="C157" s="542"/>
      <c r="D157" s="542"/>
      <c r="E157" s="542"/>
      <c r="F157" s="542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6">
        <f t="shared" si="19"/>
        <v>180405268.74155378</v>
      </c>
      <c r="T157" s="419">
        <f t="shared" si="20"/>
        <v>3.6438147594739199E-2</v>
      </c>
    </row>
    <row r="158" spans="1:20">
      <c r="A158" s="117" t="str">
        <f t="shared" si="32"/>
        <v>72p</v>
      </c>
      <c r="B158" s="541" t="s">
        <v>93</v>
      </c>
      <c r="C158" s="542"/>
      <c r="D158" s="542"/>
      <c r="E158" s="542"/>
      <c r="F158" s="542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6">
        <f t="shared" si="19"/>
        <v>6000000</v>
      </c>
      <c r="T158" s="419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1">
        <f t="shared" si="19"/>
        <v>180012795.89488566</v>
      </c>
      <c r="T159" s="424">
        <f t="shared" si="20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62"/>
  <sheetViews>
    <sheetView zoomScaleNormal="100" workbookViewId="0">
      <pane ySplit="1" topLeftCell="A8" activePane="bottomLeft" state="frozen"/>
      <selection pane="bottomLeft" activeCell="R32" sqref="R32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590" t="s">
        <v>554</v>
      </c>
      <c r="C7" s="490"/>
      <c r="D7" s="490"/>
      <c r="E7" s="490"/>
      <c r="F7" s="490"/>
      <c r="G7" s="498">
        <v>2018</v>
      </c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502"/>
      <c r="S7" s="235" t="s">
        <v>419</v>
      </c>
      <c r="T7" s="236">
        <v>4663130000</v>
      </c>
    </row>
    <row r="8" spans="1:20" ht="16.5" customHeight="1">
      <c r="A8" s="144"/>
      <c r="B8" s="491"/>
      <c r="C8" s="492"/>
      <c r="D8" s="492"/>
      <c r="E8" s="492"/>
      <c r="F8" s="493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498" t="s">
        <v>809</v>
      </c>
      <c r="T8" s="502"/>
    </row>
    <row r="9" spans="1:20" ht="13.5" thickBot="1">
      <c r="A9" s="144"/>
      <c r="B9" s="494"/>
      <c r="C9" s="495"/>
      <c r="D9" s="495"/>
      <c r="E9" s="495"/>
      <c r="F9" s="49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31" t="s">
        <v>681</v>
      </c>
      <c r="C10" s="532"/>
      <c r="D10" s="532"/>
      <c r="E10" s="532"/>
      <c r="F10" s="532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4">
        <f>+SUM(G10:R10)</f>
        <v>1746018287.1400003</v>
      </c>
      <c r="T10" s="369">
        <f>+S10/$T$7</f>
        <v>0.3744305406754691</v>
      </c>
    </row>
    <row r="11" spans="1:20">
      <c r="A11" s="150">
        <v>711</v>
      </c>
      <c r="B11" s="533" t="s">
        <v>21</v>
      </c>
      <c r="C11" s="534"/>
      <c r="D11" s="534"/>
      <c r="E11" s="534"/>
      <c r="F11" s="534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5">
        <f t="shared" ref="S11:S66" si="3">+SUM(G11:R11)</f>
        <v>1068947201.3</v>
      </c>
      <c r="T11" s="370">
        <f t="shared" ref="T11:T67" si="4">+S11/$T$7</f>
        <v>0.22923384106812375</v>
      </c>
    </row>
    <row r="12" spans="1:20">
      <c r="A12" s="150">
        <v>7111</v>
      </c>
      <c r="B12" s="519" t="s">
        <v>23</v>
      </c>
      <c r="C12" s="520"/>
      <c r="D12" s="520"/>
      <c r="E12" s="520"/>
      <c r="F12" s="520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6">
        <f t="shared" si="3"/>
        <v>124898382.06000002</v>
      </c>
      <c r="T12" s="371">
        <f t="shared" si="4"/>
        <v>2.6784237638667593E-2</v>
      </c>
    </row>
    <row r="13" spans="1:20">
      <c r="A13" s="150">
        <v>7112</v>
      </c>
      <c r="B13" s="519" t="s">
        <v>25</v>
      </c>
      <c r="C13" s="520"/>
      <c r="D13" s="520"/>
      <c r="E13" s="520"/>
      <c r="F13" s="520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6">
        <f t="shared" si="3"/>
        <v>68172478.429999992</v>
      </c>
      <c r="T13" s="371">
        <f t="shared" si="4"/>
        <v>1.4619467703023505E-2</v>
      </c>
    </row>
    <row r="14" spans="1:20">
      <c r="A14" s="150">
        <v>7113</v>
      </c>
      <c r="B14" s="519" t="s">
        <v>27</v>
      </c>
      <c r="C14" s="520"/>
      <c r="D14" s="520"/>
      <c r="E14" s="520"/>
      <c r="F14" s="520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6">
        <f t="shared" si="3"/>
        <v>1836094.52</v>
      </c>
      <c r="T14" s="371">
        <f t="shared" si="4"/>
        <v>3.9374722986491905E-4</v>
      </c>
    </row>
    <row r="15" spans="1:20">
      <c r="A15" s="150">
        <v>7114</v>
      </c>
      <c r="B15" s="519" t="s">
        <v>29</v>
      </c>
      <c r="C15" s="520"/>
      <c r="D15" s="520"/>
      <c r="E15" s="520"/>
      <c r="F15" s="520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6">
        <f t="shared" si="3"/>
        <v>616913678.91000009</v>
      </c>
      <c r="T15" s="371">
        <f t="shared" si="4"/>
        <v>0.13229604984420337</v>
      </c>
    </row>
    <row r="16" spans="1:20">
      <c r="A16" s="150">
        <v>7115</v>
      </c>
      <c r="B16" s="519" t="s">
        <v>31</v>
      </c>
      <c r="C16" s="520"/>
      <c r="D16" s="520"/>
      <c r="E16" s="520"/>
      <c r="F16" s="520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6">
        <f t="shared" si="3"/>
        <v>221178044.41</v>
      </c>
      <c r="T16" s="371">
        <f t="shared" si="4"/>
        <v>4.7431241335755166E-2</v>
      </c>
    </row>
    <row r="17" spans="1:25">
      <c r="A17" s="150">
        <v>7116</v>
      </c>
      <c r="B17" s="519" t="s">
        <v>33</v>
      </c>
      <c r="C17" s="520"/>
      <c r="D17" s="520"/>
      <c r="E17" s="520"/>
      <c r="F17" s="520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6">
        <f t="shared" si="3"/>
        <v>26634891.989999998</v>
      </c>
      <c r="T17" s="371">
        <f t="shared" si="4"/>
        <v>5.7118055876632214E-3</v>
      </c>
    </row>
    <row r="18" spans="1:25">
      <c r="A18" s="150">
        <v>7118</v>
      </c>
      <c r="B18" s="519" t="s">
        <v>722</v>
      </c>
      <c r="C18" s="520"/>
      <c r="D18" s="520"/>
      <c r="E18" s="520"/>
      <c r="F18" s="520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6">
        <f t="shared" si="3"/>
        <v>9313630.9799999986</v>
      </c>
      <c r="T18" s="371">
        <f t="shared" si="4"/>
        <v>1.9972917289460082E-3</v>
      </c>
    </row>
    <row r="19" spans="1:25">
      <c r="A19" s="150">
        <v>712</v>
      </c>
      <c r="B19" s="529" t="s">
        <v>37</v>
      </c>
      <c r="C19" s="530"/>
      <c r="D19" s="530"/>
      <c r="E19" s="530"/>
      <c r="F19" s="530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7">
        <f t="shared" si="3"/>
        <v>524440114.39999998</v>
      </c>
      <c r="T19" s="372">
        <f t="shared" si="4"/>
        <v>0.11246525711271184</v>
      </c>
    </row>
    <row r="20" spans="1:25">
      <c r="A20" s="150">
        <v>7121</v>
      </c>
      <c r="B20" s="519" t="s">
        <v>39</v>
      </c>
      <c r="C20" s="520"/>
      <c r="D20" s="520"/>
      <c r="E20" s="520"/>
      <c r="F20" s="520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6">
        <f t="shared" si="3"/>
        <v>316982958.28000003</v>
      </c>
      <c r="T20" s="371">
        <f t="shared" si="4"/>
        <v>6.7976436059041898E-2</v>
      </c>
    </row>
    <row r="21" spans="1:25">
      <c r="A21" s="150">
        <v>7122</v>
      </c>
      <c r="B21" s="519" t="s">
        <v>41</v>
      </c>
      <c r="C21" s="520"/>
      <c r="D21" s="520"/>
      <c r="E21" s="520"/>
      <c r="F21" s="520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6">
        <f t="shared" si="3"/>
        <v>182045765.34999999</v>
      </c>
      <c r="T21" s="371">
        <f t="shared" si="4"/>
        <v>3.9039393143661019E-2</v>
      </c>
    </row>
    <row r="22" spans="1:25">
      <c r="A22" s="150">
        <v>7123</v>
      </c>
      <c r="B22" s="519" t="s">
        <v>43</v>
      </c>
      <c r="C22" s="520"/>
      <c r="D22" s="520"/>
      <c r="E22" s="520"/>
      <c r="F22" s="520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6">
        <f t="shared" si="3"/>
        <v>13590597.370000001</v>
      </c>
      <c r="T22" s="371">
        <f t="shared" si="4"/>
        <v>2.9144796242009125E-3</v>
      </c>
    </row>
    <row r="23" spans="1:25">
      <c r="A23" s="150">
        <v>7124</v>
      </c>
      <c r="B23" s="519" t="s">
        <v>45</v>
      </c>
      <c r="C23" s="520"/>
      <c r="D23" s="520"/>
      <c r="E23" s="520"/>
      <c r="F23" s="520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6">
        <f t="shared" si="3"/>
        <v>11820793.4</v>
      </c>
      <c r="T23" s="371">
        <f t="shared" si="4"/>
        <v>2.5349482858080304E-3</v>
      </c>
      <c r="Y23" s="305"/>
    </row>
    <row r="24" spans="1:25">
      <c r="A24" s="150">
        <v>713</v>
      </c>
      <c r="B24" s="521" t="s">
        <v>47</v>
      </c>
      <c r="C24" s="522"/>
      <c r="D24" s="522"/>
      <c r="E24" s="522"/>
      <c r="F24" s="522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7">
        <f t="shared" si="3"/>
        <v>16901007.650000002</v>
      </c>
      <c r="T24" s="372">
        <f t="shared" si="4"/>
        <v>3.6243912672389582E-3</v>
      </c>
      <c r="Y24" s="305"/>
    </row>
    <row r="25" spans="1:25">
      <c r="A25" s="150">
        <v>714</v>
      </c>
      <c r="B25" s="521" t="s">
        <v>61</v>
      </c>
      <c r="C25" s="522"/>
      <c r="D25" s="522"/>
      <c r="E25" s="522"/>
      <c r="F25" s="522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7">
        <f t="shared" si="3"/>
        <v>26419539.080000002</v>
      </c>
      <c r="T25" s="372">
        <f t="shared" si="4"/>
        <v>5.6656235361227337E-3</v>
      </c>
      <c r="W25" s="292"/>
    </row>
    <row r="26" spans="1:25">
      <c r="A26" s="150">
        <v>715</v>
      </c>
      <c r="B26" s="521" t="s">
        <v>81</v>
      </c>
      <c r="C26" s="522"/>
      <c r="D26" s="522"/>
      <c r="E26" s="522"/>
      <c r="F26" s="522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7">
        <f t="shared" si="3"/>
        <v>71315064.620000005</v>
      </c>
      <c r="T26" s="372">
        <f t="shared" si="4"/>
        <v>1.529338976610131E-2</v>
      </c>
    </row>
    <row r="27" spans="1:25">
      <c r="A27" s="150">
        <v>73</v>
      </c>
      <c r="B27" s="521" t="s">
        <v>99</v>
      </c>
      <c r="C27" s="522"/>
      <c r="D27" s="522"/>
      <c r="E27" s="522"/>
      <c r="F27" s="522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7">
        <f t="shared" si="3"/>
        <v>11285945.1</v>
      </c>
      <c r="T27" s="372">
        <f t="shared" si="4"/>
        <v>2.4202510116595505E-3</v>
      </c>
    </row>
    <row r="28" spans="1:25" ht="13.5" thickBot="1">
      <c r="A28" s="150">
        <v>74</v>
      </c>
      <c r="B28" s="523" t="s">
        <v>105</v>
      </c>
      <c r="C28" s="524"/>
      <c r="D28" s="524"/>
      <c r="E28" s="524"/>
      <c r="F28" s="524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7">
        <f t="shared" si="3"/>
        <v>26709414.990000006</v>
      </c>
      <c r="T28" s="373">
        <f t="shared" si="4"/>
        <v>5.7277869135108836E-3</v>
      </c>
    </row>
    <row r="29" spans="1:25" ht="13.5" thickBot="1">
      <c r="A29" s="150">
        <v>4</v>
      </c>
      <c r="B29" s="509" t="s">
        <v>802</v>
      </c>
      <c r="C29" s="510"/>
      <c r="D29" s="510"/>
      <c r="E29" s="510"/>
      <c r="F29" s="510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8">
        <f t="shared" si="3"/>
        <v>1914918461.6599998</v>
      </c>
      <c r="T29" s="374">
        <f t="shared" si="4"/>
        <v>0.41065088506217923</v>
      </c>
    </row>
    <row r="30" spans="1:25" ht="13.5" thickBot="1">
      <c r="A30" s="150">
        <v>40</v>
      </c>
      <c r="B30" s="525" t="s">
        <v>774</v>
      </c>
      <c r="C30" s="526"/>
      <c r="D30" s="526"/>
      <c r="E30" s="526"/>
      <c r="F30" s="526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9">
        <f t="shared" si="3"/>
        <v>1671556011.4800003</v>
      </c>
      <c r="T30" s="375">
        <f t="shared" si="4"/>
        <v>0.35846223705536845</v>
      </c>
    </row>
    <row r="31" spans="1:25">
      <c r="A31" s="150">
        <v>41</v>
      </c>
      <c r="B31" s="527" t="s">
        <v>120</v>
      </c>
      <c r="C31" s="528"/>
      <c r="D31" s="528"/>
      <c r="E31" s="528"/>
      <c r="F31" s="528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90">
        <f t="shared" si="3"/>
        <v>866631492.57999992</v>
      </c>
      <c r="T31" s="370">
        <f t="shared" si="4"/>
        <v>0.185847594336851</v>
      </c>
    </row>
    <row r="32" spans="1:25">
      <c r="A32" s="150">
        <v>411</v>
      </c>
      <c r="B32" s="519" t="s">
        <v>122</v>
      </c>
      <c r="C32" s="520"/>
      <c r="D32" s="520"/>
      <c r="E32" s="520"/>
      <c r="F32" s="520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6">
        <f t="shared" si="3"/>
        <v>459796234.55000001</v>
      </c>
      <c r="T32" s="371">
        <f t="shared" si="4"/>
        <v>9.860249114864908E-2</v>
      </c>
    </row>
    <row r="33" spans="1:22">
      <c r="A33" s="150">
        <v>412</v>
      </c>
      <c r="B33" s="519" t="s">
        <v>133</v>
      </c>
      <c r="C33" s="520"/>
      <c r="D33" s="520"/>
      <c r="E33" s="520"/>
      <c r="F33" s="520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6">
        <f t="shared" si="3"/>
        <v>13212940.209999999</v>
      </c>
      <c r="T33" s="371">
        <f t="shared" si="4"/>
        <v>2.8334917126479424E-3</v>
      </c>
      <c r="U33" s="293"/>
    </row>
    <row r="34" spans="1:22">
      <c r="A34" s="150">
        <v>413</v>
      </c>
      <c r="B34" s="519" t="s">
        <v>148</v>
      </c>
      <c r="C34" s="520"/>
      <c r="D34" s="520"/>
      <c r="E34" s="520"/>
      <c r="F34" s="520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6">
        <f t="shared" si="3"/>
        <v>36731134.720000006</v>
      </c>
      <c r="T34" s="371">
        <f t="shared" si="4"/>
        <v>7.8769270254099733E-3</v>
      </c>
      <c r="U34" s="311"/>
      <c r="V34" s="291"/>
    </row>
    <row r="35" spans="1:22">
      <c r="A35" s="150">
        <v>414</v>
      </c>
      <c r="B35" s="519" t="s">
        <v>162</v>
      </c>
      <c r="C35" s="520"/>
      <c r="D35" s="520"/>
      <c r="E35" s="520"/>
      <c r="F35" s="520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6">
        <f t="shared" si="3"/>
        <v>75138922.689999998</v>
      </c>
      <c r="T35" s="371">
        <f t="shared" si="4"/>
        <v>1.6113409381681404E-2</v>
      </c>
    </row>
    <row r="36" spans="1:22">
      <c r="A36" s="150">
        <v>415</v>
      </c>
      <c r="B36" s="519" t="s">
        <v>182</v>
      </c>
      <c r="C36" s="520"/>
      <c r="D36" s="520"/>
      <c r="E36" s="520"/>
      <c r="F36" s="520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6">
        <f t="shared" si="3"/>
        <v>20973232.77</v>
      </c>
      <c r="T36" s="371">
        <f t="shared" si="4"/>
        <v>4.4976727584262076E-3</v>
      </c>
    </row>
    <row r="37" spans="1:22">
      <c r="A37" s="150">
        <v>416</v>
      </c>
      <c r="B37" s="519" t="s">
        <v>190</v>
      </c>
      <c r="C37" s="520"/>
      <c r="D37" s="520"/>
      <c r="E37" s="520"/>
      <c r="F37" s="520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6">
        <f>+SUM(G37:R37)</f>
        <v>97597309.48999998</v>
      </c>
      <c r="T37" s="371">
        <f t="shared" si="4"/>
        <v>2.0929570801157159E-2</v>
      </c>
    </row>
    <row r="38" spans="1:22">
      <c r="A38" s="150">
        <v>417</v>
      </c>
      <c r="B38" s="519" t="s">
        <v>196</v>
      </c>
      <c r="C38" s="520"/>
      <c r="D38" s="520"/>
      <c r="E38" s="520"/>
      <c r="F38" s="520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6">
        <f t="shared" si="3"/>
        <v>10693128.550000001</v>
      </c>
      <c r="T38" s="371">
        <f t="shared" si="4"/>
        <v>2.2931225485886093E-3</v>
      </c>
    </row>
    <row r="39" spans="1:22">
      <c r="A39" s="150">
        <v>418</v>
      </c>
      <c r="B39" s="519" t="s">
        <v>204</v>
      </c>
      <c r="C39" s="520"/>
      <c r="D39" s="520"/>
      <c r="E39" s="520"/>
      <c r="F39" s="520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6">
        <f t="shared" si="3"/>
        <v>30560884.969999999</v>
      </c>
      <c r="T39" s="371">
        <f t="shared" si="4"/>
        <v>6.5537278544668493E-3</v>
      </c>
    </row>
    <row r="40" spans="1:22">
      <c r="A40" s="150">
        <v>419</v>
      </c>
      <c r="B40" s="519" t="s">
        <v>212</v>
      </c>
      <c r="C40" s="520"/>
      <c r="D40" s="520"/>
      <c r="E40" s="520"/>
      <c r="F40" s="520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6">
        <f t="shared" si="3"/>
        <v>43556427.669999994</v>
      </c>
      <c r="T40" s="371">
        <f t="shared" si="4"/>
        <v>9.3405990547121773E-3</v>
      </c>
    </row>
    <row r="41" spans="1:22">
      <c r="A41" s="150">
        <v>440</v>
      </c>
      <c r="B41" s="519" t="s">
        <v>803</v>
      </c>
      <c r="C41" s="520"/>
      <c r="D41" s="520"/>
      <c r="E41" s="520"/>
      <c r="F41" s="520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6">
        <f t="shared" si="3"/>
        <v>78371276.960000008</v>
      </c>
      <c r="T41" s="371">
        <f t="shared" si="4"/>
        <v>1.6806582051111595E-2</v>
      </c>
    </row>
    <row r="42" spans="1:22">
      <c r="A42" s="150">
        <v>42</v>
      </c>
      <c r="B42" s="515" t="s">
        <v>230</v>
      </c>
      <c r="C42" s="516"/>
      <c r="D42" s="516"/>
      <c r="E42" s="516"/>
      <c r="F42" s="516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7">
        <f t="shared" si="3"/>
        <v>544485571.48000002</v>
      </c>
      <c r="T42" s="372">
        <f t="shared" si="4"/>
        <v>0.11676397001155876</v>
      </c>
    </row>
    <row r="43" spans="1:22">
      <c r="A43" s="150">
        <v>421</v>
      </c>
      <c r="B43" s="519" t="s">
        <v>232</v>
      </c>
      <c r="C43" s="520"/>
      <c r="D43" s="520"/>
      <c r="E43" s="520"/>
      <c r="F43" s="520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6">
        <f t="shared" si="3"/>
        <v>82294784.480000004</v>
      </c>
      <c r="T43" s="371">
        <f t="shared" si="4"/>
        <v>1.7647971315404031E-2</v>
      </c>
    </row>
    <row r="44" spans="1:22">
      <c r="A44" s="150">
        <v>422</v>
      </c>
      <c r="B44" s="519" t="s">
        <v>248</v>
      </c>
      <c r="C44" s="520"/>
      <c r="D44" s="520"/>
      <c r="E44" s="520"/>
      <c r="F44" s="520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6">
        <f t="shared" si="3"/>
        <v>14196791.939999998</v>
      </c>
      <c r="T44" s="371">
        <f t="shared" si="4"/>
        <v>3.0444769800541693E-3</v>
      </c>
    </row>
    <row r="45" spans="1:22">
      <c r="A45" s="150">
        <v>423</v>
      </c>
      <c r="B45" s="519" t="s">
        <v>259</v>
      </c>
      <c r="C45" s="520"/>
      <c r="D45" s="520"/>
      <c r="E45" s="520"/>
      <c r="F45" s="520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6">
        <f t="shared" si="3"/>
        <v>414750265.80000001</v>
      </c>
      <c r="T45" s="371">
        <f t="shared" si="4"/>
        <v>8.8942462637756181E-2</v>
      </c>
    </row>
    <row r="46" spans="1:22">
      <c r="A46" s="150">
        <v>424</v>
      </c>
      <c r="B46" s="519" t="s">
        <v>274</v>
      </c>
      <c r="C46" s="520"/>
      <c r="D46" s="520"/>
      <c r="E46" s="520"/>
      <c r="F46" s="520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6">
        <f t="shared" si="3"/>
        <v>20004829.280000001</v>
      </c>
      <c r="T46" s="371">
        <f t="shared" si="4"/>
        <v>4.2900003388282124E-3</v>
      </c>
    </row>
    <row r="47" spans="1:22">
      <c r="A47" s="150">
        <v>425</v>
      </c>
      <c r="B47" s="597" t="s">
        <v>278</v>
      </c>
      <c r="C47" s="598"/>
      <c r="D47" s="598"/>
      <c r="E47" s="598"/>
      <c r="F47" s="598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6">
        <f t="shared" si="3"/>
        <v>13238899.98</v>
      </c>
      <c r="T47" s="371">
        <f t="shared" si="4"/>
        <v>2.8390587395161621E-3</v>
      </c>
    </row>
    <row r="48" spans="1:22">
      <c r="A48" s="150">
        <v>43</v>
      </c>
      <c r="B48" s="517" t="s">
        <v>286</v>
      </c>
      <c r="C48" s="518"/>
      <c r="D48" s="518"/>
      <c r="E48" s="518"/>
      <c r="F48" s="518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7">
        <f t="shared" si="3"/>
        <v>208726710.33999997</v>
      </c>
      <c r="T48" s="372">
        <f t="shared" si="4"/>
        <v>4.4761074715909697E-2</v>
      </c>
    </row>
    <row r="49" spans="1:22">
      <c r="A49" s="150">
        <v>44</v>
      </c>
      <c r="B49" s="517" t="s">
        <v>320</v>
      </c>
      <c r="C49" s="518"/>
      <c r="D49" s="518"/>
      <c r="E49" s="518"/>
      <c r="F49" s="518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7">
        <f t="shared" si="3"/>
        <v>243362450.18000001</v>
      </c>
      <c r="T49" s="372">
        <f t="shared" si="4"/>
        <v>5.2188648006810875E-2</v>
      </c>
    </row>
    <row r="50" spans="1:22">
      <c r="A50" s="150">
        <v>451</v>
      </c>
      <c r="B50" s="586" t="s">
        <v>113</v>
      </c>
      <c r="C50" s="587"/>
      <c r="D50" s="587"/>
      <c r="E50" s="587"/>
      <c r="F50" s="587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6">
        <f t="shared" si="3"/>
        <v>4596369</v>
      </c>
      <c r="T50" s="371">
        <f t="shared" si="4"/>
        <v>9.8568322135561309E-4</v>
      </c>
    </row>
    <row r="51" spans="1:22">
      <c r="A51" s="150">
        <v>47</v>
      </c>
      <c r="B51" s="487" t="s">
        <v>366</v>
      </c>
      <c r="C51" s="488"/>
      <c r="D51" s="488"/>
      <c r="E51" s="488"/>
      <c r="F51" s="488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6">
        <f t="shared" si="3"/>
        <v>23887500.050000001</v>
      </c>
      <c r="T51" s="371">
        <f t="shared" si="4"/>
        <v>5.1226322341431617E-3</v>
      </c>
      <c r="U51" s="354"/>
    </row>
    <row r="52" spans="1:22" ht="13.5" thickBot="1">
      <c r="A52" s="150">
        <v>462</v>
      </c>
      <c r="B52" s="505" t="s">
        <v>359</v>
      </c>
      <c r="C52" s="506"/>
      <c r="D52" s="506"/>
      <c r="E52" s="506"/>
      <c r="F52" s="506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6">
        <f t="shared" si="3"/>
        <v>0</v>
      </c>
      <c r="T52" s="376">
        <f t="shared" si="4"/>
        <v>0</v>
      </c>
      <c r="U52" s="292"/>
    </row>
    <row r="53" spans="1:22" ht="13.5" thickBot="1">
      <c r="A53" s="144">
        <v>4630</v>
      </c>
      <c r="B53" s="580" t="s">
        <v>795</v>
      </c>
      <c r="C53" s="581"/>
      <c r="D53" s="581"/>
      <c r="E53" s="581"/>
      <c r="F53" s="581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1">
        <f>+SUM(G53:R53)</f>
        <v>23228368.030000001</v>
      </c>
      <c r="T53" s="376">
        <f>+S53/$T$7</f>
        <v>4.9812825355501564E-3</v>
      </c>
    </row>
    <row r="54" spans="1:22" ht="13.5" thickBot="1">
      <c r="A54" s="70">
        <v>1005</v>
      </c>
      <c r="B54" s="582" t="s">
        <v>685</v>
      </c>
      <c r="C54" s="583"/>
      <c r="D54" s="583"/>
      <c r="E54" s="583"/>
      <c r="F54" s="583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2">
        <f>+SUM(G54:R54)</f>
        <v>28097590.27</v>
      </c>
      <c r="T54" s="377">
        <f>+S54/$T$7</f>
        <v>6.0254786527504057E-3</v>
      </c>
    </row>
    <row r="55" spans="1:22" ht="13.5" thickBot="1">
      <c r="A55" s="144">
        <v>1000</v>
      </c>
      <c r="B55" s="511" t="s">
        <v>545</v>
      </c>
      <c r="C55" s="512"/>
      <c r="D55" s="512"/>
      <c r="E55" s="512"/>
      <c r="F55" s="512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3">
        <f t="shared" si="3"/>
        <v>-168900174.51999998</v>
      </c>
      <c r="T55" s="378">
        <f t="shared" si="4"/>
        <v>-3.6220344386710207E-2</v>
      </c>
    </row>
    <row r="56" spans="1:22" ht="13.5" thickBot="1">
      <c r="A56" s="144"/>
      <c r="B56" s="365" t="s">
        <v>804</v>
      </c>
      <c r="C56" s="366"/>
      <c r="D56" s="366"/>
      <c r="E56" s="366"/>
      <c r="F56" s="366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3">
        <f t="shared" si="3"/>
        <v>-196997764.78999999</v>
      </c>
      <c r="T56" s="378">
        <f t="shared" si="4"/>
        <v>-4.2245823039460617E-2</v>
      </c>
    </row>
    <row r="57" spans="1:22" ht="13.5" thickBot="1">
      <c r="A57" s="144">
        <v>1001</v>
      </c>
      <c r="B57" s="513" t="s">
        <v>794</v>
      </c>
      <c r="C57" s="514"/>
      <c r="D57" s="514"/>
      <c r="E57" s="514"/>
      <c r="F57" s="514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3">
        <f t="shared" si="3"/>
        <v>-99400455.299999982</v>
      </c>
      <c r="T57" s="378">
        <f t="shared" si="4"/>
        <v>-2.1316252238303454E-2</v>
      </c>
    </row>
    <row r="58" spans="1:22">
      <c r="A58" s="144">
        <v>46</v>
      </c>
      <c r="B58" s="576" t="s">
        <v>352</v>
      </c>
      <c r="C58" s="577"/>
      <c r="D58" s="577"/>
      <c r="E58" s="577"/>
      <c r="F58" s="577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4">
        <f t="shared" si="3"/>
        <v>696281459.90999997</v>
      </c>
      <c r="T58" s="379">
        <f t="shared" si="4"/>
        <v>0.14931633042827455</v>
      </c>
      <c r="V58" s="309"/>
    </row>
    <row r="59" spans="1:22">
      <c r="A59" s="144">
        <v>4611</v>
      </c>
      <c r="B59" s="503" t="s">
        <v>355</v>
      </c>
      <c r="C59" s="504"/>
      <c r="D59" s="504"/>
      <c r="E59" s="504"/>
      <c r="F59" s="504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5">
        <f t="shared" si="3"/>
        <v>234823593.10000002</v>
      </c>
      <c r="T59" s="380">
        <f t="shared" si="4"/>
        <v>5.0357505173563681E-2</v>
      </c>
    </row>
    <row r="60" spans="1:22" ht="13.5" thickBot="1">
      <c r="A60" s="144">
        <v>4612</v>
      </c>
      <c r="B60" s="487" t="s">
        <v>357</v>
      </c>
      <c r="C60" s="488"/>
      <c r="D60" s="488"/>
      <c r="E60" s="488"/>
      <c r="F60" s="488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5">
        <f t="shared" si="3"/>
        <v>461457866.81</v>
      </c>
      <c r="T60" s="380">
        <f t="shared" si="4"/>
        <v>9.8958825254710892E-2</v>
      </c>
      <c r="V60" s="319"/>
    </row>
    <row r="61" spans="1:22" ht="13.5" thickBot="1">
      <c r="A61" s="144">
        <v>4418</v>
      </c>
      <c r="B61" s="595" t="s">
        <v>336</v>
      </c>
      <c r="C61" s="596"/>
      <c r="D61" s="596"/>
      <c r="E61" s="596"/>
      <c r="F61" s="596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4">
        <f>SUM(G61:R61)</f>
        <v>69245296.659999996</v>
      </c>
      <c r="T61" s="379">
        <f>+S61/$T$7</f>
        <v>1.4849531679365575E-2</v>
      </c>
      <c r="V61" s="319"/>
    </row>
    <row r="62" spans="1:22" ht="13.5" thickBot="1">
      <c r="A62" s="144">
        <v>1002</v>
      </c>
      <c r="B62" s="507" t="s">
        <v>543</v>
      </c>
      <c r="C62" s="508"/>
      <c r="D62" s="508"/>
      <c r="E62" s="508"/>
      <c r="F62" s="508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6">
        <f t="shared" si="3"/>
        <v>-962524521.35999966</v>
      </c>
      <c r="T62" s="381">
        <f t="shared" si="4"/>
        <v>-0.2064116851471007</v>
      </c>
    </row>
    <row r="63" spans="1:22" ht="13.5" thickBot="1">
      <c r="A63" s="144">
        <v>1003</v>
      </c>
      <c r="B63" s="509" t="s">
        <v>544</v>
      </c>
      <c r="C63" s="510"/>
      <c r="D63" s="510"/>
      <c r="E63" s="510"/>
      <c r="F63" s="510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7">
        <f t="shared" si="3"/>
        <v>962524521.35999966</v>
      </c>
      <c r="T63" s="382">
        <f t="shared" si="4"/>
        <v>0.2064116851471007</v>
      </c>
    </row>
    <row r="64" spans="1:22">
      <c r="A64" s="144">
        <v>7511</v>
      </c>
      <c r="B64" s="503" t="s">
        <v>114</v>
      </c>
      <c r="C64" s="504"/>
      <c r="D64" s="504"/>
      <c r="E64" s="504"/>
      <c r="F64" s="504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5">
        <f t="shared" si="3"/>
        <v>213600000</v>
      </c>
      <c r="T64" s="380">
        <f t="shared" si="4"/>
        <v>4.5806143084151631E-2</v>
      </c>
    </row>
    <row r="65" spans="1:20">
      <c r="A65" s="144">
        <v>7512</v>
      </c>
      <c r="B65" s="487" t="s">
        <v>116</v>
      </c>
      <c r="C65" s="488"/>
      <c r="D65" s="488"/>
      <c r="E65" s="488"/>
      <c r="F65" s="488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5">
        <f t="shared" si="3"/>
        <v>909773438.82000017</v>
      </c>
      <c r="T65" s="380">
        <f t="shared" si="4"/>
        <v>0.19509930858028837</v>
      </c>
    </row>
    <row r="66" spans="1:20">
      <c r="A66" s="144">
        <v>72</v>
      </c>
      <c r="B66" s="487" t="s">
        <v>93</v>
      </c>
      <c r="C66" s="488"/>
      <c r="D66" s="488"/>
      <c r="E66" s="488"/>
      <c r="F66" s="488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5">
        <f t="shared" si="3"/>
        <v>15749081.709999999</v>
      </c>
      <c r="T66" s="380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8">
        <f>+SUM(G67:R67)</f>
        <v>-176597999.17000002</v>
      </c>
      <c r="T67" s="383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65" t="s">
        <v>552</v>
      </c>
      <c r="C103" s="566"/>
      <c r="D103" s="566"/>
      <c r="E103" s="566"/>
      <c r="F103" s="566"/>
      <c r="G103" s="573">
        <v>2018</v>
      </c>
      <c r="H103" s="574"/>
      <c r="I103" s="574"/>
      <c r="J103" s="574"/>
      <c r="K103" s="574"/>
      <c r="L103" s="574"/>
      <c r="M103" s="574"/>
      <c r="N103" s="574"/>
      <c r="O103" s="574"/>
      <c r="P103" s="574"/>
      <c r="Q103" s="574"/>
      <c r="R103" s="575"/>
      <c r="S103" s="107" t="str">
        <f>+S7</f>
        <v>BDP</v>
      </c>
      <c r="T103" s="108">
        <f>+T7</f>
        <v>4663130000</v>
      </c>
    </row>
    <row r="104" spans="1:21" ht="15.75" customHeight="1">
      <c r="B104" s="567"/>
      <c r="C104" s="568"/>
      <c r="D104" s="568"/>
      <c r="E104" s="568"/>
      <c r="F104" s="569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73" t="s">
        <v>809</v>
      </c>
      <c r="T104" s="575">
        <f>+T8</f>
        <v>0</v>
      </c>
    </row>
    <row r="105" spans="1:21" ht="13.5" thickBot="1">
      <c r="B105" s="570"/>
      <c r="C105" s="571"/>
      <c r="D105" s="571"/>
      <c r="E105" s="571"/>
      <c r="F105" s="572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61" t="s">
        <v>681</v>
      </c>
      <c r="C106" s="562"/>
      <c r="D106" s="562"/>
      <c r="E106" s="562"/>
      <c r="F106" s="562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9">
        <f>+SUM(G106:R106)</f>
        <v>1757003221.1342125</v>
      </c>
      <c r="T106" s="412">
        <f>+S106/$T$7</f>
        <v>0.37678624038665287</v>
      </c>
    </row>
    <row r="107" spans="1:21">
      <c r="A107" s="116" t="str">
        <f t="shared" si="18"/>
        <v>711p</v>
      </c>
      <c r="B107" s="563" t="s">
        <v>21</v>
      </c>
      <c r="C107" s="564"/>
      <c r="D107" s="564"/>
      <c r="E107" s="564"/>
      <c r="F107" s="564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400">
        <f t="shared" ref="S107:S162" si="21">+SUM(G107:R107)</f>
        <v>1078397189.3971882</v>
      </c>
      <c r="T107" s="413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51" t="s">
        <v>23</v>
      </c>
      <c r="C108" s="552"/>
      <c r="D108" s="552"/>
      <c r="E108" s="552"/>
      <c r="F108" s="552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1">
        <f t="shared" si="21"/>
        <v>121359662.16838756</v>
      </c>
      <c r="T108" s="414">
        <f t="shared" si="22"/>
        <v>2.60253654022915E-2</v>
      </c>
    </row>
    <row r="109" spans="1:21">
      <c r="A109" s="116" t="str">
        <f t="shared" si="18"/>
        <v>7112p</v>
      </c>
      <c r="B109" s="551" t="s">
        <v>25</v>
      </c>
      <c r="C109" s="552"/>
      <c r="D109" s="552"/>
      <c r="E109" s="552"/>
      <c r="F109" s="552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1">
        <f t="shared" si="21"/>
        <v>61678365.370406665</v>
      </c>
      <c r="T109" s="414">
        <f t="shared" si="22"/>
        <v>1.3226816616823178E-2</v>
      </c>
    </row>
    <row r="110" spans="1:21">
      <c r="A110" s="116" t="str">
        <f t="shared" si="18"/>
        <v>7113p</v>
      </c>
      <c r="B110" s="551" t="s">
        <v>27</v>
      </c>
      <c r="C110" s="552"/>
      <c r="D110" s="552"/>
      <c r="E110" s="552"/>
      <c r="F110" s="552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1">
        <f t="shared" si="21"/>
        <v>1854898.1305385595</v>
      </c>
      <c r="T110" s="414">
        <f t="shared" si="22"/>
        <v>3.9777963096430068E-4</v>
      </c>
    </row>
    <row r="111" spans="1:21">
      <c r="A111" s="116" t="str">
        <f t="shared" si="18"/>
        <v>7114p</v>
      </c>
      <c r="B111" s="551" t="s">
        <v>29</v>
      </c>
      <c r="C111" s="552"/>
      <c r="D111" s="552"/>
      <c r="E111" s="552"/>
      <c r="F111" s="552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1">
        <f t="shared" si="21"/>
        <v>624391782.02119482</v>
      </c>
      <c r="T111" s="414">
        <f t="shared" si="22"/>
        <v>0.13389971586063326</v>
      </c>
    </row>
    <row r="112" spans="1:21">
      <c r="A112" s="116" t="str">
        <f t="shared" si="18"/>
        <v>7115p</v>
      </c>
      <c r="B112" s="551" t="s">
        <v>31</v>
      </c>
      <c r="C112" s="552"/>
      <c r="D112" s="552"/>
      <c r="E112" s="552"/>
      <c r="F112" s="552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1">
        <f t="shared" si="21"/>
        <v>232697830.94442701</v>
      </c>
      <c r="T112" s="414">
        <f t="shared" si="22"/>
        <v>4.9901639230393965E-2</v>
      </c>
    </row>
    <row r="113" spans="1:20">
      <c r="A113" s="116" t="str">
        <f t="shared" si="18"/>
        <v>7116p</v>
      </c>
      <c r="B113" s="551" t="s">
        <v>33</v>
      </c>
      <c r="C113" s="552"/>
      <c r="D113" s="552"/>
      <c r="E113" s="552"/>
      <c r="F113" s="552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1">
        <f t="shared" si="21"/>
        <v>26860004.877748117</v>
      </c>
      <c r="T113" s="414">
        <f t="shared" si="22"/>
        <v>5.7600806492094613E-3</v>
      </c>
    </row>
    <row r="114" spans="1:20">
      <c r="A114" s="116" t="str">
        <f t="shared" si="18"/>
        <v>7118p</v>
      </c>
      <c r="B114" s="551" t="s">
        <v>722</v>
      </c>
      <c r="C114" s="552"/>
      <c r="D114" s="552"/>
      <c r="E114" s="552"/>
      <c r="F114" s="552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1">
        <f t="shared" si="21"/>
        <v>9554645.8844855782</v>
      </c>
      <c r="T114" s="414">
        <f t="shared" si="22"/>
        <v>2.0489769499210998E-3</v>
      </c>
    </row>
    <row r="115" spans="1:20">
      <c r="A115" s="116" t="str">
        <f t="shared" si="18"/>
        <v>712p</v>
      </c>
      <c r="B115" s="559" t="s">
        <v>37</v>
      </c>
      <c r="C115" s="560"/>
      <c r="D115" s="560"/>
      <c r="E115" s="560"/>
      <c r="F115" s="560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2">
        <f t="shared" si="21"/>
        <v>522253828.92039472</v>
      </c>
      <c r="T115" s="415">
        <f t="shared" si="22"/>
        <v>0.1119964120495021</v>
      </c>
    </row>
    <row r="116" spans="1:20">
      <c r="A116" s="116" t="str">
        <f t="shared" si="18"/>
        <v>7121p</v>
      </c>
      <c r="B116" s="551" t="s">
        <v>39</v>
      </c>
      <c r="C116" s="552"/>
      <c r="D116" s="552"/>
      <c r="E116" s="552"/>
      <c r="F116" s="552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1">
        <f t="shared" si="21"/>
        <v>314496114.9625507</v>
      </c>
      <c r="T116" s="414">
        <f t="shared" si="22"/>
        <v>6.7443136897867031E-2</v>
      </c>
    </row>
    <row r="117" spans="1:20">
      <c r="A117" s="116" t="str">
        <f t="shared" si="18"/>
        <v>7122p</v>
      </c>
      <c r="B117" s="551" t="s">
        <v>41</v>
      </c>
      <c r="C117" s="552"/>
      <c r="D117" s="552"/>
      <c r="E117" s="552"/>
      <c r="F117" s="552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1">
        <f t="shared" si="21"/>
        <v>180896074.44659218</v>
      </c>
      <c r="T117" s="414">
        <f t="shared" si="22"/>
        <v>3.8792843958155181E-2</v>
      </c>
    </row>
    <row r="118" spans="1:20">
      <c r="A118" s="116" t="str">
        <f t="shared" si="18"/>
        <v>7123p</v>
      </c>
      <c r="B118" s="551" t="s">
        <v>43</v>
      </c>
      <c r="C118" s="552"/>
      <c r="D118" s="552"/>
      <c r="E118" s="552"/>
      <c r="F118" s="552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1">
        <f t="shared" si="21"/>
        <v>14149151.623339836</v>
      </c>
      <c r="T118" s="414">
        <f t="shared" si="22"/>
        <v>3.0342605982118954E-3</v>
      </c>
    </row>
    <row r="119" spans="1:20">
      <c r="A119" s="116" t="str">
        <f t="shared" si="18"/>
        <v>7124p</v>
      </c>
      <c r="B119" s="551" t="s">
        <v>45</v>
      </c>
      <c r="C119" s="552"/>
      <c r="D119" s="552"/>
      <c r="E119" s="552"/>
      <c r="F119" s="552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1">
        <f t="shared" si="21"/>
        <v>12712487.887912013</v>
      </c>
      <c r="T119" s="414">
        <f t="shared" si="22"/>
        <v>2.7261705952679881E-3</v>
      </c>
    </row>
    <row r="120" spans="1:20">
      <c r="A120" s="116" t="str">
        <f t="shared" si="18"/>
        <v>713p</v>
      </c>
      <c r="B120" s="557" t="s">
        <v>47</v>
      </c>
      <c r="C120" s="558"/>
      <c r="D120" s="558"/>
      <c r="E120" s="558"/>
      <c r="F120" s="558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2">
        <f t="shared" si="21"/>
        <v>17700468.388223864</v>
      </c>
      <c r="T120" s="415">
        <f t="shared" si="22"/>
        <v>3.7958342118327958E-3</v>
      </c>
    </row>
    <row r="121" spans="1:20">
      <c r="A121" s="116" t="str">
        <f t="shared" si="18"/>
        <v>714p</v>
      </c>
      <c r="B121" s="557" t="s">
        <v>61</v>
      </c>
      <c r="C121" s="558"/>
      <c r="D121" s="558"/>
      <c r="E121" s="558"/>
      <c r="F121" s="558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2">
        <f t="shared" si="21"/>
        <v>28128126.097135291</v>
      </c>
      <c r="T121" s="415">
        <f t="shared" si="22"/>
        <v>6.0320270069964361E-3</v>
      </c>
    </row>
    <row r="122" spans="1:20">
      <c r="A122" s="116" t="str">
        <f t="shared" si="18"/>
        <v>715p</v>
      </c>
      <c r="B122" s="557" t="s">
        <v>81</v>
      </c>
      <c r="C122" s="558"/>
      <c r="D122" s="558"/>
      <c r="E122" s="558"/>
      <c r="F122" s="558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2">
        <f t="shared" si="21"/>
        <v>71732904.669780642</v>
      </c>
      <c r="T122" s="415">
        <f t="shared" si="22"/>
        <v>1.5382994827461522E-2</v>
      </c>
    </row>
    <row r="123" spans="1:20">
      <c r="A123" s="116" t="str">
        <f t="shared" si="18"/>
        <v>73p</v>
      </c>
      <c r="B123" s="557" t="s">
        <v>99</v>
      </c>
      <c r="C123" s="558"/>
      <c r="D123" s="558"/>
      <c r="E123" s="558"/>
      <c r="F123" s="558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2">
        <f t="shared" si="21"/>
        <v>7262314.2406375092</v>
      </c>
      <c r="T123" s="415">
        <f t="shared" si="22"/>
        <v>1.5573904739171992E-3</v>
      </c>
    </row>
    <row r="124" spans="1:20" ht="13.5" thickBot="1">
      <c r="A124" s="116" t="str">
        <f t="shared" si="18"/>
        <v>74p</v>
      </c>
      <c r="B124" s="553" t="s">
        <v>105</v>
      </c>
      <c r="C124" s="554"/>
      <c r="D124" s="554"/>
      <c r="E124" s="554"/>
      <c r="F124" s="554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3">
        <f t="shared" si="21"/>
        <v>31528389.420852099</v>
      </c>
      <c r="T124" s="416">
        <f t="shared" si="22"/>
        <v>6.7612074767060106E-3</v>
      </c>
    </row>
    <row r="125" spans="1:20" ht="13.5" thickBot="1">
      <c r="A125" s="116" t="str">
        <f t="shared" si="18"/>
        <v>4p</v>
      </c>
      <c r="B125" s="535" t="s">
        <v>811</v>
      </c>
      <c r="C125" s="536"/>
      <c r="D125" s="536"/>
      <c r="E125" s="536"/>
      <c r="F125" s="536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4">
        <f>+SUM(G125:R125)</f>
        <v>1899843074.6966665</v>
      </c>
      <c r="T125" s="417">
        <f t="shared" si="22"/>
        <v>0.40741799492972885</v>
      </c>
    </row>
    <row r="126" spans="1:20" ht="13.5" thickBot="1">
      <c r="A126" s="116" t="str">
        <f t="shared" si="18"/>
        <v>40p</v>
      </c>
      <c r="B126" s="593" t="s">
        <v>774</v>
      </c>
      <c r="C126" s="594"/>
      <c r="D126" s="594"/>
      <c r="E126" s="594"/>
      <c r="F126" s="594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5">
        <f t="shared" si="21"/>
        <v>1610768074.6999998</v>
      </c>
      <c r="T126" s="418">
        <f t="shared" si="22"/>
        <v>0.34542637127851888</v>
      </c>
    </row>
    <row r="127" spans="1:20">
      <c r="A127" s="116" t="str">
        <f t="shared" si="18"/>
        <v>41p</v>
      </c>
      <c r="B127" s="555" t="s">
        <v>120</v>
      </c>
      <c r="C127" s="556"/>
      <c r="D127" s="556"/>
      <c r="E127" s="556"/>
      <c r="F127" s="556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400">
        <f t="shared" si="21"/>
        <v>812630572.90999997</v>
      </c>
      <c r="T127" s="413">
        <f t="shared" si="22"/>
        <v>0.17426719240295679</v>
      </c>
    </row>
    <row r="128" spans="1:20">
      <c r="A128" s="116" t="str">
        <f t="shared" si="18"/>
        <v>411p</v>
      </c>
      <c r="B128" s="551" t="s">
        <v>122</v>
      </c>
      <c r="C128" s="552"/>
      <c r="D128" s="552"/>
      <c r="E128" s="552"/>
      <c r="F128" s="552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1">
        <f t="shared" si="21"/>
        <v>461973796.46999985</v>
      </c>
      <c r="T128" s="414">
        <f t="shared" si="22"/>
        <v>9.9069465459894937E-2</v>
      </c>
    </row>
    <row r="129" spans="1:20">
      <c r="A129" s="116" t="str">
        <f t="shared" si="18"/>
        <v>412p</v>
      </c>
      <c r="B129" s="551" t="s">
        <v>133</v>
      </c>
      <c r="C129" s="552"/>
      <c r="D129" s="552"/>
      <c r="E129" s="552"/>
      <c r="F129" s="552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1">
        <f t="shared" si="21"/>
        <v>13262623.179999996</v>
      </c>
      <c r="T129" s="414">
        <f t="shared" si="22"/>
        <v>2.8441461378945036E-3</v>
      </c>
    </row>
    <row r="130" spans="1:20">
      <c r="A130" s="116" t="str">
        <f t="shared" si="18"/>
        <v>413p</v>
      </c>
      <c r="B130" s="551" t="s">
        <v>148</v>
      </c>
      <c r="C130" s="552"/>
      <c r="D130" s="552"/>
      <c r="E130" s="552"/>
      <c r="F130" s="552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1">
        <f t="shared" si="21"/>
        <v>39682213.5</v>
      </c>
      <c r="T130" s="414">
        <f t="shared" si="22"/>
        <v>8.5097806623448194E-3</v>
      </c>
    </row>
    <row r="131" spans="1:20">
      <c r="A131" s="116" t="str">
        <f t="shared" si="18"/>
        <v>414p</v>
      </c>
      <c r="B131" s="551" t="s">
        <v>162</v>
      </c>
      <c r="C131" s="552"/>
      <c r="D131" s="552"/>
      <c r="E131" s="552"/>
      <c r="F131" s="552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1">
        <f t="shared" si="21"/>
        <v>58741932.939999998</v>
      </c>
      <c r="T131" s="414">
        <f t="shared" si="22"/>
        <v>1.2597103863713857E-2</v>
      </c>
    </row>
    <row r="132" spans="1:20">
      <c r="A132" s="116" t="str">
        <f t="shared" si="18"/>
        <v>415p</v>
      </c>
      <c r="B132" s="551" t="s">
        <v>182</v>
      </c>
      <c r="C132" s="552"/>
      <c r="D132" s="552"/>
      <c r="E132" s="552"/>
      <c r="F132" s="552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1">
        <f t="shared" si="21"/>
        <v>22285486.810000002</v>
      </c>
      <c r="T132" s="414">
        <f t="shared" si="22"/>
        <v>4.7790833217173879E-3</v>
      </c>
    </row>
    <row r="133" spans="1:20">
      <c r="A133" s="116" t="str">
        <f t="shared" si="18"/>
        <v>416p</v>
      </c>
      <c r="B133" s="551" t="s">
        <v>190</v>
      </c>
      <c r="C133" s="552"/>
      <c r="D133" s="552"/>
      <c r="E133" s="552"/>
      <c r="F133" s="552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1">
        <f t="shared" si="21"/>
        <v>87442700</v>
      </c>
      <c r="T133" s="414">
        <f t="shared" si="22"/>
        <v>1.8751932714721656E-2</v>
      </c>
    </row>
    <row r="134" spans="1:20">
      <c r="A134" s="116" t="str">
        <f t="shared" si="18"/>
        <v>417p</v>
      </c>
      <c r="B134" s="551" t="s">
        <v>196</v>
      </c>
      <c r="C134" s="552"/>
      <c r="D134" s="552"/>
      <c r="E134" s="552"/>
      <c r="F134" s="552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1">
        <f t="shared" si="21"/>
        <v>10344524.66</v>
      </c>
      <c r="T134" s="414">
        <f t="shared" si="22"/>
        <v>2.2183650595201079E-3</v>
      </c>
    </row>
    <row r="135" spans="1:20">
      <c r="A135" s="116" t="str">
        <f t="shared" si="18"/>
        <v>418p</v>
      </c>
      <c r="B135" s="551" t="s">
        <v>204</v>
      </c>
      <c r="C135" s="552"/>
      <c r="D135" s="552"/>
      <c r="E135" s="552"/>
      <c r="F135" s="552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1">
        <f t="shared" si="21"/>
        <v>26731800.000000011</v>
      </c>
      <c r="T135" s="414">
        <f t="shared" si="22"/>
        <v>5.7325873394050804E-3</v>
      </c>
    </row>
    <row r="136" spans="1:20">
      <c r="A136" s="116" t="str">
        <f t="shared" si="18"/>
        <v>419p</v>
      </c>
      <c r="B136" s="551" t="s">
        <v>212</v>
      </c>
      <c r="C136" s="552"/>
      <c r="D136" s="552"/>
      <c r="E136" s="552"/>
      <c r="F136" s="552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1">
        <f t="shared" si="21"/>
        <v>39317929.93</v>
      </c>
      <c r="T136" s="414">
        <f t="shared" si="22"/>
        <v>8.4316606935684827E-3</v>
      </c>
    </row>
    <row r="137" spans="1:20">
      <c r="A137" s="116" t="str">
        <f t="shared" si="18"/>
        <v>440p</v>
      </c>
      <c r="B137" s="551" t="s">
        <v>803</v>
      </c>
      <c r="C137" s="552"/>
      <c r="D137" s="552"/>
      <c r="E137" s="552"/>
      <c r="F137" s="552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1">
        <f t="shared" si="21"/>
        <v>52847565.419999987</v>
      </c>
      <c r="T137" s="414">
        <f t="shared" si="22"/>
        <v>1.1333067150175952E-2</v>
      </c>
    </row>
    <row r="138" spans="1:20">
      <c r="A138" s="116" t="str">
        <f t="shared" si="18"/>
        <v>42p</v>
      </c>
      <c r="B138" s="547" t="s">
        <v>230</v>
      </c>
      <c r="C138" s="548"/>
      <c r="D138" s="548"/>
      <c r="E138" s="548"/>
      <c r="F138" s="548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2">
        <f t="shared" si="21"/>
        <v>558932773.86000013</v>
      </c>
      <c r="T138" s="415">
        <f t="shared" si="22"/>
        <v>0.11986214706859988</v>
      </c>
    </row>
    <row r="139" spans="1:20">
      <c r="A139" s="116" t="str">
        <f t="shared" si="18"/>
        <v>421p</v>
      </c>
      <c r="B139" s="551" t="s">
        <v>232</v>
      </c>
      <c r="C139" s="552"/>
      <c r="D139" s="552"/>
      <c r="E139" s="552"/>
      <c r="F139" s="552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1">
        <f t="shared" si="21"/>
        <v>82786083.909999996</v>
      </c>
      <c r="T139" s="414">
        <f t="shared" si="22"/>
        <v>1.7753329611226793E-2</v>
      </c>
    </row>
    <row r="140" spans="1:20">
      <c r="A140" s="116" t="str">
        <f t="shared" si="18"/>
        <v>422p</v>
      </c>
      <c r="B140" s="551" t="s">
        <v>248</v>
      </c>
      <c r="C140" s="552"/>
      <c r="D140" s="552"/>
      <c r="E140" s="552"/>
      <c r="F140" s="552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1">
        <f t="shared" si="21"/>
        <v>17298799.519999992</v>
      </c>
      <c r="T140" s="414">
        <f t="shared" si="22"/>
        <v>3.7096970318219718E-3</v>
      </c>
    </row>
    <row r="141" spans="1:20">
      <c r="A141" s="116" t="str">
        <f t="shared" si="18"/>
        <v>423p</v>
      </c>
      <c r="B141" s="551" t="s">
        <v>259</v>
      </c>
      <c r="C141" s="552"/>
      <c r="D141" s="552"/>
      <c r="E141" s="552"/>
      <c r="F141" s="552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1">
        <f t="shared" si="21"/>
        <v>425672790.43000013</v>
      </c>
      <c r="T141" s="414">
        <f t="shared" si="22"/>
        <v>9.1284778770911415E-2</v>
      </c>
    </row>
    <row r="142" spans="1:20">
      <c r="A142" s="116" t="str">
        <f t="shared" si="18"/>
        <v>424p</v>
      </c>
      <c r="B142" s="551" t="s">
        <v>274</v>
      </c>
      <c r="C142" s="552"/>
      <c r="D142" s="552"/>
      <c r="E142" s="552"/>
      <c r="F142" s="552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1">
        <f t="shared" si="21"/>
        <v>19000099.999999996</v>
      </c>
      <c r="T142" s="414">
        <f t="shared" si="22"/>
        <v>4.0745379176647433E-3</v>
      </c>
    </row>
    <row r="143" spans="1:20">
      <c r="A143" s="116" t="str">
        <f t="shared" si="18"/>
        <v>425p</v>
      </c>
      <c r="B143" s="551" t="s">
        <v>278</v>
      </c>
      <c r="C143" s="552"/>
      <c r="D143" s="552"/>
      <c r="E143" s="552"/>
      <c r="F143" s="552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1">
        <f t="shared" si="21"/>
        <v>14175000.000000002</v>
      </c>
      <c r="T143" s="414">
        <f t="shared" si="22"/>
        <v>3.0398037369749509E-3</v>
      </c>
    </row>
    <row r="144" spans="1:20">
      <c r="A144" s="116" t="str">
        <f t="shared" si="18"/>
        <v>43p</v>
      </c>
      <c r="B144" s="549" t="s">
        <v>286</v>
      </c>
      <c r="C144" s="550"/>
      <c r="D144" s="550"/>
      <c r="E144" s="550"/>
      <c r="F144" s="550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2">
        <f>+SUM(G144:R144)</f>
        <v>206684238.69</v>
      </c>
      <c r="T144" s="415">
        <f t="shared" si="22"/>
        <v>4.4323070274686745E-2</v>
      </c>
    </row>
    <row r="145" spans="1:20">
      <c r="A145" s="116" t="str">
        <f t="shared" si="18"/>
        <v>44p</v>
      </c>
      <c r="B145" s="549" t="s">
        <v>812</v>
      </c>
      <c r="C145" s="550"/>
      <c r="D145" s="550"/>
      <c r="E145" s="550"/>
      <c r="F145" s="550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2">
        <f t="shared" si="21"/>
        <v>289074999.99666673</v>
      </c>
      <c r="T145" s="415">
        <f t="shared" si="22"/>
        <v>6.1991623651209964E-2</v>
      </c>
    </row>
    <row r="146" spans="1:20">
      <c r="A146" s="116" t="str">
        <f t="shared" si="18"/>
        <v>451p</v>
      </c>
      <c r="B146" s="541" t="s">
        <v>113</v>
      </c>
      <c r="C146" s="542"/>
      <c r="D146" s="542"/>
      <c r="E146" s="542"/>
      <c r="F146" s="542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1">
        <f t="shared" si="21"/>
        <v>2875000.9999999995</v>
      </c>
      <c r="T146" s="414">
        <f t="shared" si="22"/>
        <v>6.1653889125973314E-4</v>
      </c>
    </row>
    <row r="147" spans="1:20">
      <c r="A147" s="116" t="str">
        <f t="shared" si="18"/>
        <v>47p</v>
      </c>
      <c r="B147" s="541" t="s">
        <v>366</v>
      </c>
      <c r="C147" s="542"/>
      <c r="D147" s="542"/>
      <c r="E147" s="542"/>
      <c r="F147" s="542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1">
        <f t="shared" si="21"/>
        <v>29645488.240000002</v>
      </c>
      <c r="T147" s="414">
        <f t="shared" si="22"/>
        <v>6.3574226410157992E-3</v>
      </c>
    </row>
    <row r="148" spans="1:20">
      <c r="A148" s="116" t="str">
        <f t="shared" si="18"/>
        <v>462p</v>
      </c>
      <c r="B148" s="541" t="s">
        <v>359</v>
      </c>
      <c r="C148" s="542"/>
      <c r="D148" s="542"/>
      <c r="E148" s="542"/>
      <c r="F148" s="542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1">
        <f t="shared" si="21"/>
        <v>0</v>
      </c>
      <c r="T148" s="414">
        <f t="shared" si="22"/>
        <v>0</v>
      </c>
    </row>
    <row r="149" spans="1:20" ht="13.5" thickBot="1">
      <c r="A149" s="116"/>
      <c r="B149" s="367" t="s">
        <v>686</v>
      </c>
      <c r="C149" s="368"/>
      <c r="D149" s="368"/>
      <c r="E149" s="368"/>
      <c r="F149" s="368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2">
        <f>SUM(G149:R149)</f>
        <v>0</v>
      </c>
      <c r="T149" s="377">
        <f t="shared" si="22"/>
        <v>0</v>
      </c>
    </row>
    <row r="150" spans="1:20" ht="13.5" thickBot="1">
      <c r="A150" s="117" t="str">
        <f>+CONCATENATE(A55,"p")</f>
        <v>1000p</v>
      </c>
      <c r="B150" s="543" t="s">
        <v>545</v>
      </c>
      <c r="C150" s="544"/>
      <c r="D150" s="544"/>
      <c r="E150" s="544"/>
      <c r="F150" s="544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7">
        <f t="shared" si="21"/>
        <v>-142839853.56245428</v>
      </c>
      <c r="T150" s="420">
        <f t="shared" si="22"/>
        <v>-3.0631754543076064E-2</v>
      </c>
    </row>
    <row r="151" spans="1:20" ht="13.5" thickBot="1">
      <c r="A151" s="117" t="str">
        <f>+CONCATENATE(A57,"p")</f>
        <v>1001p</v>
      </c>
      <c r="B151" s="545" t="s">
        <v>813</v>
      </c>
      <c r="C151" s="546"/>
      <c r="D151" s="546"/>
      <c r="E151" s="546"/>
      <c r="F151" s="546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7">
        <f t="shared" si="21"/>
        <v>-55397153.562454268</v>
      </c>
      <c r="T151" s="420">
        <f t="shared" si="22"/>
        <v>-1.1879821828354403E-2</v>
      </c>
    </row>
    <row r="152" spans="1:20">
      <c r="A152" s="117" t="str">
        <f>+CONCATENATE(A58,"p")</f>
        <v>46p</v>
      </c>
      <c r="B152" s="547" t="s">
        <v>352</v>
      </c>
      <c r="C152" s="548"/>
      <c r="D152" s="548"/>
      <c r="E152" s="548"/>
      <c r="F152" s="548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8">
        <f t="shared" si="21"/>
        <v>542432774.80999994</v>
      </c>
      <c r="T152" s="421">
        <f t="shared" si="22"/>
        <v>0.11632375138801619</v>
      </c>
    </row>
    <row r="153" spans="1:20">
      <c r="A153" s="117" t="str">
        <f>+CONCATENATE(A59,"p")</f>
        <v>4611p</v>
      </c>
      <c r="B153" s="539" t="s">
        <v>355</v>
      </c>
      <c r="C153" s="540"/>
      <c r="D153" s="540"/>
      <c r="E153" s="540"/>
      <c r="F153" s="540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6">
        <f t="shared" si="21"/>
        <v>50688279.809999995</v>
      </c>
      <c r="T153" s="419">
        <f t="shared" si="22"/>
        <v>1.0870012161359429E-2</v>
      </c>
    </row>
    <row r="154" spans="1:20">
      <c r="A154" s="117" t="str">
        <f>+CONCATENATE(A60,"p")</f>
        <v>4612p</v>
      </c>
      <c r="B154" s="541" t="s">
        <v>357</v>
      </c>
      <c r="C154" s="542"/>
      <c r="D154" s="542"/>
      <c r="E154" s="542"/>
      <c r="F154" s="542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6">
        <f t="shared" si="21"/>
        <v>461500000</v>
      </c>
      <c r="T154" s="419">
        <f t="shared" si="22"/>
        <v>9.8967860642958705E-2</v>
      </c>
    </row>
    <row r="155" spans="1:20">
      <c r="A155" s="117" t="str">
        <f>+CONCATENATE(A53,"p")</f>
        <v>4630p</v>
      </c>
      <c r="B155" s="541" t="s">
        <v>365</v>
      </c>
      <c r="C155" s="542"/>
      <c r="D155" s="542"/>
      <c r="E155" s="542"/>
      <c r="F155" s="542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6">
        <f t="shared" si="21"/>
        <v>30244495.000000015</v>
      </c>
      <c r="T155" s="419">
        <f t="shared" si="22"/>
        <v>6.4858785836980773E-3</v>
      </c>
    </row>
    <row r="156" spans="1:20" ht="13.5" thickBot="1">
      <c r="A156" s="117"/>
      <c r="B156" s="367" t="s">
        <v>770</v>
      </c>
      <c r="C156" s="368"/>
      <c r="D156" s="368"/>
      <c r="E156" s="368"/>
      <c r="F156" s="368"/>
      <c r="G156" s="339">
        <v>0</v>
      </c>
      <c r="H156" s="339">
        <v>0</v>
      </c>
      <c r="I156" s="339">
        <v>0</v>
      </c>
      <c r="J156" s="339">
        <v>0</v>
      </c>
      <c r="K156" s="339">
        <v>70000000</v>
      </c>
      <c r="L156" s="339">
        <v>0</v>
      </c>
      <c r="M156" s="339">
        <v>0</v>
      </c>
      <c r="N156" s="339">
        <v>0</v>
      </c>
      <c r="O156" s="339">
        <v>0</v>
      </c>
      <c r="P156" s="339">
        <v>0</v>
      </c>
      <c r="Q156" s="339">
        <v>0</v>
      </c>
      <c r="R156" s="339">
        <v>0</v>
      </c>
      <c r="S156" s="406">
        <f t="shared" si="21"/>
        <v>70000000</v>
      </c>
      <c r="T156" s="419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37" t="s">
        <v>543</v>
      </c>
      <c r="C157" s="538"/>
      <c r="D157" s="538"/>
      <c r="E157" s="538"/>
      <c r="F157" s="538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9">
        <f t="shared" si="21"/>
        <v>-755272628.37245417</v>
      </c>
      <c r="T157" s="422">
        <f t="shared" si="22"/>
        <v>-0.16196688240998089</v>
      </c>
    </row>
    <row r="158" spans="1:20" ht="13.5" thickBot="1">
      <c r="A158" s="117" t="str">
        <f t="shared" si="31"/>
        <v>1003p</v>
      </c>
      <c r="B158" s="535" t="s">
        <v>544</v>
      </c>
      <c r="C158" s="536"/>
      <c r="D158" s="536"/>
      <c r="E158" s="536"/>
      <c r="F158" s="536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10">
        <f t="shared" si="21"/>
        <v>755272628.37245417</v>
      </c>
      <c r="T158" s="423">
        <f t="shared" si="22"/>
        <v>0.16196688240998089</v>
      </c>
    </row>
    <row r="159" spans="1:20">
      <c r="A159" s="117" t="str">
        <f t="shared" si="31"/>
        <v>7511p</v>
      </c>
      <c r="B159" s="539" t="s">
        <v>114</v>
      </c>
      <c r="C159" s="540"/>
      <c r="D159" s="540"/>
      <c r="E159" s="540"/>
      <c r="F159" s="540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6">
        <f t="shared" si="21"/>
        <v>0</v>
      </c>
      <c r="T159" s="419">
        <f t="shared" si="22"/>
        <v>0</v>
      </c>
    </row>
    <row r="160" spans="1:20">
      <c r="A160" s="117" t="str">
        <f t="shared" si="31"/>
        <v>7512p</v>
      </c>
      <c r="B160" s="541" t="s">
        <v>116</v>
      </c>
      <c r="C160" s="542"/>
      <c r="D160" s="542"/>
      <c r="E160" s="542"/>
      <c r="F160" s="542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6">
        <f t="shared" si="21"/>
        <v>739264348.56578732</v>
      </c>
      <c r="T160" s="419">
        <f t="shared" si="22"/>
        <v>0.15853393505344851</v>
      </c>
    </row>
    <row r="161" spans="1:20">
      <c r="A161" s="117" t="str">
        <f t="shared" si="31"/>
        <v>72p</v>
      </c>
      <c r="B161" s="541" t="s">
        <v>93</v>
      </c>
      <c r="C161" s="542"/>
      <c r="D161" s="542"/>
      <c r="E161" s="542"/>
      <c r="F161" s="542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6">
        <f t="shared" si="21"/>
        <v>16000000</v>
      </c>
      <c r="T161" s="419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1">
        <f t="shared" si="21"/>
        <v>8279.8066668957472</v>
      </c>
      <c r="T162" s="424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R48" activePane="bottomRight" state="frozen"/>
      <selection pane="topRight" activeCell="F1" sqref="F1"/>
      <selection pane="bottomLeft" activeCell="A8" sqref="A8"/>
      <selection pane="bottomRight" activeCell="FR55" sqref="FR55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2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02" t="s">
        <v>555</v>
      </c>
      <c r="F6" s="599">
        <v>2006</v>
      </c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1"/>
      <c r="R6" s="599">
        <v>2007</v>
      </c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1"/>
      <c r="AD6" s="599">
        <v>2008</v>
      </c>
      <c r="AE6" s="600"/>
      <c r="AF6" s="600"/>
      <c r="AG6" s="600"/>
      <c r="AH6" s="600"/>
      <c r="AI6" s="600"/>
      <c r="AJ6" s="600"/>
      <c r="AK6" s="600"/>
      <c r="AL6" s="600"/>
      <c r="AM6" s="600"/>
      <c r="AN6" s="600"/>
      <c r="AO6" s="601"/>
      <c r="AP6" s="599">
        <v>2009</v>
      </c>
      <c r="AQ6" s="600"/>
      <c r="AR6" s="600"/>
      <c r="AS6" s="600"/>
      <c r="AT6" s="600"/>
      <c r="AU6" s="600"/>
      <c r="AV6" s="600"/>
      <c r="AW6" s="600"/>
      <c r="AX6" s="600"/>
      <c r="AY6" s="600"/>
      <c r="AZ6" s="600"/>
      <c r="BA6" s="601"/>
      <c r="BB6" s="599">
        <v>2010</v>
      </c>
      <c r="BC6" s="600"/>
      <c r="BD6" s="600"/>
      <c r="BE6" s="600"/>
      <c r="BF6" s="600"/>
      <c r="BG6" s="600"/>
      <c r="BH6" s="600"/>
      <c r="BI6" s="600"/>
      <c r="BJ6" s="600"/>
      <c r="BK6" s="600"/>
      <c r="BL6" s="600"/>
      <c r="BM6" s="601"/>
      <c r="BN6" s="599">
        <v>2011</v>
      </c>
      <c r="BO6" s="600"/>
      <c r="BP6" s="600"/>
      <c r="BQ6" s="600"/>
      <c r="BR6" s="600"/>
      <c r="BS6" s="600"/>
      <c r="BT6" s="600"/>
      <c r="BU6" s="600"/>
      <c r="BV6" s="600"/>
      <c r="BW6" s="600"/>
      <c r="BX6" s="600"/>
      <c r="BY6" s="601"/>
      <c r="BZ6" s="600">
        <v>2012</v>
      </c>
      <c r="CA6" s="600"/>
      <c r="CB6" s="600"/>
      <c r="CC6" s="600"/>
      <c r="CD6" s="600"/>
      <c r="CE6" s="600"/>
      <c r="CF6" s="600"/>
      <c r="CG6" s="600"/>
      <c r="CH6" s="600"/>
      <c r="CI6" s="600"/>
      <c r="CJ6" s="600"/>
      <c r="CK6" s="600"/>
      <c r="CL6" s="599">
        <v>2013</v>
      </c>
      <c r="CM6" s="600"/>
      <c r="CN6" s="600"/>
      <c r="CO6" s="600"/>
      <c r="CP6" s="600"/>
      <c r="CQ6" s="600"/>
      <c r="CR6" s="600"/>
      <c r="CS6" s="600"/>
      <c r="CT6" s="600"/>
      <c r="CU6" s="600"/>
      <c r="CV6" s="600"/>
      <c r="CW6" s="601"/>
      <c r="CX6" s="599">
        <v>2014</v>
      </c>
      <c r="CY6" s="600"/>
      <c r="CZ6" s="600"/>
      <c r="DA6" s="600"/>
      <c r="DB6" s="600"/>
      <c r="DC6" s="600"/>
      <c r="DD6" s="600"/>
      <c r="DE6" s="600"/>
      <c r="DF6" s="600"/>
      <c r="DG6" s="600"/>
      <c r="DH6" s="600"/>
      <c r="DI6" s="601"/>
      <c r="DJ6" s="599">
        <v>2015</v>
      </c>
      <c r="DK6" s="600"/>
      <c r="DL6" s="600"/>
      <c r="DM6" s="600"/>
      <c r="DN6" s="600"/>
      <c r="DO6" s="600"/>
      <c r="DP6" s="600"/>
      <c r="DQ6" s="600"/>
      <c r="DR6" s="600"/>
      <c r="DS6" s="600"/>
      <c r="DT6" s="600"/>
      <c r="DU6" s="601"/>
    </row>
    <row r="7" spans="1:321">
      <c r="E7" s="602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7" t="s">
        <v>742</v>
      </c>
      <c r="EU7" s="317" t="s">
        <v>743</v>
      </c>
      <c r="EV7" s="317" t="s">
        <v>744</v>
      </c>
      <c r="EW7" s="317" t="s">
        <v>745</v>
      </c>
      <c r="EX7" s="317" t="s">
        <v>746</v>
      </c>
      <c r="EY7" s="317" t="s">
        <v>747</v>
      </c>
      <c r="EZ7" s="317" t="s">
        <v>748</v>
      </c>
      <c r="FA7" s="317" t="s">
        <v>749</v>
      </c>
      <c r="FB7" s="317" t="s">
        <v>750</v>
      </c>
      <c r="FC7" s="317" t="s">
        <v>751</v>
      </c>
      <c r="FD7" s="317" t="s">
        <v>752</v>
      </c>
      <c r="FE7" s="317" t="s">
        <v>753</v>
      </c>
      <c r="FF7" s="317" t="s">
        <v>758</v>
      </c>
      <c r="FG7" s="317" t="s">
        <v>759</v>
      </c>
      <c r="FH7" s="317" t="s">
        <v>760</v>
      </c>
      <c r="FI7" s="317" t="s">
        <v>761</v>
      </c>
      <c r="FJ7" s="317" t="s">
        <v>762</v>
      </c>
      <c r="FK7" s="317" t="s">
        <v>763</v>
      </c>
      <c r="FL7" s="317" t="s">
        <v>764</v>
      </c>
      <c r="FM7" s="317" t="s">
        <v>765</v>
      </c>
      <c r="FN7" s="317" t="s">
        <v>766</v>
      </c>
      <c r="FO7" s="317" t="s">
        <v>767</v>
      </c>
      <c r="FP7" s="317" t="s">
        <v>768</v>
      </c>
      <c r="FQ7" s="317" t="s">
        <v>769</v>
      </c>
      <c r="FR7" s="317" t="s">
        <v>777</v>
      </c>
      <c r="FS7" s="317" t="s">
        <v>778</v>
      </c>
      <c r="FT7" s="317" t="s">
        <v>779</v>
      </c>
      <c r="FU7" s="317" t="s">
        <v>780</v>
      </c>
      <c r="FV7" s="317" t="s">
        <v>781</v>
      </c>
      <c r="FW7" s="317" t="s">
        <v>782</v>
      </c>
      <c r="FX7" s="317" t="s">
        <v>783</v>
      </c>
      <c r="FY7" s="317" t="s">
        <v>784</v>
      </c>
      <c r="FZ7" s="317" t="s">
        <v>785</v>
      </c>
      <c r="GA7" s="317" t="s">
        <v>786</v>
      </c>
      <c r="GB7" s="317" t="s">
        <v>787</v>
      </c>
      <c r="GC7" s="317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2">
        <v>79855347.849999994</v>
      </c>
      <c r="EU9" s="352">
        <v>106190042</v>
      </c>
      <c r="EV9" s="352">
        <v>137417391.37</v>
      </c>
      <c r="EW9" s="352">
        <v>147833434.00999999</v>
      </c>
      <c r="EX9" s="352">
        <v>135934065.38</v>
      </c>
      <c r="EY9" s="335"/>
      <c r="EZ9" s="335"/>
      <c r="FA9" s="335"/>
      <c r="FB9" s="335"/>
      <c r="FC9" s="335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3">
        <v>60295851.509999998</v>
      </c>
      <c r="EU10" s="353">
        <v>64797597.329999998</v>
      </c>
      <c r="EV10" s="353">
        <v>89261850.609999999</v>
      </c>
      <c r="EW10" s="353">
        <v>97799793.079999998</v>
      </c>
      <c r="EX10" s="353">
        <v>90553351.069999993</v>
      </c>
      <c r="EY10" s="353">
        <v>87503254.430000007</v>
      </c>
      <c r="EZ10" s="353">
        <v>105015545.47</v>
      </c>
      <c r="FA10" s="353">
        <v>107951400.73999999</v>
      </c>
      <c r="FB10" s="353">
        <v>102839740.52</v>
      </c>
      <c r="FC10" s="353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3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3">
        <f t="shared" ref="FR10:GC10" si="2">SUM(FR11:FR17)</f>
        <v>73320205.209999993</v>
      </c>
      <c r="FS10" s="353">
        <f t="shared" si="2"/>
        <v>69683087.399999991</v>
      </c>
      <c r="FT10" s="353">
        <f t="shared" si="2"/>
        <v>105613736.66000001</v>
      </c>
      <c r="FU10" s="353">
        <f t="shared" si="2"/>
        <v>83521974.920000002</v>
      </c>
      <c r="FV10" s="353">
        <f t="shared" si="2"/>
        <v>69752758.120000005</v>
      </c>
      <c r="FW10" s="353">
        <f t="shared" si="2"/>
        <v>79960950.920000002</v>
      </c>
      <c r="FX10" s="353">
        <f t="shared" si="2"/>
        <v>80621752.299999997</v>
      </c>
      <c r="FY10" s="353">
        <f t="shared" si="2"/>
        <v>79984790.799999997</v>
      </c>
      <c r="FZ10" s="304">
        <f t="shared" si="2"/>
        <v>80764606.50999999</v>
      </c>
      <c r="GA10" s="353">
        <f t="shared" si="2"/>
        <v>81734836.820000008</v>
      </c>
      <c r="GB10" s="353">
        <f t="shared" si="2"/>
        <v>72792310.129999995</v>
      </c>
      <c r="GC10" s="353">
        <f t="shared" si="2"/>
        <v>88352824.489999995</v>
      </c>
      <c r="GD10" s="304"/>
      <c r="GE10" s="353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2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2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2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2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2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2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2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2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2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2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2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2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2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2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3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3">
        <f t="shared" ref="FR18:GC18" si="3">SUM(FR19:FR22)</f>
        <v>15749286.220000001</v>
      </c>
      <c r="FS18" s="353">
        <f t="shared" si="3"/>
        <v>42574769.890000001</v>
      </c>
      <c r="FT18" s="353">
        <f t="shared" si="3"/>
        <v>44888756.57</v>
      </c>
      <c r="FU18" s="353">
        <f t="shared" si="3"/>
        <v>33882602.5</v>
      </c>
      <c r="FV18" s="353">
        <f t="shared" si="3"/>
        <v>40418289.450000003</v>
      </c>
      <c r="FW18" s="353">
        <f t="shared" si="3"/>
        <v>42892419.090000004</v>
      </c>
      <c r="FX18" s="353">
        <f t="shared" si="3"/>
        <v>45009811.700000003</v>
      </c>
      <c r="FY18" s="353">
        <f t="shared" si="3"/>
        <v>51984938.960000001</v>
      </c>
      <c r="FZ18" s="304">
        <f t="shared" si="3"/>
        <v>42439853.439999998</v>
      </c>
      <c r="GA18" s="353">
        <f t="shared" si="3"/>
        <v>46766265.019999996</v>
      </c>
      <c r="GB18" s="353">
        <f t="shared" si="3"/>
        <v>43869251.589999996</v>
      </c>
      <c r="GC18" s="353">
        <f t="shared" si="3"/>
        <v>80544326.960000008</v>
      </c>
      <c r="GD18" s="304"/>
      <c r="GE18" s="353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2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2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2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2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2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2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2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2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3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3">
        <f t="shared" ref="FR23:GC23" si="5">SUM(FR24:FR27)</f>
        <v>711811.51</v>
      </c>
      <c r="FS23" s="353">
        <f t="shared" si="5"/>
        <v>845756.92</v>
      </c>
      <c r="FT23" s="353">
        <f t="shared" si="5"/>
        <v>815406.19</v>
      </c>
      <c r="FU23" s="353">
        <f t="shared" si="5"/>
        <v>318936.3</v>
      </c>
      <c r="FV23" s="353">
        <f t="shared" si="5"/>
        <v>469045.42</v>
      </c>
      <c r="FW23" s="353">
        <f t="shared" si="5"/>
        <v>1094710.17</v>
      </c>
      <c r="FX23" s="353">
        <f t="shared" si="5"/>
        <v>962946.75000000012</v>
      </c>
      <c r="FY23" s="353">
        <f t="shared" si="5"/>
        <v>1016910.3699999999</v>
      </c>
      <c r="FZ23" s="304">
        <f t="shared" si="5"/>
        <v>1210136.0899999999</v>
      </c>
      <c r="GA23" s="353">
        <f t="shared" si="5"/>
        <v>1020237.03</v>
      </c>
      <c r="GB23" s="353">
        <f t="shared" si="5"/>
        <v>955177.11</v>
      </c>
      <c r="GC23" s="353">
        <f t="shared" si="5"/>
        <v>1215368.99</v>
      </c>
      <c r="GD23" s="304"/>
      <c r="GE23" s="353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2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2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2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2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2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2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2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2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3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3">
        <f t="shared" ref="FR28:GC28" si="7">SUM(FR29:FR34)</f>
        <v>2226726.9299999997</v>
      </c>
      <c r="FS28" s="353">
        <f t="shared" si="7"/>
        <v>2200614.79</v>
      </c>
      <c r="FT28" s="353">
        <f t="shared" si="7"/>
        <v>1317967.9100000001</v>
      </c>
      <c r="FU28" s="353">
        <f t="shared" si="7"/>
        <v>1597851.3599999999</v>
      </c>
      <c r="FV28" s="353">
        <f t="shared" si="7"/>
        <v>1673853.74</v>
      </c>
      <c r="FW28" s="353">
        <f t="shared" si="7"/>
        <v>2752546.6799999997</v>
      </c>
      <c r="FX28" s="353">
        <f t="shared" si="7"/>
        <v>2600399.9099999997</v>
      </c>
      <c r="FY28" s="353">
        <f t="shared" si="7"/>
        <v>2411610.62</v>
      </c>
      <c r="FZ28" s="304">
        <f t="shared" si="7"/>
        <v>2242559.5</v>
      </c>
      <c r="GA28" s="353">
        <f t="shared" si="7"/>
        <v>3223177.49</v>
      </c>
      <c r="GB28" s="353">
        <f t="shared" si="7"/>
        <v>2393815.35</v>
      </c>
      <c r="GC28" s="353">
        <f t="shared" si="7"/>
        <v>3177660.7800000003</v>
      </c>
      <c r="GD28" s="304"/>
      <c r="GE28" s="353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2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2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2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2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2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2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2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2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2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2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2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2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3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3">
        <f t="shared" ref="FR35:GC35" si="9">SUM(FR36:FR39)</f>
        <v>1483663.6700000002</v>
      </c>
      <c r="FS35" s="353">
        <f t="shared" si="9"/>
        <v>2100277.88</v>
      </c>
      <c r="FT35" s="353">
        <f t="shared" si="9"/>
        <v>4243202.3499999996</v>
      </c>
      <c r="FU35" s="353">
        <f t="shared" si="9"/>
        <v>2093585.81</v>
      </c>
      <c r="FV35" s="353">
        <f t="shared" si="9"/>
        <v>1279434.9099999999</v>
      </c>
      <c r="FW35" s="353">
        <f t="shared" si="9"/>
        <v>1931121.2500000002</v>
      </c>
      <c r="FX35" s="353">
        <f t="shared" si="9"/>
        <v>2459062.7400000002</v>
      </c>
      <c r="FY35" s="353">
        <f t="shared" si="9"/>
        <v>3216715.11</v>
      </c>
      <c r="FZ35" s="304">
        <f t="shared" si="9"/>
        <v>11550447.479999999</v>
      </c>
      <c r="GA35" s="353">
        <f t="shared" si="9"/>
        <v>2887676.87</v>
      </c>
      <c r="GB35" s="353">
        <f t="shared" si="9"/>
        <v>1756272.85</v>
      </c>
      <c r="GC35" s="353">
        <f t="shared" si="9"/>
        <v>2614148.87</v>
      </c>
      <c r="GD35" s="304"/>
      <c r="GE35" s="353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2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2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2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2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2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2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2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2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3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3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3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5"/>
      <c r="EU41" s="335"/>
      <c r="EV41" s="335"/>
      <c r="EW41" s="335"/>
      <c r="EX41" s="335"/>
      <c r="EY41" s="335"/>
      <c r="EZ41" s="335"/>
      <c r="FA41" s="335"/>
      <c r="FB41" s="335"/>
      <c r="FC41" s="335"/>
      <c r="FD41" s="302"/>
      <c r="FE41" s="302"/>
      <c r="FF41" s="302"/>
      <c r="FG41" s="302"/>
      <c r="FH41" s="302"/>
      <c r="FI41" s="302"/>
      <c r="FJ41" s="302"/>
      <c r="FK41" s="302"/>
      <c r="FL41" s="352"/>
      <c r="FM41" s="302"/>
      <c r="FN41" s="302"/>
      <c r="FO41" s="302"/>
      <c r="FP41" s="302"/>
      <c r="FQ41" s="302"/>
      <c r="FR41" s="302"/>
      <c r="FS41" s="352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5"/>
      <c r="EU42" s="335"/>
      <c r="EV42" s="335"/>
      <c r="EW42" s="335"/>
      <c r="EX42" s="335"/>
      <c r="EY42" s="335"/>
      <c r="EZ42" s="335"/>
      <c r="FA42" s="335"/>
      <c r="FB42" s="335"/>
      <c r="FC42" s="335"/>
      <c r="FD42" s="302"/>
      <c r="FE42" s="302"/>
      <c r="FF42" s="302"/>
      <c r="FG42" s="302"/>
      <c r="FH42" s="302"/>
      <c r="FI42" s="302"/>
      <c r="FJ42" s="302"/>
      <c r="FK42" s="302"/>
      <c r="FL42" s="352"/>
      <c r="FM42" s="302"/>
      <c r="FN42" s="302"/>
      <c r="FO42" s="302"/>
      <c r="FP42" s="302"/>
      <c r="FQ42" s="302"/>
      <c r="FR42" s="302"/>
      <c r="FS42" s="352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3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3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3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5"/>
      <c r="EU44" s="335"/>
      <c r="EV44" s="335"/>
      <c r="EW44" s="335"/>
      <c r="EX44" s="335"/>
      <c r="EY44" s="335"/>
      <c r="EZ44" s="335"/>
      <c r="FA44" s="335"/>
      <c r="FB44" s="335"/>
      <c r="FC44" s="335"/>
      <c r="FD44" s="302"/>
      <c r="FE44" s="302"/>
      <c r="FF44" s="302"/>
      <c r="FG44" s="302"/>
      <c r="FH44" s="302"/>
      <c r="FI44" s="302"/>
      <c r="FJ44" s="302"/>
      <c r="FK44" s="302"/>
      <c r="FL44" s="352"/>
      <c r="FM44" s="302"/>
      <c r="FN44" s="302"/>
      <c r="FO44" s="302"/>
      <c r="FP44" s="302"/>
      <c r="FQ44" s="302"/>
      <c r="FR44" s="302"/>
      <c r="FS44" s="352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5"/>
      <c r="EU45" s="335"/>
      <c r="EV45" s="335"/>
      <c r="EW45" s="335"/>
      <c r="EX45" s="335"/>
      <c r="EY45" s="335"/>
      <c r="EZ45" s="335"/>
      <c r="FA45" s="335"/>
      <c r="FB45" s="335"/>
      <c r="FC45" s="335"/>
      <c r="FD45" s="302"/>
      <c r="FE45" s="302"/>
      <c r="FF45" s="302"/>
      <c r="FG45" s="302"/>
      <c r="FH45" s="302"/>
      <c r="FI45" s="302"/>
      <c r="FJ45" s="302"/>
      <c r="FK45" s="302"/>
      <c r="FL45" s="352"/>
      <c r="FM45" s="302"/>
      <c r="FN45" s="302"/>
      <c r="FO45" s="302"/>
      <c r="FP45" s="302"/>
      <c r="FQ45" s="302"/>
      <c r="FR45" s="302"/>
      <c r="FS45" s="352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3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3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3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5"/>
      <c r="EU47" s="335"/>
      <c r="EV47" s="335"/>
      <c r="EW47" s="335"/>
      <c r="EX47" s="335"/>
      <c r="EY47" s="335"/>
      <c r="EZ47" s="335"/>
      <c r="FA47" s="335"/>
      <c r="FB47" s="335"/>
      <c r="FC47" s="335"/>
      <c r="FD47" s="302"/>
      <c r="FE47" s="302"/>
      <c r="FF47" s="302"/>
      <c r="FG47" s="302"/>
      <c r="FH47" s="302"/>
      <c r="FI47" s="302"/>
      <c r="FJ47" s="302"/>
      <c r="FK47" s="302"/>
      <c r="FL47" s="352"/>
      <c r="FM47" s="302"/>
      <c r="FN47" s="302"/>
      <c r="FO47" s="302"/>
      <c r="FP47" s="302"/>
      <c r="FQ47" s="302"/>
      <c r="FR47" s="302"/>
      <c r="FS47" s="352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5"/>
      <c r="EU48" s="335"/>
      <c r="EV48" s="335"/>
      <c r="EW48" s="335"/>
      <c r="EX48" s="335"/>
      <c r="EY48" s="335"/>
      <c r="EZ48" s="335"/>
      <c r="FA48" s="335"/>
      <c r="FB48" s="335"/>
      <c r="FC48" s="335"/>
      <c r="FD48" s="302"/>
      <c r="FE48" s="302"/>
      <c r="FF48" s="302"/>
      <c r="FG48" s="302"/>
      <c r="FH48" s="302"/>
      <c r="FI48" s="302"/>
      <c r="FJ48" s="302"/>
      <c r="FK48" s="302"/>
      <c r="FL48" s="352"/>
      <c r="FM48" s="302"/>
      <c r="FN48" s="302"/>
      <c r="FO48" s="302"/>
      <c r="FP48" s="302"/>
      <c r="FQ48" s="302"/>
      <c r="FR48" s="302"/>
      <c r="FS48" s="352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3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3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3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5"/>
      <c r="EU50" s="335"/>
      <c r="EV50" s="335"/>
      <c r="EW50" s="335"/>
      <c r="EX50" s="335"/>
      <c r="EY50" s="335"/>
      <c r="EZ50" s="335"/>
      <c r="FA50" s="335"/>
      <c r="FB50" s="335"/>
      <c r="FC50" s="335"/>
      <c r="FD50" s="302"/>
      <c r="FE50" s="302"/>
      <c r="FF50" s="302"/>
      <c r="FG50" s="302"/>
      <c r="FH50" s="302"/>
      <c r="FI50" s="302"/>
      <c r="FJ50" s="302"/>
      <c r="FK50" s="302"/>
      <c r="FL50" s="352"/>
      <c r="FM50" s="302"/>
      <c r="FN50" s="302"/>
      <c r="FO50" s="302"/>
      <c r="FP50" s="302"/>
      <c r="FQ50" s="302"/>
      <c r="FR50" s="302"/>
      <c r="FS50" s="352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2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2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2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2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2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2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2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2">
        <v>43406510.43</v>
      </c>
      <c r="FR55" s="302">
        <v>40884832.280000001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2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2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2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2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2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1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2">
        <v>3987318.08</v>
      </c>
      <c r="FR61" s="352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5"/>
      <c r="EU62" s="335"/>
      <c r="EV62" s="335"/>
      <c r="EW62" s="335"/>
      <c r="EX62" s="335"/>
      <c r="EY62" s="335"/>
      <c r="EZ62" s="335"/>
      <c r="FA62" s="335"/>
      <c r="FB62" s="335"/>
      <c r="FC62" s="335"/>
      <c r="FD62" s="302"/>
      <c r="FE62" s="302"/>
      <c r="FF62" s="302"/>
      <c r="FG62" s="302"/>
      <c r="FH62" s="302"/>
      <c r="FI62" s="302"/>
      <c r="FJ62" s="302"/>
      <c r="FK62" s="302"/>
      <c r="FL62" s="352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5"/>
      <c r="EU63" s="335"/>
      <c r="EV63" s="335"/>
      <c r="EW63" s="335"/>
      <c r="EX63" s="335"/>
      <c r="EY63" s="335"/>
      <c r="EZ63" s="335"/>
      <c r="FA63" s="335"/>
      <c r="FB63" s="335"/>
      <c r="FC63" s="335"/>
      <c r="FD63" s="302"/>
      <c r="FE63" s="302"/>
      <c r="FF63" s="302"/>
      <c r="FG63" s="302"/>
      <c r="FH63" s="302"/>
      <c r="FI63" s="302"/>
      <c r="FJ63" s="302"/>
      <c r="FK63" s="302"/>
      <c r="FL63" s="352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5"/>
      <c r="EU64" s="335"/>
      <c r="EV64" s="335"/>
      <c r="EW64" s="335"/>
      <c r="EX64" s="335"/>
      <c r="EY64" s="335"/>
      <c r="EZ64" s="335"/>
      <c r="FA64" s="335"/>
      <c r="FB64" s="335"/>
      <c r="FC64" s="335"/>
      <c r="FD64" s="302"/>
      <c r="FE64" s="302"/>
      <c r="FF64" s="302"/>
      <c r="FG64" s="302"/>
      <c r="FH64" s="302"/>
      <c r="FI64" s="302"/>
      <c r="FJ64" s="302"/>
      <c r="FK64" s="302"/>
      <c r="FL64" s="352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5"/>
      <c r="EU65" s="335"/>
      <c r="EV65" s="335"/>
      <c r="EW65" s="335"/>
      <c r="EX65" s="335"/>
      <c r="EY65" s="335"/>
      <c r="EZ65" s="335"/>
      <c r="FA65" s="335"/>
      <c r="FB65" s="335"/>
      <c r="FC65" s="335"/>
      <c r="FD65" s="302"/>
      <c r="FE65" s="302"/>
      <c r="FF65" s="302"/>
      <c r="FG65" s="302"/>
      <c r="FH65" s="302"/>
      <c r="FI65" s="302"/>
      <c r="FJ65" s="302"/>
      <c r="FK65" s="302"/>
      <c r="FL65" s="352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5"/>
      <c r="EU66" s="335"/>
      <c r="EV66" s="335"/>
      <c r="EW66" s="335"/>
      <c r="EX66" s="335"/>
      <c r="EY66" s="335"/>
      <c r="EZ66" s="335"/>
      <c r="FA66" s="335"/>
      <c r="FB66" s="335"/>
      <c r="FC66" s="335"/>
      <c r="FD66" s="302"/>
      <c r="FE66" s="302"/>
      <c r="FF66" s="302"/>
      <c r="FG66" s="302"/>
      <c r="FH66" s="302"/>
      <c r="FI66" s="302"/>
      <c r="FJ66" s="302"/>
      <c r="FK66" s="302"/>
      <c r="FL66" s="352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5"/>
      <c r="EU67" s="335"/>
      <c r="EV67" s="335"/>
      <c r="EW67" s="335"/>
      <c r="EX67" s="335"/>
      <c r="EY67" s="335"/>
      <c r="EZ67" s="335"/>
      <c r="FA67" s="335"/>
      <c r="FB67" s="335"/>
      <c r="FC67" s="335"/>
      <c r="FD67" s="302"/>
      <c r="FE67" s="302"/>
      <c r="FF67" s="302"/>
      <c r="FG67" s="302"/>
      <c r="FH67" s="302"/>
      <c r="FI67" s="302"/>
      <c r="FJ67" s="302"/>
      <c r="FK67" s="302"/>
      <c r="FL67" s="352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5"/>
      <c r="EU68" s="335"/>
      <c r="EV68" s="335"/>
      <c r="EW68" s="335"/>
      <c r="EX68" s="335"/>
      <c r="EY68" s="335"/>
      <c r="EZ68" s="335"/>
      <c r="FA68" s="335"/>
      <c r="FB68" s="335"/>
      <c r="FC68" s="335"/>
      <c r="FD68" s="302"/>
      <c r="FE68" s="302"/>
      <c r="FF68" s="302"/>
      <c r="FG68" s="302"/>
      <c r="FH68" s="302"/>
      <c r="FI68" s="302"/>
      <c r="FJ68" s="302"/>
      <c r="FK68" s="302"/>
      <c r="FL68" s="352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1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2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2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2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2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2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2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1">
        <v>8566117.3599999994</v>
      </c>
      <c r="FM76" s="302">
        <v>3294436.46</v>
      </c>
      <c r="FN76" s="302">
        <v>5819051.2000000002</v>
      </c>
      <c r="FO76" s="302">
        <v>7942946.5700000003</v>
      </c>
      <c r="FP76" s="352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2"/>
      <c r="FM77" s="302"/>
      <c r="FN77" s="302"/>
      <c r="FO77" s="302"/>
      <c r="FP77" s="302"/>
      <c r="FQ77" s="352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2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2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2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2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2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2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2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2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1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2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2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2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1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2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2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1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2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2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2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1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2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2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2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1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2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2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2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2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2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2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2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2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2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2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1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2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5"/>
      <c r="EU114" s="335"/>
      <c r="EV114" s="335"/>
      <c r="EW114" s="335"/>
      <c r="EX114" s="335"/>
      <c r="EY114" s="335"/>
      <c r="EZ114" s="335"/>
      <c r="FA114" s="335"/>
      <c r="FB114" s="335"/>
      <c r="FC114" s="335"/>
      <c r="FD114" s="302"/>
      <c r="FE114" s="302"/>
      <c r="FF114" s="302"/>
      <c r="FG114" s="302"/>
      <c r="FH114" s="302"/>
      <c r="FI114" s="302"/>
      <c r="FJ114" s="302"/>
      <c r="FK114" s="302"/>
      <c r="FL114" s="352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5"/>
      <c r="EU115" s="335"/>
      <c r="EV115" s="335"/>
      <c r="EW115" s="335"/>
      <c r="EX115" s="335"/>
      <c r="EY115" s="335"/>
      <c r="EZ115" s="335"/>
      <c r="FA115" s="335"/>
      <c r="FB115" s="335"/>
      <c r="FC115" s="335"/>
      <c r="FD115" s="302"/>
      <c r="FE115" s="302"/>
      <c r="FF115" s="302"/>
      <c r="FG115" s="302"/>
      <c r="FH115" s="302"/>
      <c r="FI115" s="302"/>
      <c r="FJ115" s="302"/>
      <c r="FK115" s="302"/>
      <c r="FL115" s="352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5"/>
      <c r="EU116" s="335"/>
      <c r="EV116" s="335"/>
      <c r="EW116" s="335"/>
      <c r="EX116" s="335"/>
      <c r="EY116" s="335"/>
      <c r="EZ116" s="335"/>
      <c r="FA116" s="335"/>
      <c r="FB116" s="335"/>
      <c r="FC116" s="335"/>
      <c r="FD116" s="302"/>
      <c r="FE116" s="302"/>
      <c r="FF116" s="302"/>
      <c r="FG116" s="302"/>
      <c r="FH116" s="302"/>
      <c r="FI116" s="302"/>
      <c r="FJ116" s="302"/>
      <c r="FK116" s="302"/>
      <c r="FL116" s="352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5"/>
      <c r="EU117" s="335"/>
      <c r="EV117" s="335"/>
      <c r="EW117" s="335"/>
      <c r="EX117" s="335"/>
      <c r="EY117" s="335"/>
      <c r="EZ117" s="335"/>
      <c r="FA117" s="335"/>
      <c r="FB117" s="335"/>
      <c r="FC117" s="335"/>
      <c r="FD117" s="302"/>
      <c r="FE117" s="302"/>
      <c r="FF117" s="302"/>
      <c r="FG117" s="302"/>
      <c r="FH117" s="302"/>
      <c r="FI117" s="302"/>
      <c r="FJ117" s="302"/>
      <c r="FK117" s="302"/>
      <c r="FL117" s="352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5"/>
      <c r="EU118" s="335"/>
      <c r="EV118" s="335"/>
      <c r="EW118" s="335"/>
      <c r="EX118" s="335"/>
      <c r="EY118" s="335"/>
      <c r="EZ118" s="335"/>
      <c r="FA118" s="335"/>
      <c r="FB118" s="335"/>
      <c r="FC118" s="335"/>
      <c r="FD118" s="302"/>
      <c r="FE118" s="302"/>
      <c r="FF118" s="302"/>
      <c r="FG118" s="302"/>
      <c r="FH118" s="302"/>
      <c r="FI118" s="302"/>
      <c r="FJ118" s="302"/>
      <c r="FK118" s="302"/>
      <c r="FL118" s="352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5"/>
      <c r="EU119" s="335"/>
      <c r="EV119" s="335"/>
      <c r="EW119" s="335"/>
      <c r="EX119" s="335"/>
      <c r="EY119" s="335"/>
      <c r="EZ119" s="335"/>
      <c r="FA119" s="335"/>
      <c r="FB119" s="335"/>
      <c r="FC119" s="335"/>
      <c r="FD119" s="302"/>
      <c r="FE119" s="302"/>
      <c r="FF119" s="302"/>
      <c r="FG119" s="302"/>
      <c r="FH119" s="302"/>
      <c r="FI119" s="302"/>
      <c r="FJ119" s="302"/>
      <c r="FK119" s="302"/>
      <c r="FL119" s="352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5"/>
      <c r="EU120" s="335"/>
      <c r="EV120" s="335"/>
      <c r="EW120" s="335"/>
      <c r="EX120" s="335"/>
      <c r="EY120" s="335"/>
      <c r="EZ120" s="335"/>
      <c r="FA120" s="335"/>
      <c r="FB120" s="335"/>
      <c r="FC120" s="335"/>
      <c r="FD120" s="302"/>
      <c r="FE120" s="302"/>
      <c r="FF120" s="302"/>
      <c r="FG120" s="302"/>
      <c r="FH120" s="302"/>
      <c r="FI120" s="302"/>
      <c r="FJ120" s="302"/>
      <c r="FK120" s="302"/>
      <c r="FL120" s="352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1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2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2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2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2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2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2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2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2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2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2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2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2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2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2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1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2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1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2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2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2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1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2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2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2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2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2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2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2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2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2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2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2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2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2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2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2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2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2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2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2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19124293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1"/>
      <c r="FF160" s="302"/>
      <c r="FG160" s="302"/>
      <c r="FH160" s="302"/>
      <c r="FI160" s="302"/>
      <c r="FJ160" s="302"/>
      <c r="FK160" s="302"/>
      <c r="FL160" s="352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2"/>
      <c r="FM161" s="302"/>
      <c r="FN161" s="302"/>
      <c r="FO161" s="302"/>
      <c r="FP161" s="302"/>
      <c r="FQ161" s="341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5"/>
      <c r="FE162" s="302"/>
      <c r="FF162" s="302"/>
      <c r="FG162" s="302"/>
      <c r="FH162" s="352"/>
      <c r="FI162" s="302"/>
      <c r="FJ162" s="302"/>
      <c r="FK162" s="302"/>
      <c r="FL162" s="352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2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2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2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2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2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2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2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1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2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2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2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2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2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2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2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1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1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2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2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2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1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1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40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5"/>
      <c r="EZ188" s="302"/>
      <c r="FA188" s="302"/>
      <c r="FB188" s="302"/>
      <c r="FC188" s="302"/>
      <c r="FD188" s="302"/>
      <c r="FE188" s="352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1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2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02" t="s">
        <v>676</v>
      </c>
      <c r="F214" s="599">
        <v>2006</v>
      </c>
      <c r="G214" s="600"/>
      <c r="H214" s="600"/>
      <c r="I214" s="600"/>
      <c r="J214" s="600"/>
      <c r="K214" s="600"/>
      <c r="L214" s="600"/>
      <c r="M214" s="600"/>
      <c r="N214" s="600"/>
      <c r="O214" s="600"/>
      <c r="P214" s="600"/>
      <c r="Q214" s="601"/>
      <c r="R214" s="599">
        <v>2007</v>
      </c>
      <c r="S214" s="600"/>
      <c r="T214" s="600"/>
      <c r="U214" s="600"/>
      <c r="V214" s="600"/>
      <c r="W214" s="600"/>
      <c r="X214" s="600"/>
      <c r="Y214" s="600"/>
      <c r="Z214" s="600"/>
      <c r="AA214" s="600"/>
      <c r="AB214" s="600"/>
      <c r="AC214" s="601"/>
      <c r="AD214" s="599">
        <v>2008</v>
      </c>
      <c r="AE214" s="600"/>
      <c r="AF214" s="600"/>
      <c r="AG214" s="600"/>
      <c r="AH214" s="600"/>
      <c r="AI214" s="600"/>
      <c r="AJ214" s="600"/>
      <c r="AK214" s="600"/>
      <c r="AL214" s="600"/>
      <c r="AM214" s="600"/>
      <c r="AN214" s="600"/>
      <c r="AO214" s="601"/>
      <c r="AP214" s="599">
        <v>2009</v>
      </c>
      <c r="AQ214" s="600"/>
      <c r="AR214" s="600"/>
      <c r="AS214" s="600"/>
      <c r="AT214" s="600"/>
      <c r="AU214" s="600"/>
      <c r="AV214" s="600"/>
      <c r="AW214" s="600"/>
      <c r="AX214" s="600"/>
      <c r="AY214" s="600"/>
      <c r="AZ214" s="600"/>
      <c r="BA214" s="601"/>
      <c r="BB214" s="599">
        <v>2010</v>
      </c>
      <c r="BC214" s="600"/>
      <c r="BD214" s="600"/>
      <c r="BE214" s="600"/>
      <c r="BF214" s="600"/>
      <c r="BG214" s="600"/>
      <c r="BH214" s="600"/>
      <c r="BI214" s="600"/>
      <c r="BJ214" s="600"/>
      <c r="BK214" s="600"/>
      <c r="BL214" s="600"/>
      <c r="BM214" s="601"/>
      <c r="BN214" s="599">
        <v>2011</v>
      </c>
      <c r="BO214" s="600"/>
      <c r="BP214" s="600"/>
      <c r="BQ214" s="600"/>
      <c r="BR214" s="600"/>
      <c r="BS214" s="600"/>
      <c r="BT214" s="600"/>
      <c r="BU214" s="600"/>
      <c r="BV214" s="600"/>
      <c r="BW214" s="600"/>
      <c r="BX214" s="600"/>
      <c r="BY214" s="601"/>
      <c r="BZ214" s="600">
        <v>2012</v>
      </c>
      <c r="CA214" s="600"/>
      <c r="CB214" s="600"/>
      <c r="CC214" s="600"/>
      <c r="CD214" s="600"/>
      <c r="CE214" s="600"/>
      <c r="CF214" s="600"/>
      <c r="CG214" s="600"/>
      <c r="CH214" s="600"/>
      <c r="CI214" s="600"/>
      <c r="CJ214" s="600"/>
      <c r="CK214" s="600"/>
      <c r="CL214" s="599">
        <v>2013</v>
      </c>
      <c r="CM214" s="600"/>
      <c r="CN214" s="600"/>
      <c r="CO214" s="600"/>
      <c r="CP214" s="600"/>
      <c r="CQ214" s="600"/>
      <c r="CR214" s="600"/>
      <c r="CS214" s="600"/>
      <c r="CT214" s="600"/>
      <c r="CU214" s="600"/>
      <c r="CV214" s="600"/>
      <c r="CW214" s="601"/>
      <c r="CX214" s="599">
        <v>2014</v>
      </c>
      <c r="CY214" s="600"/>
      <c r="CZ214" s="600"/>
      <c r="DA214" s="600"/>
      <c r="DB214" s="600"/>
      <c r="DC214" s="600"/>
      <c r="DD214" s="600"/>
      <c r="DE214" s="600"/>
      <c r="DF214" s="600"/>
      <c r="DG214" s="600"/>
      <c r="DH214" s="600"/>
      <c r="DI214" s="601"/>
      <c r="DJ214" s="599">
        <v>2015</v>
      </c>
      <c r="DK214" s="600"/>
      <c r="DL214" s="600"/>
      <c r="DM214" s="600"/>
      <c r="DN214" s="600"/>
      <c r="DO214" s="600"/>
      <c r="DP214" s="600"/>
      <c r="DQ214" s="600"/>
      <c r="DR214" s="600"/>
      <c r="DS214" s="600"/>
      <c r="DT214" s="600"/>
      <c r="DU214" s="601"/>
    </row>
    <row r="215" spans="1:187">
      <c r="E215" s="602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7" t="s">
        <v>724</v>
      </c>
      <c r="EI215" s="317" t="s">
        <v>725</v>
      </c>
      <c r="EJ215" s="317" t="s">
        <v>726</v>
      </c>
      <c r="EK215" s="317" t="s">
        <v>727</v>
      </c>
      <c r="EL215" s="317" t="s">
        <v>728</v>
      </c>
      <c r="EM215" s="317" t="s">
        <v>729</v>
      </c>
      <c r="EN215" s="317" t="s">
        <v>730</v>
      </c>
      <c r="EO215" s="317" t="s">
        <v>731</v>
      </c>
      <c r="EP215" s="317" t="s">
        <v>732</v>
      </c>
      <c r="EQ215" s="317" t="s">
        <v>733</v>
      </c>
      <c r="ER215" s="317" t="s">
        <v>734</v>
      </c>
      <c r="ES215" s="317" t="s">
        <v>735</v>
      </c>
      <c r="ET215" s="317" t="s">
        <v>742</v>
      </c>
      <c r="EU215" s="317" t="s">
        <v>743</v>
      </c>
      <c r="EV215" s="317" t="s">
        <v>744</v>
      </c>
      <c r="EW215" s="317" t="s">
        <v>745</v>
      </c>
      <c r="EX215" s="317" t="s">
        <v>746</v>
      </c>
      <c r="EY215" s="317" t="s">
        <v>747</v>
      </c>
      <c r="EZ215" s="317" t="s">
        <v>748</v>
      </c>
      <c r="FA215" s="317" t="s">
        <v>749</v>
      </c>
      <c r="FB215" s="317" t="s">
        <v>750</v>
      </c>
      <c r="FC215" s="317" t="s">
        <v>751</v>
      </c>
      <c r="FD215" s="317" t="s">
        <v>752</v>
      </c>
      <c r="FE215" s="317" t="s">
        <v>753</v>
      </c>
      <c r="FF215" s="317" t="s">
        <v>758</v>
      </c>
      <c r="FG215" s="317" t="s">
        <v>759</v>
      </c>
      <c r="FH215" s="317" t="s">
        <v>760</v>
      </c>
      <c r="FI215" s="317" t="s">
        <v>761</v>
      </c>
      <c r="FJ215" s="317" t="s">
        <v>762</v>
      </c>
      <c r="FK215" s="317" t="s">
        <v>763</v>
      </c>
      <c r="FL215" s="317" t="s">
        <v>764</v>
      </c>
      <c r="FM215" s="317" t="s">
        <v>765</v>
      </c>
      <c r="FN215" s="317" t="s">
        <v>766</v>
      </c>
      <c r="FO215" s="317" t="s">
        <v>767</v>
      </c>
      <c r="FP215" s="317" t="s">
        <v>768</v>
      </c>
      <c r="FQ215" s="317" t="s">
        <v>769</v>
      </c>
      <c r="FR215" s="41" t="s">
        <v>777</v>
      </c>
      <c r="FS215" s="347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6">
        <v>60295851.510000005</v>
      </c>
      <c r="EU218" s="326">
        <v>64797597.330000006</v>
      </c>
      <c r="EV218" s="326">
        <v>89261850.609999985</v>
      </c>
      <c r="EW218" s="326">
        <v>97799793.080000013</v>
      </c>
      <c r="EX218" s="326">
        <v>90553351.069999993</v>
      </c>
      <c r="EY218" s="326">
        <v>87503254.430000007</v>
      </c>
      <c r="EZ218" s="326">
        <v>99397799.482830197</v>
      </c>
      <c r="FA218" s="326">
        <v>110357770.3498607</v>
      </c>
      <c r="FB218" s="326">
        <v>102093047.15872496</v>
      </c>
      <c r="FC218" s="326">
        <v>95698512.829288453</v>
      </c>
      <c r="FD218" s="326">
        <v>82424829.046484277</v>
      </c>
      <c r="FE218" s="326">
        <v>98213532.499999791</v>
      </c>
      <c r="FF218" s="348">
        <v>72429730.420000002</v>
      </c>
      <c r="FG218" s="348">
        <v>68470908.439999998</v>
      </c>
      <c r="FH218" s="348">
        <v>98709545.510000005</v>
      </c>
      <c r="FI218" s="348">
        <v>106791818.52</v>
      </c>
      <c r="FJ218" s="348">
        <v>94372185.030000001</v>
      </c>
      <c r="FK218" s="348">
        <v>89389439.689999998</v>
      </c>
      <c r="FL218" s="348">
        <v>106366803.00672032</v>
      </c>
      <c r="FM218" s="348">
        <v>110847613.63774106</v>
      </c>
      <c r="FN218" s="348">
        <f>105712748.66474-4000000</f>
        <v>101712748.66474</v>
      </c>
      <c r="FO218" s="348">
        <f>92295636.2285859+4000000</f>
        <v>96295636.228585899</v>
      </c>
      <c r="FP218" s="348">
        <v>84393107.743797168</v>
      </c>
      <c r="FQ218" s="348">
        <v>92890414.095145509</v>
      </c>
      <c r="FR218" s="434">
        <f>SUM(FR219:FR226)</f>
        <v>73320205.209999993</v>
      </c>
      <c r="FS218" s="434">
        <f t="shared" ref="FS218:FW218" si="24">SUM(FS219:FS226)</f>
        <v>69683087.399999991</v>
      </c>
      <c r="FT218" s="434">
        <f t="shared" si="24"/>
        <v>105613736.66000001</v>
      </c>
      <c r="FU218" s="434">
        <f t="shared" si="24"/>
        <v>83521974.920000002</v>
      </c>
      <c r="FV218" s="434">
        <f t="shared" si="24"/>
        <v>69752758.120000005</v>
      </c>
      <c r="FW218" s="434">
        <f t="shared" si="24"/>
        <v>82125472.672907159</v>
      </c>
      <c r="FX218" s="434">
        <f>SUM(FX219:FX226)</f>
        <v>97440527.99295114</v>
      </c>
      <c r="FY218" s="434">
        <f t="shared" ref="FY218" si="25">SUM(FY219:FY226)</f>
        <v>102835982.17822319</v>
      </c>
      <c r="FZ218" s="434">
        <f t="shared" ref="FZ218" si="26">SUM(FZ219:FZ226)</f>
        <v>99861898.573637322</v>
      </c>
      <c r="GA218" s="434">
        <f t="shared" ref="GA218" si="27">SUM(GA219:GA226)</f>
        <v>96098494.299763739</v>
      </c>
      <c r="GB218" s="434">
        <f t="shared" ref="GB218" si="28">SUM(GB219:GB226)</f>
        <v>81549422.466298312</v>
      </c>
      <c r="GC218" s="434">
        <f t="shared" ref="GC218" si="29">SUM(GC219:GC226)</f>
        <v>93633799.201363876</v>
      </c>
      <c r="GE218" s="427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8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8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8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8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8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8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8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8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6">
        <v>14572676.99</v>
      </c>
      <c r="EU227" s="326">
        <v>36938118.07</v>
      </c>
      <c r="EV227" s="326">
        <v>43053255.970000006</v>
      </c>
      <c r="EW227" s="326">
        <v>41029948.000000007</v>
      </c>
      <c r="EX227" s="326">
        <v>40388291.549999997</v>
      </c>
      <c r="EY227" s="326">
        <v>42077356.240000002</v>
      </c>
      <c r="EZ227" s="326">
        <v>46362054.926801726</v>
      </c>
      <c r="FA227" s="326">
        <v>45724084.253699668</v>
      </c>
      <c r="FB227" s="326">
        <v>41947258.969554022</v>
      </c>
      <c r="FC227" s="326">
        <v>44433442.802094914</v>
      </c>
      <c r="FD227" s="326">
        <v>45788790.684398532</v>
      </c>
      <c r="FE227" s="326">
        <v>79938550.463845864</v>
      </c>
      <c r="FF227" s="348">
        <v>16498881.48</v>
      </c>
      <c r="FG227" s="348">
        <v>41912269.38000001</v>
      </c>
      <c r="FH227" s="348">
        <v>41047599.18</v>
      </c>
      <c r="FI227" s="348">
        <v>50290988.940000005</v>
      </c>
      <c r="FJ227" s="348">
        <v>37496285.130000003</v>
      </c>
      <c r="FK227" s="348">
        <v>45280786.510000005</v>
      </c>
      <c r="FL227" s="348">
        <v>46250891.035691187</v>
      </c>
      <c r="FM227" s="348">
        <v>44632014.674295112</v>
      </c>
      <c r="FN227" s="348">
        <v>41120271.333377153</v>
      </c>
      <c r="FO227" s="348">
        <v>46928850.635902815</v>
      </c>
      <c r="FP227" s="348">
        <v>44128259.697538294</v>
      </c>
      <c r="FQ227" s="348">
        <v>78626416.07852602</v>
      </c>
      <c r="FR227" s="434">
        <f>SUM(FR228:FR231)</f>
        <v>15749286.220000001</v>
      </c>
      <c r="FS227" s="434">
        <f t="shared" ref="FS227:GC227" si="36">SUM(FS228:FS231)</f>
        <v>42574769.890000001</v>
      </c>
      <c r="FT227" s="434">
        <f t="shared" si="36"/>
        <v>44888756.57</v>
      </c>
      <c r="FU227" s="434">
        <f t="shared" si="36"/>
        <v>33882602.5</v>
      </c>
      <c r="FV227" s="434">
        <f t="shared" si="36"/>
        <v>40418289.450000003</v>
      </c>
      <c r="FW227" s="434">
        <f t="shared" si="36"/>
        <v>39209561.537363522</v>
      </c>
      <c r="FX227" s="434">
        <f t="shared" si="36"/>
        <v>39824401.286702745</v>
      </c>
      <c r="FY227" s="434">
        <f t="shared" si="36"/>
        <v>37466342.331191912</v>
      </c>
      <c r="FZ227" s="434">
        <f t="shared" si="36"/>
        <v>35714950.117071614</v>
      </c>
      <c r="GA227" s="434">
        <f t="shared" si="36"/>
        <v>56930028.965902433</v>
      </c>
      <c r="GB227" s="434">
        <f t="shared" si="36"/>
        <v>36060885.689019322</v>
      </c>
      <c r="GC227" s="434">
        <f t="shared" si="36"/>
        <v>69780505.759044364</v>
      </c>
      <c r="GE227" s="427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8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8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8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8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6">
        <v>785627.23999999987</v>
      </c>
      <c r="EU232" s="326">
        <v>993423.94</v>
      </c>
      <c r="EV232" s="326">
        <v>1089343.29</v>
      </c>
      <c r="EW232" s="326">
        <v>1198538.77</v>
      </c>
      <c r="EX232" s="326">
        <v>1382138.7799999998</v>
      </c>
      <c r="EY232" s="326">
        <v>1539773.02</v>
      </c>
      <c r="EZ232" s="326">
        <v>1993333.2050530105</v>
      </c>
      <c r="FA232" s="326">
        <v>2094009.8411112905</v>
      </c>
      <c r="FB232" s="326">
        <v>1758705.3100069393</v>
      </c>
      <c r="FC232" s="326">
        <v>1756312.8353634721</v>
      </c>
      <c r="FD232" s="326">
        <v>1538063.0039378535</v>
      </c>
      <c r="FE232" s="326">
        <v>1571199.152751297</v>
      </c>
      <c r="FF232" s="348">
        <v>851162.27</v>
      </c>
      <c r="FG232" s="348">
        <v>1041125.3899999999</v>
      </c>
      <c r="FH232" s="348">
        <v>1066481.8799999999</v>
      </c>
      <c r="FI232" s="348">
        <v>1290371.49</v>
      </c>
      <c r="FJ232" s="348">
        <v>1208813.17</v>
      </c>
      <c r="FK232" s="348">
        <v>1252534.6599999999</v>
      </c>
      <c r="FL232" s="348">
        <v>1795731.4641523927</v>
      </c>
      <c r="FM232" s="348">
        <v>1701456.5372229549</v>
      </c>
      <c r="FN232" s="348">
        <v>1388736.0694359436</v>
      </c>
      <c r="FO232" s="348">
        <v>1341528.8515351652</v>
      </c>
      <c r="FP232" s="348">
        <v>1134405.6022195939</v>
      </c>
      <c r="FQ232" s="348">
        <v>1246141.5409339513</v>
      </c>
      <c r="FR232" s="434">
        <f>SUM(FR233:FR236)</f>
        <v>669819.01</v>
      </c>
      <c r="FS232" s="434">
        <f t="shared" ref="FS232:GC232" si="39">SUM(FS233:FS236)</f>
        <v>845756.92</v>
      </c>
      <c r="FT232" s="434">
        <f t="shared" si="39"/>
        <v>720374.53</v>
      </c>
      <c r="FU232" s="434">
        <f t="shared" si="39"/>
        <v>316937.24</v>
      </c>
      <c r="FV232" s="434">
        <f t="shared" si="39"/>
        <v>469045.42</v>
      </c>
      <c r="FW232" s="434">
        <f t="shared" si="39"/>
        <v>1161870.8532355535</v>
      </c>
      <c r="FX232" s="434">
        <f t="shared" si="39"/>
        <v>1673430.2546007757</v>
      </c>
      <c r="FY232" s="434">
        <f t="shared" si="39"/>
        <v>1388372.9389781314</v>
      </c>
      <c r="FZ232" s="434">
        <f t="shared" si="39"/>
        <v>1416214.8034873675</v>
      </c>
      <c r="GA232" s="434">
        <f t="shared" si="39"/>
        <v>1276386.1061063381</v>
      </c>
      <c r="GB232" s="434">
        <f t="shared" si="39"/>
        <v>963348.80250703567</v>
      </c>
      <c r="GC232" s="434">
        <f t="shared" si="39"/>
        <v>1285597.5253147981</v>
      </c>
      <c r="GE232" s="427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8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8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8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8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6">
        <v>1774503.5699999998</v>
      </c>
      <c r="EU237" s="326">
        <v>1885893.46</v>
      </c>
      <c r="EV237" s="326">
        <v>2001213.06</v>
      </c>
      <c r="EW237" s="326">
        <v>2389766.7799999998</v>
      </c>
      <c r="EX237" s="326">
        <v>1530724.52</v>
      </c>
      <c r="EY237" s="326">
        <v>2860047.35</v>
      </c>
      <c r="EZ237" s="326">
        <v>2768982.89609381</v>
      </c>
      <c r="FA237" s="326">
        <v>1878964.846878767</v>
      </c>
      <c r="FB237" s="326">
        <v>2453431.0919642458</v>
      </c>
      <c r="FC237" s="326">
        <v>3062621.0292725526</v>
      </c>
      <c r="FD237" s="326">
        <v>2157522.0205821833</v>
      </c>
      <c r="FE237" s="326">
        <v>3364455.4723437326</v>
      </c>
      <c r="FF237" s="348">
        <v>2315003.25</v>
      </c>
      <c r="FG237" s="348">
        <v>1541397.86</v>
      </c>
      <c r="FH237" s="348">
        <v>2408517.5</v>
      </c>
      <c r="FI237" s="348">
        <v>3310133.38</v>
      </c>
      <c r="FJ237" s="348">
        <v>1792591.2</v>
      </c>
      <c r="FK237" s="348">
        <v>2081141.31</v>
      </c>
      <c r="FL237" s="348">
        <v>3811615.3822946725</v>
      </c>
      <c r="FM237" s="348">
        <v>2369139.8885664819</v>
      </c>
      <c r="FN237" s="348">
        <v>2509036.584840606</v>
      </c>
      <c r="FO237" s="348">
        <v>3286740.3746407013</v>
      </c>
      <c r="FP237" s="348">
        <v>2611990.4957672656</v>
      </c>
      <c r="FQ237" s="348">
        <v>3353537.6354902741</v>
      </c>
      <c r="FR237" s="434">
        <f>SUM(FR238:FR243)</f>
        <v>2226726.9299999997</v>
      </c>
      <c r="FS237" s="434">
        <f t="shared" ref="FS237:GC237" si="42">SUM(FS238:FS243)</f>
        <v>2200614.79</v>
      </c>
      <c r="FT237" s="434">
        <f t="shared" si="42"/>
        <v>1317967.9100000001</v>
      </c>
      <c r="FU237" s="434">
        <f t="shared" si="42"/>
        <v>1597851.3599999999</v>
      </c>
      <c r="FV237" s="434">
        <f t="shared" si="42"/>
        <v>1673853.74</v>
      </c>
      <c r="FW237" s="434">
        <f t="shared" si="42"/>
        <v>2179490.8743573632</v>
      </c>
      <c r="FX237" s="434">
        <f t="shared" si="42"/>
        <v>2571108.8359225746</v>
      </c>
      <c r="FY237" s="434">
        <f t="shared" si="42"/>
        <v>1825380.5890086682</v>
      </c>
      <c r="FZ237" s="434">
        <f t="shared" si="42"/>
        <v>2163813.0387331629</v>
      </c>
      <c r="GA237" s="434">
        <f t="shared" si="42"/>
        <v>1995229.2228867295</v>
      </c>
      <c r="GB237" s="434">
        <f t="shared" si="42"/>
        <v>1517691.0449207788</v>
      </c>
      <c r="GC237" s="434">
        <f t="shared" si="42"/>
        <v>3555523.5622207262</v>
      </c>
      <c r="GE237" s="427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8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8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8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8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8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8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6">
        <v>2425520.8099999996</v>
      </c>
      <c r="EU244" s="326">
        <v>1609741.96</v>
      </c>
      <c r="EV244" s="326">
        <v>2046839.3099999998</v>
      </c>
      <c r="EW244" s="326">
        <v>5482431.4299999997</v>
      </c>
      <c r="EX244" s="326">
        <v>2151437.83</v>
      </c>
      <c r="EY244" s="326">
        <v>2740294.16</v>
      </c>
      <c r="EZ244" s="326">
        <v>3610099.6149461018</v>
      </c>
      <c r="FA244" s="326">
        <v>2856432.7673175023</v>
      </c>
      <c r="FB244" s="326">
        <v>38693622.019299239</v>
      </c>
      <c r="FC244" s="326">
        <v>3080614.3453884441</v>
      </c>
      <c r="FD244" s="326">
        <v>2054798.3756645597</v>
      </c>
      <c r="FE244" s="326">
        <v>4981072.0471647922</v>
      </c>
      <c r="FF244" s="348">
        <v>1567288.04</v>
      </c>
      <c r="FG244" s="348">
        <v>2199531.1</v>
      </c>
      <c r="FH244" s="348">
        <v>3194097.81</v>
      </c>
      <c r="FI244" s="348">
        <v>2385711.15</v>
      </c>
      <c r="FJ244" s="348">
        <v>7159438.3900000006</v>
      </c>
      <c r="FK244" s="348">
        <v>3263135.44</v>
      </c>
      <c r="FL244" s="348">
        <v>3782335.0282840966</v>
      </c>
      <c r="FM244" s="348">
        <v>3340173.0404689522</v>
      </c>
      <c r="FN244" s="348">
        <f>37689732.0664406-35000000</f>
        <v>2689732.0664405972</v>
      </c>
      <c r="FO244" s="348">
        <f>2215962.80977053+35000000</f>
        <v>37215962.809770532</v>
      </c>
      <c r="FP244" s="348">
        <v>3512092.3071244648</v>
      </c>
      <c r="FQ244" s="348">
        <v>7138953.7303113183</v>
      </c>
      <c r="FR244" s="434">
        <f>SUM(FR245:FR248)</f>
        <v>1484714.27</v>
      </c>
      <c r="FS244" s="434">
        <f t="shared" ref="FS244:GC244" si="46">SUM(FS245:FS248)</f>
        <v>2100277.88</v>
      </c>
      <c r="FT244" s="434">
        <f t="shared" si="46"/>
        <v>4248499.3600000003</v>
      </c>
      <c r="FU244" s="434">
        <f t="shared" si="46"/>
        <v>1617752.3800000001</v>
      </c>
      <c r="FV244" s="434">
        <f t="shared" si="46"/>
        <v>1237245.3599999999</v>
      </c>
      <c r="FW244" s="434">
        <f t="shared" si="46"/>
        <v>2257816.068284105</v>
      </c>
      <c r="FX244" s="434">
        <f t="shared" si="46"/>
        <v>5692253.8149066633</v>
      </c>
      <c r="FY244" s="434">
        <f t="shared" si="46"/>
        <v>4621203.3620386366</v>
      </c>
      <c r="FZ244" s="434">
        <f t="shared" si="46"/>
        <v>17537126.915220708</v>
      </c>
      <c r="GA244" s="434">
        <f t="shared" si="46"/>
        <v>3831817.5735939299</v>
      </c>
      <c r="GB244" s="434">
        <f t="shared" si="46"/>
        <v>3619302.6260553906</v>
      </c>
      <c r="GC244" s="434">
        <f t="shared" si="46"/>
        <v>4678583.5639540665</v>
      </c>
      <c r="GE244" s="427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8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8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8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8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4">
        <v>62782.51</v>
      </c>
      <c r="FS249" s="434">
        <v>437988.22</v>
      </c>
      <c r="FT249" s="434">
        <v>603218.21</v>
      </c>
      <c r="FU249" s="434">
        <v>198578.39</v>
      </c>
      <c r="FV249" s="434">
        <v>270349.07</v>
      </c>
      <c r="FW249" s="434">
        <v>632440.5</v>
      </c>
      <c r="FX249" s="434">
        <v>632440.5</v>
      </c>
      <c r="FY249" s="434">
        <v>632440.5</v>
      </c>
      <c r="FZ249" s="434">
        <v>632440.5</v>
      </c>
      <c r="GA249" s="434">
        <v>632440.5</v>
      </c>
      <c r="GB249" s="434">
        <v>632440.5</v>
      </c>
      <c r="GC249" s="434">
        <v>632440.6</v>
      </c>
      <c r="GD249" s="350"/>
      <c r="GE249" s="427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4">
        <v>80819.179999999993</v>
      </c>
      <c r="FS252" s="434">
        <v>813727.89</v>
      </c>
      <c r="FT252" s="434">
        <v>794561.22</v>
      </c>
      <c r="FU252" s="434">
        <v>561040.23</v>
      </c>
      <c r="FV252" s="434">
        <v>218800.94</v>
      </c>
      <c r="FW252" s="434">
        <v>172752.84814830567</v>
      </c>
      <c r="FX252" s="434">
        <v>621585.63801238476</v>
      </c>
      <c r="FY252" s="434">
        <v>1170088.8491047423</v>
      </c>
      <c r="FZ252" s="434">
        <v>665799.08079606481</v>
      </c>
      <c r="GA252" s="434">
        <v>9201611.3215604126</v>
      </c>
      <c r="GB252" s="434">
        <v>1305018.6190754015</v>
      </c>
      <c r="GC252" s="434">
        <v>1507066.6233026888</v>
      </c>
      <c r="GE252" s="427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8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4">
        <v>754264.83</v>
      </c>
      <c r="FS255" s="434">
        <v>1636489.54</v>
      </c>
      <c r="FT255" s="434">
        <v>3512551.56</v>
      </c>
      <c r="FU255" s="434">
        <v>2957605.59</v>
      </c>
      <c r="FV255" s="434">
        <v>1856477.6183333334</v>
      </c>
      <c r="FW255" s="434">
        <v>2156477.6183333299</v>
      </c>
      <c r="FX255" s="434">
        <v>1856477.6183333334</v>
      </c>
      <c r="FY255" s="434">
        <v>1856477.6183333334</v>
      </c>
      <c r="FZ255" s="434">
        <v>25000000</v>
      </c>
      <c r="GA255" s="434">
        <v>1856477.6183333334</v>
      </c>
      <c r="GB255" s="434">
        <v>1856477.6183333334</v>
      </c>
      <c r="GC255" s="434">
        <v>4700000</v>
      </c>
      <c r="GE255" s="427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5">
        <f t="shared" si="48"/>
        <v>0</v>
      </c>
      <c r="CO259" s="325">
        <f t="shared" si="48"/>
        <v>200000000</v>
      </c>
      <c r="CP259" s="325">
        <f t="shared" si="48"/>
        <v>0</v>
      </c>
      <c r="CQ259" s="325">
        <f t="shared" si="48"/>
        <v>0</v>
      </c>
      <c r="CR259" s="325">
        <f t="shared" si="48"/>
        <v>0</v>
      </c>
      <c r="CS259" s="325">
        <f t="shared" si="48"/>
        <v>0</v>
      </c>
      <c r="CT259" s="325">
        <f t="shared" si="48"/>
        <v>0</v>
      </c>
      <c r="CU259" s="325">
        <f t="shared" si="48"/>
        <v>50000000</v>
      </c>
      <c r="CV259" s="325">
        <f t="shared" si="48"/>
        <v>0</v>
      </c>
      <c r="CW259" s="325">
        <f t="shared" si="48"/>
        <v>0</v>
      </c>
      <c r="CX259" s="325">
        <f t="shared" si="48"/>
        <v>18997964.655235786</v>
      </c>
      <c r="CY259" s="325">
        <f t="shared" ref="CY259:DI259" si="49">+SUM(CY260:CY261)</f>
        <v>18997964.655235786</v>
      </c>
      <c r="CZ259" s="325">
        <f t="shared" si="49"/>
        <v>18997964.655235786</v>
      </c>
      <c r="DA259" s="325">
        <f t="shared" si="49"/>
        <v>18997964.655235786</v>
      </c>
      <c r="DB259" s="325">
        <f t="shared" si="49"/>
        <v>18997964.655235786</v>
      </c>
      <c r="DC259" s="325">
        <f t="shared" si="49"/>
        <v>18997964.655235786</v>
      </c>
      <c r="DD259" s="325">
        <f t="shared" si="49"/>
        <v>18997964.655235786</v>
      </c>
      <c r="DE259" s="325">
        <f t="shared" si="49"/>
        <v>18997964.655235786</v>
      </c>
      <c r="DF259" s="325">
        <f t="shared" si="49"/>
        <v>18997964.655235786</v>
      </c>
      <c r="DG259" s="325">
        <f t="shared" si="49"/>
        <v>18997964.655235786</v>
      </c>
      <c r="DH259" s="325">
        <f t="shared" si="49"/>
        <v>18997964.655235786</v>
      </c>
      <c r="DI259" s="325">
        <f t="shared" si="49"/>
        <v>18997964.655235786</v>
      </c>
      <c r="DJ259" s="325">
        <f>+SUM(DJ260:DJ261)</f>
        <v>52840136.569718093</v>
      </c>
      <c r="DK259" s="325">
        <f t="shared" ref="DK259:DU259" si="50">+SUM(DK260:DK261)</f>
        <v>52840136.569718093</v>
      </c>
      <c r="DL259" s="325">
        <f t="shared" si="50"/>
        <v>52840136.569718093</v>
      </c>
      <c r="DM259" s="325">
        <f t="shared" si="50"/>
        <v>52840136.569718093</v>
      </c>
      <c r="DN259" s="325">
        <f t="shared" si="50"/>
        <v>52840136.569718093</v>
      </c>
      <c r="DO259" s="325">
        <f t="shared" si="50"/>
        <v>52840136.569718093</v>
      </c>
      <c r="DP259" s="325">
        <f t="shared" si="50"/>
        <v>52840136.569718093</v>
      </c>
      <c r="DQ259" s="325">
        <f t="shared" si="50"/>
        <v>52840136.569718093</v>
      </c>
      <c r="DR259" s="325">
        <f t="shared" si="50"/>
        <v>52840136.569718093</v>
      </c>
      <c r="DS259" s="325">
        <f t="shared" si="50"/>
        <v>52840136.569718093</v>
      </c>
      <c r="DT259" s="325">
        <f t="shared" si="50"/>
        <v>52840136.569718093</v>
      </c>
      <c r="DU259" s="325">
        <f t="shared" si="50"/>
        <v>52840136.569718093</v>
      </c>
      <c r="DV259" s="325">
        <f>SUM(DV260:DV261)</f>
        <v>55595756.08804667</v>
      </c>
      <c r="DW259" s="325">
        <f t="shared" ref="DW259:EF259" si="51">SUM(DW260:DW261)</f>
        <v>55595756.08804667</v>
      </c>
      <c r="DX259" s="325">
        <f t="shared" si="51"/>
        <v>55595756.08804667</v>
      </c>
      <c r="DY259" s="325">
        <f t="shared" si="51"/>
        <v>55595756.08804667</v>
      </c>
      <c r="DZ259" s="325">
        <f t="shared" si="51"/>
        <v>55595756.08804667</v>
      </c>
      <c r="EA259" s="325">
        <f t="shared" si="51"/>
        <v>55595756.08804667</v>
      </c>
      <c r="EB259" s="325">
        <f t="shared" si="51"/>
        <v>55595756.08804667</v>
      </c>
      <c r="EC259" s="325">
        <f t="shared" si="51"/>
        <v>55595756.08804667</v>
      </c>
      <c r="ED259" s="325">
        <f t="shared" si="51"/>
        <v>55595756.08804667</v>
      </c>
      <c r="EE259" s="325">
        <f t="shared" si="51"/>
        <v>55595756.08804667</v>
      </c>
      <c r="EF259" s="325">
        <f t="shared" si="51"/>
        <v>55595756.08804667</v>
      </c>
      <c r="EG259" s="325">
        <f>SUM(EG260:EG261)</f>
        <v>55595756.08804667</v>
      </c>
      <c r="EH259" s="325">
        <f t="shared" ref="EH259:ES259" si="52">SUM(EH260:EH261)</f>
        <v>37847818.636239164</v>
      </c>
      <c r="EI259" s="325">
        <f t="shared" si="52"/>
        <v>37847818.636239164</v>
      </c>
      <c r="EJ259" s="325">
        <f t="shared" si="52"/>
        <v>37847818.636239164</v>
      </c>
      <c r="EK259" s="325">
        <f t="shared" si="52"/>
        <v>37847818.636239164</v>
      </c>
      <c r="EL259" s="325">
        <f t="shared" si="52"/>
        <v>37847818.636239164</v>
      </c>
      <c r="EM259" s="325">
        <f t="shared" si="52"/>
        <v>37847818.636239164</v>
      </c>
      <c r="EN259" s="325">
        <f t="shared" si="52"/>
        <v>37847818.636239164</v>
      </c>
      <c r="EO259" s="325">
        <f t="shared" si="52"/>
        <v>37847818.636239164</v>
      </c>
      <c r="EP259" s="325">
        <f t="shared" si="52"/>
        <v>37847818.636239164</v>
      </c>
      <c r="EQ259" s="325">
        <f t="shared" si="52"/>
        <v>37847818.636239164</v>
      </c>
      <c r="ER259" s="325">
        <f t="shared" si="52"/>
        <v>37847818.636239164</v>
      </c>
      <c r="ES259" s="325">
        <f t="shared" si="52"/>
        <v>37847818.636239164</v>
      </c>
      <c r="ET259" s="325"/>
      <c r="EU259" s="325"/>
      <c r="EV259" s="325"/>
      <c r="EW259" s="325"/>
      <c r="EX259" s="325"/>
      <c r="EY259" s="325"/>
      <c r="EZ259" s="325"/>
      <c r="FA259" s="325"/>
      <c r="FB259" s="325"/>
      <c r="FC259" s="325"/>
      <c r="FD259" s="325"/>
      <c r="FE259" s="325"/>
      <c r="FF259" s="325">
        <v>24022843.850000001</v>
      </c>
      <c r="FG259" s="325">
        <v>0</v>
      </c>
      <c r="FH259" s="325">
        <v>107399337.39</v>
      </c>
      <c r="FI259" s="325">
        <v>15000000</v>
      </c>
      <c r="FJ259" s="325">
        <v>112000000</v>
      </c>
      <c r="FK259" s="325">
        <v>17000000</v>
      </c>
      <c r="FL259" s="325">
        <v>17000000</v>
      </c>
      <c r="FM259" s="325">
        <v>15000000</v>
      </c>
      <c r="FN259" s="325">
        <v>17000000</v>
      </c>
      <c r="FO259" s="325">
        <v>17000000</v>
      </c>
      <c r="FP259" s="325">
        <v>15000000</v>
      </c>
      <c r="FQ259" s="325">
        <v>13983087.501553783</v>
      </c>
      <c r="FR259" s="325">
        <f>SUM(FR260:FR261)</f>
        <v>316564.84000000003</v>
      </c>
      <c r="FS259" s="325">
        <f t="shared" ref="FS259:GC259" si="53">SUM(FS260:FS261)</f>
        <v>1511136.76</v>
      </c>
      <c r="FT259" s="325">
        <f t="shared" si="53"/>
        <v>3834054.75</v>
      </c>
      <c r="FU259" s="325">
        <f t="shared" si="53"/>
        <v>4493810.3600000003</v>
      </c>
      <c r="FV259" s="325">
        <f t="shared" si="53"/>
        <v>250307576.15000001</v>
      </c>
      <c r="FW259" s="325">
        <f t="shared" si="53"/>
        <v>10146635.998571429</v>
      </c>
      <c r="FX259" s="325">
        <f t="shared" si="53"/>
        <v>10146635.998571429</v>
      </c>
      <c r="FY259" s="325">
        <f t="shared" si="53"/>
        <v>10146635.998571429</v>
      </c>
      <c r="FZ259" s="325">
        <f t="shared" si="53"/>
        <v>10146635.998571429</v>
      </c>
      <c r="GA259" s="325">
        <f t="shared" si="53"/>
        <v>10146635.998571429</v>
      </c>
      <c r="GB259" s="325">
        <f t="shared" si="53"/>
        <v>10146635.998571429</v>
      </c>
      <c r="GC259" s="325">
        <f t="shared" si="53"/>
        <v>10146635.998571429</v>
      </c>
      <c r="GE259" s="427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7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5">
        <v>36581480.009166665</v>
      </c>
      <c r="EU264" s="325">
        <v>36581480.009166665</v>
      </c>
      <c r="EV264" s="325">
        <v>36581480.009166665</v>
      </c>
      <c r="EW264" s="325">
        <v>36581480.009166665</v>
      </c>
      <c r="EX264" s="325">
        <v>36581480.009166665</v>
      </c>
      <c r="EY264" s="325">
        <v>36581480.009166665</v>
      </c>
      <c r="EZ264" s="325">
        <v>36581480.009166665</v>
      </c>
      <c r="FA264" s="325">
        <v>36581480.009166665</v>
      </c>
      <c r="FB264" s="325">
        <v>42330489.099166654</v>
      </c>
      <c r="FC264" s="325">
        <v>42330489.099166654</v>
      </c>
      <c r="FD264" s="325">
        <v>42330489.099166654</v>
      </c>
      <c r="FE264" s="325">
        <v>42330489.099166654</v>
      </c>
      <c r="FF264" s="325">
        <v>39362332.101666681</v>
      </c>
      <c r="FG264" s="325">
        <v>39125646.701666676</v>
      </c>
      <c r="FH264" s="325">
        <v>39113380.221666679</v>
      </c>
      <c r="FI264" s="325">
        <v>39105431.161666669</v>
      </c>
      <c r="FJ264" s="325">
        <v>39107573.981666677</v>
      </c>
      <c r="FK264" s="325">
        <v>41935580.18166668</v>
      </c>
      <c r="FL264" s="325">
        <v>39107470.111666672</v>
      </c>
      <c r="FM264" s="325">
        <v>39093383.891666673</v>
      </c>
      <c r="FN264" s="325">
        <v>39030288.911666676</v>
      </c>
      <c r="FO264" s="325">
        <v>39107584.94166667</v>
      </c>
      <c r="FP264" s="325">
        <v>39107395.941666678</v>
      </c>
      <c r="FQ264" s="325">
        <v>38858179.001666702</v>
      </c>
      <c r="FR264" s="325">
        <v>40884882.280000001</v>
      </c>
      <c r="FS264" s="325">
        <v>41362850.270000003</v>
      </c>
      <c r="FT264" s="325">
        <v>41444412.079999998</v>
      </c>
      <c r="FU264" s="325">
        <v>41745440.189999998</v>
      </c>
      <c r="FV264" s="325">
        <v>40757623.899999999</v>
      </c>
      <c r="FW264" s="325">
        <v>41753797.367142849</v>
      </c>
      <c r="FX264" s="325">
        <v>41753797.367142849</v>
      </c>
      <c r="FY264" s="325">
        <v>41753797.367142849</v>
      </c>
      <c r="FZ264" s="325">
        <v>41753797.367142849</v>
      </c>
      <c r="GA264" s="325">
        <v>41753797.367142849</v>
      </c>
      <c r="GB264" s="325">
        <v>41753797.367142849</v>
      </c>
      <c r="GC264" s="325">
        <v>41753797.367142849</v>
      </c>
      <c r="GE264" s="427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8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8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8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8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8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5">
        <v>1045765.8483333333</v>
      </c>
      <c r="EU270" s="325">
        <v>1045765.8483333333</v>
      </c>
      <c r="EV270" s="325">
        <v>1045765.8483333333</v>
      </c>
      <c r="EW270" s="325">
        <v>1064654.7372222226</v>
      </c>
      <c r="EX270" s="325">
        <v>1064654.7372222226</v>
      </c>
      <c r="EY270" s="325">
        <v>1064654.7372222226</v>
      </c>
      <c r="EZ270" s="325">
        <v>1064654.7372222226</v>
      </c>
      <c r="FA270" s="325">
        <v>1064654.7372222226</v>
      </c>
      <c r="FB270" s="325">
        <v>1064654.7372222201</v>
      </c>
      <c r="FC270" s="325">
        <v>1064654.7372222201</v>
      </c>
      <c r="FD270" s="325">
        <v>1064654.7372222226</v>
      </c>
      <c r="FE270" s="325">
        <v>1608087.7372222189</v>
      </c>
      <c r="FF270" s="325">
        <v>1281057.9508333332</v>
      </c>
      <c r="FG270" s="325">
        <v>1323983.3608333331</v>
      </c>
      <c r="FH270" s="325">
        <v>1260740.2808333333</v>
      </c>
      <c r="FI270" s="325">
        <v>1247473.6108333331</v>
      </c>
      <c r="FJ270" s="325">
        <v>1248015.2908333333</v>
      </c>
      <c r="FK270" s="325">
        <v>1249948.9408333332</v>
      </c>
      <c r="FL270" s="325">
        <v>1249158.6208333333</v>
      </c>
      <c r="FM270" s="325">
        <v>1249158.6208333333</v>
      </c>
      <c r="FN270" s="325">
        <v>1249658.6108333331</v>
      </c>
      <c r="FO270" s="325">
        <v>1239658.6108333331</v>
      </c>
      <c r="FP270" s="325">
        <v>1238097.2408333332</v>
      </c>
      <c r="FQ270" s="325">
        <v>1240174.31083333</v>
      </c>
      <c r="FR270" s="325">
        <v>476603.42</v>
      </c>
      <c r="FS270" s="325">
        <v>1082169.6499999999</v>
      </c>
      <c r="FT270" s="325">
        <v>1109472.33</v>
      </c>
      <c r="FU270" s="325">
        <v>652598.81999999995</v>
      </c>
      <c r="FV270" s="325">
        <v>376000.24</v>
      </c>
      <c r="FW270" s="325">
        <v>1605574.7457142856</v>
      </c>
      <c r="FX270" s="325">
        <v>1605574.7457142856</v>
      </c>
      <c r="FY270" s="325">
        <v>1605574.7457142856</v>
      </c>
      <c r="FZ270" s="325">
        <v>1605574.7457142856</v>
      </c>
      <c r="GA270" s="325">
        <v>1605574.7457142856</v>
      </c>
      <c r="GB270" s="325">
        <v>1605574.7457142856</v>
      </c>
      <c r="GC270" s="325">
        <v>1605590.0757142901</v>
      </c>
      <c r="GE270" s="427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30"/>
      <c r="FS271" s="430"/>
      <c r="FT271" s="430"/>
      <c r="FU271" s="430"/>
      <c r="FV271" s="430"/>
      <c r="FW271" s="430"/>
      <c r="FX271" s="430"/>
      <c r="FY271" s="430"/>
      <c r="FZ271" s="430"/>
      <c r="GA271" s="430"/>
      <c r="GB271" s="430"/>
      <c r="GC271" s="430"/>
      <c r="GD271" s="42"/>
      <c r="GE271" s="428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30"/>
      <c r="FS272" s="430"/>
      <c r="FT272" s="430"/>
      <c r="FU272" s="430"/>
      <c r="FV272" s="430"/>
      <c r="FW272" s="430"/>
      <c r="FX272" s="430"/>
      <c r="FY272" s="430"/>
      <c r="FZ272" s="430"/>
      <c r="GA272" s="430"/>
      <c r="GB272" s="430"/>
      <c r="GC272" s="430"/>
      <c r="GD272" s="42"/>
      <c r="GE272" s="428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30"/>
      <c r="FS273" s="430"/>
      <c r="FT273" s="430"/>
      <c r="FU273" s="430"/>
      <c r="FV273" s="430"/>
      <c r="FW273" s="430"/>
      <c r="FX273" s="430"/>
      <c r="FY273" s="430"/>
      <c r="FZ273" s="430"/>
      <c r="GA273" s="430"/>
      <c r="GB273" s="430"/>
      <c r="GC273" s="430"/>
      <c r="GD273" s="42"/>
      <c r="GE273" s="428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30"/>
      <c r="FS274" s="430"/>
      <c r="FT274" s="430"/>
      <c r="FU274" s="430"/>
      <c r="FV274" s="430"/>
      <c r="FW274" s="430"/>
      <c r="FX274" s="430"/>
      <c r="FY274" s="430"/>
      <c r="FZ274" s="430"/>
      <c r="GA274" s="430"/>
      <c r="GB274" s="430"/>
      <c r="GC274" s="430"/>
      <c r="GD274" s="42"/>
      <c r="GE274" s="428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30"/>
      <c r="FS275" s="430"/>
      <c r="FT275" s="430"/>
      <c r="FU275" s="430"/>
      <c r="FV275" s="430"/>
      <c r="FW275" s="430"/>
      <c r="FX275" s="430"/>
      <c r="FY275" s="430"/>
      <c r="FZ275" s="430"/>
      <c r="GA275" s="430"/>
      <c r="GB275" s="430"/>
      <c r="GC275" s="430"/>
      <c r="GD275" s="42"/>
      <c r="GE275" s="428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8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30"/>
      <c r="FS277" s="430"/>
      <c r="FT277" s="430"/>
      <c r="FU277" s="430"/>
      <c r="FV277" s="430"/>
      <c r="FW277" s="430"/>
      <c r="FX277" s="430"/>
      <c r="FY277" s="430"/>
      <c r="FZ277" s="430"/>
      <c r="GA277" s="430"/>
      <c r="GB277" s="430"/>
      <c r="GC277" s="430"/>
      <c r="GD277" s="42"/>
      <c r="GE277" s="428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5">
        <v>2429373.3213333334</v>
      </c>
      <c r="EU278" s="325">
        <v>2429373.3213333334</v>
      </c>
      <c r="EV278" s="325">
        <v>2429373.3213333334</v>
      </c>
      <c r="EW278" s="325">
        <v>2429373.3213333334</v>
      </c>
      <c r="EX278" s="325">
        <v>2429373.3213333334</v>
      </c>
      <c r="EY278" s="325">
        <v>2429373.3213333334</v>
      </c>
      <c r="EZ278" s="325">
        <v>3644059.9819999994</v>
      </c>
      <c r="FA278" s="325">
        <v>3644059.9819999994</v>
      </c>
      <c r="FB278" s="325">
        <v>4454463.4019999988</v>
      </c>
      <c r="FC278" s="325">
        <v>4454463.4019999988</v>
      </c>
      <c r="FD278" s="325">
        <v>4454463.4019999988</v>
      </c>
      <c r="FE278" s="325">
        <v>4454463.4019999988</v>
      </c>
      <c r="FF278" s="325">
        <v>3067786.435833334</v>
      </c>
      <c r="FG278" s="325">
        <v>3019826.0658333339</v>
      </c>
      <c r="FH278" s="325">
        <v>3058309.8858333337</v>
      </c>
      <c r="FI278" s="325">
        <v>3046755.8058333341</v>
      </c>
      <c r="FJ278" s="325">
        <v>3057105.8058333341</v>
      </c>
      <c r="FK278" s="325">
        <v>3056755.8058333341</v>
      </c>
      <c r="FL278" s="325">
        <v>3059180.8058333341</v>
      </c>
      <c r="FM278" s="325">
        <v>3059180.8058333341</v>
      </c>
      <c r="FN278" s="325">
        <v>3059040.8058333341</v>
      </c>
      <c r="FO278" s="325">
        <v>3063161.8058333341</v>
      </c>
      <c r="FP278" s="325">
        <v>3060771.8058333341</v>
      </c>
      <c r="FQ278" s="325">
        <v>3044951.8258333337</v>
      </c>
      <c r="FR278" s="325">
        <v>845574.4</v>
      </c>
      <c r="FS278" s="325">
        <v>4271561.3099999996</v>
      </c>
      <c r="FT278" s="325">
        <v>2456800.5</v>
      </c>
      <c r="FU278" s="325">
        <v>3001224.56</v>
      </c>
      <c r="FV278" s="325">
        <v>1835726.56</v>
      </c>
      <c r="FW278" s="325">
        <v>3331584.2171428567</v>
      </c>
      <c r="FX278" s="325">
        <v>3331584.2171428567</v>
      </c>
      <c r="FY278" s="325">
        <v>2665267.3737142859</v>
      </c>
      <c r="FZ278" s="325">
        <v>3331584.2171428567</v>
      </c>
      <c r="GA278" s="325">
        <v>3331584.2171428567</v>
      </c>
      <c r="GB278" s="325">
        <v>3331584.2171428567</v>
      </c>
      <c r="GC278" s="325">
        <v>3997910.8964734701</v>
      </c>
      <c r="GE278" s="427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8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8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8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8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8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8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5">
        <v>3986420.5893333331</v>
      </c>
      <c r="EU285" s="325">
        <v>3986420.5893333331</v>
      </c>
      <c r="EV285" s="325">
        <v>3986420.5893333331</v>
      </c>
      <c r="EW285" s="325">
        <v>4097531.7004444432</v>
      </c>
      <c r="EX285" s="325">
        <v>4097531.7004444432</v>
      </c>
      <c r="EY285" s="325">
        <v>4097531.7004444432</v>
      </c>
      <c r="EZ285" s="325">
        <v>6090741.9951111097</v>
      </c>
      <c r="FA285" s="325">
        <v>6090741.9951111097</v>
      </c>
      <c r="FB285" s="325">
        <v>5577148.0201111175</v>
      </c>
      <c r="FC285" s="325">
        <v>5577148.0201111175</v>
      </c>
      <c r="FD285" s="325">
        <v>5577148.0201111175</v>
      </c>
      <c r="FE285" s="325">
        <v>5577148.0201111175</v>
      </c>
      <c r="FF285" s="325">
        <v>6120514.5875000004</v>
      </c>
      <c r="FG285" s="325">
        <v>5971668.0075000003</v>
      </c>
      <c r="FH285" s="325">
        <v>5177760.0175000001</v>
      </c>
      <c r="FI285" s="325">
        <v>5087042.1275000004</v>
      </c>
      <c r="FJ285" s="325">
        <v>5141875.5275000008</v>
      </c>
      <c r="FK285" s="325">
        <v>5197534.4975000005</v>
      </c>
      <c r="FL285" s="325">
        <v>5059087.2374999989</v>
      </c>
      <c r="FM285" s="325">
        <v>5071091.2374999989</v>
      </c>
      <c r="FN285" s="325">
        <v>5175886.7374999989</v>
      </c>
      <c r="FO285" s="325">
        <v>5062253.3274999987</v>
      </c>
      <c r="FP285" s="325">
        <v>5061881.6574999988</v>
      </c>
      <c r="FQ285" s="325">
        <v>5000451.0074999994</v>
      </c>
      <c r="FR285" s="325">
        <v>1526609.67</v>
      </c>
      <c r="FS285" s="325">
        <v>5800030.7699999996</v>
      </c>
      <c r="FT285" s="325">
        <v>6227024.2599999998</v>
      </c>
      <c r="FU285" s="325">
        <v>3735755.56</v>
      </c>
      <c r="FV285" s="325">
        <v>13077926.789999999</v>
      </c>
      <c r="FW285" s="325">
        <v>4490161.0014285715</v>
      </c>
      <c r="FX285" s="325">
        <v>4490161.0014285715</v>
      </c>
      <c r="FY285" s="325">
        <v>3592128.8011428574</v>
      </c>
      <c r="FZ285" s="325">
        <v>4490161.0014285715</v>
      </c>
      <c r="GA285" s="325">
        <v>4490161.0014285715</v>
      </c>
      <c r="GB285" s="325">
        <v>4490161.0014285715</v>
      </c>
      <c r="GC285" s="325">
        <v>5388158.5617142906</v>
      </c>
      <c r="GE285" s="427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8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8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8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8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8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8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8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8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8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5">
        <v>1860319.3983333334</v>
      </c>
      <c r="EU295" s="325">
        <v>1860319.3983333334</v>
      </c>
      <c r="EV295" s="325">
        <v>1860319.3983333334</v>
      </c>
      <c r="EW295" s="325">
        <v>1860319.3983333334</v>
      </c>
      <c r="EX295" s="325">
        <v>1860319.3983333334</v>
      </c>
      <c r="EY295" s="325">
        <v>1860319.3983333334</v>
      </c>
      <c r="EZ295" s="325">
        <v>1860319.3983333334</v>
      </c>
      <c r="FA295" s="325">
        <v>1860319.3983333334</v>
      </c>
      <c r="FB295" s="325">
        <v>1850732.9058333328</v>
      </c>
      <c r="FC295" s="325">
        <v>1850732.9058333328</v>
      </c>
      <c r="FD295" s="325">
        <v>1850732.9058333328</v>
      </c>
      <c r="FE295" s="325">
        <v>1850732.9058333328</v>
      </c>
      <c r="FF295" s="325">
        <v>1931829.4616666667</v>
      </c>
      <c r="FG295" s="325">
        <v>1929704.3816666668</v>
      </c>
      <c r="FH295" s="325">
        <v>1921162.7116666667</v>
      </c>
      <c r="FI295" s="325">
        <v>1920662.7116666667</v>
      </c>
      <c r="FJ295" s="325">
        <v>1927678.7016666669</v>
      </c>
      <c r="FK295" s="325">
        <v>1927612.7316666667</v>
      </c>
      <c r="FL295" s="325">
        <v>1934953.7116666667</v>
      </c>
      <c r="FM295" s="325">
        <v>1934887.7116666667</v>
      </c>
      <c r="FN295" s="325">
        <v>1926953.7016666669</v>
      </c>
      <c r="FO295" s="325">
        <v>1926887.7016666669</v>
      </c>
      <c r="FP295" s="325">
        <v>1926953.7016666669</v>
      </c>
      <c r="FQ295" s="325">
        <v>1908616.3716666668</v>
      </c>
      <c r="FR295" s="325">
        <v>108691.98</v>
      </c>
      <c r="FS295" s="325">
        <v>2265483.7400000002</v>
      </c>
      <c r="FT295" s="325">
        <v>1016574.39</v>
      </c>
      <c r="FU295" s="325">
        <v>2804355.68</v>
      </c>
      <c r="FV295" s="325">
        <v>1877727.17</v>
      </c>
      <c r="FW295" s="325">
        <v>2564587.1557142856</v>
      </c>
      <c r="FX295" s="325">
        <v>2564587.1557142856</v>
      </c>
      <c r="FY295" s="325">
        <v>2051669.7245714283</v>
      </c>
      <c r="FZ295" s="325">
        <v>2564587.1557142856</v>
      </c>
      <c r="GA295" s="325">
        <v>2564587.1557142856</v>
      </c>
      <c r="GB295" s="325">
        <v>2564587.1557142856</v>
      </c>
      <c r="GC295" s="325">
        <v>3077495.2968571493</v>
      </c>
      <c r="GE295" s="427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8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8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8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5">
        <v>7122725</v>
      </c>
      <c r="EU299" s="325">
        <v>7122725</v>
      </c>
      <c r="EV299" s="325">
        <v>7122725</v>
      </c>
      <c r="EW299" s="325">
        <v>7122725</v>
      </c>
      <c r="EX299" s="325">
        <v>7122725</v>
      </c>
      <c r="EY299" s="325">
        <v>7122725</v>
      </c>
      <c r="EZ299" s="325">
        <v>7122725</v>
      </c>
      <c r="FA299" s="325">
        <v>7122725</v>
      </c>
      <c r="FB299" s="325">
        <v>7615225</v>
      </c>
      <c r="FC299" s="325">
        <v>7615225</v>
      </c>
      <c r="FD299" s="325">
        <v>7615225</v>
      </c>
      <c r="FE299" s="325">
        <v>7615225</v>
      </c>
      <c r="FF299" s="325">
        <v>7980725.0000000009</v>
      </c>
      <c r="FG299" s="325">
        <v>986719.96000000054</v>
      </c>
      <c r="FH299" s="325">
        <v>28101499.100000001</v>
      </c>
      <c r="FI299" s="325">
        <v>18499732.100000001</v>
      </c>
      <c r="FJ299" s="325">
        <v>14045836.270000001</v>
      </c>
      <c r="FK299" s="325">
        <v>1973802.6600000008</v>
      </c>
      <c r="FL299" s="325">
        <v>8764475.7899999991</v>
      </c>
      <c r="FM299" s="325">
        <v>1297206.1400000008</v>
      </c>
      <c r="FN299" s="325">
        <v>3140325.8000000007</v>
      </c>
      <c r="FO299" s="325">
        <v>1321292.0800000008</v>
      </c>
      <c r="FP299" s="325">
        <v>7803737.330000001</v>
      </c>
      <c r="FQ299" s="325">
        <v>1837347.7700000007</v>
      </c>
      <c r="FR299" s="325">
        <v>7654845.3899999997</v>
      </c>
      <c r="FS299" s="325">
        <v>1839801.88</v>
      </c>
      <c r="FT299" s="325">
        <v>27475960.399999999</v>
      </c>
      <c r="FU299" s="325">
        <v>22559197.739999998</v>
      </c>
      <c r="FV299" s="325">
        <v>1656916.58</v>
      </c>
      <c r="FW299" s="325">
        <v>5198232.47</v>
      </c>
      <c r="FX299" s="325">
        <v>7583026.2800000003</v>
      </c>
      <c r="FY299" s="325">
        <v>786949.86</v>
      </c>
      <c r="FZ299" s="325">
        <v>2190986</v>
      </c>
      <c r="GA299" s="325">
        <v>17371477.57</v>
      </c>
      <c r="GB299" s="325">
        <v>3971191.03</v>
      </c>
      <c r="GC299" s="325">
        <v>5055431.2400000077</v>
      </c>
      <c r="GE299" s="427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8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8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5">
        <v>800010.93333333347</v>
      </c>
      <c r="EU302" s="325">
        <v>800010.93333333347</v>
      </c>
      <c r="EV302" s="325">
        <v>800010.93333333347</v>
      </c>
      <c r="EW302" s="325">
        <v>800010.93333333347</v>
      </c>
      <c r="EX302" s="325">
        <v>800010.93333333347</v>
      </c>
      <c r="EY302" s="325">
        <v>800010.93333333347</v>
      </c>
      <c r="EZ302" s="325">
        <v>800010.93333333347</v>
      </c>
      <c r="FA302" s="325">
        <v>800010.93333333347</v>
      </c>
      <c r="FB302" s="325">
        <v>986109.29833333322</v>
      </c>
      <c r="FC302" s="325">
        <v>986109.29833333322</v>
      </c>
      <c r="FD302" s="325">
        <v>986109.29833333322</v>
      </c>
      <c r="FE302" s="325">
        <v>986109.29833333322</v>
      </c>
      <c r="FF302" s="325">
        <v>832820.39</v>
      </c>
      <c r="FG302" s="325">
        <v>780840.39</v>
      </c>
      <c r="FH302" s="325">
        <v>793807.47</v>
      </c>
      <c r="FI302" s="325">
        <v>776070.39</v>
      </c>
      <c r="FJ302" s="325">
        <v>793070.39</v>
      </c>
      <c r="FK302" s="325">
        <v>826070.39</v>
      </c>
      <c r="FL302" s="325">
        <v>846570.39</v>
      </c>
      <c r="FM302" s="325">
        <v>846570.39</v>
      </c>
      <c r="FN302" s="325">
        <v>826570.39</v>
      </c>
      <c r="FO302" s="325">
        <v>826570.39</v>
      </c>
      <c r="FP302" s="325">
        <v>826570.39</v>
      </c>
      <c r="FQ302" s="325">
        <v>845570.39</v>
      </c>
      <c r="FR302" s="325">
        <v>616777.93000000005</v>
      </c>
      <c r="FS302" s="325">
        <v>930050.26</v>
      </c>
      <c r="FT302" s="325">
        <v>896586.65</v>
      </c>
      <c r="FU302" s="325">
        <v>972131.72</v>
      </c>
      <c r="FV302" s="325">
        <v>769427.2</v>
      </c>
      <c r="FW302" s="325">
        <v>991607.47714285715</v>
      </c>
      <c r="FX302" s="325">
        <v>991607.47714285715</v>
      </c>
      <c r="FY302" s="325">
        <v>991607.47714285715</v>
      </c>
      <c r="FZ302" s="325">
        <v>991607.47714285715</v>
      </c>
      <c r="GA302" s="325">
        <v>991607.47714285715</v>
      </c>
      <c r="GB302" s="325">
        <v>991607.47714285715</v>
      </c>
      <c r="GC302" s="325">
        <v>991620.63714285719</v>
      </c>
      <c r="GE302" s="427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8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8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8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5">
        <v>2250983.3333333335</v>
      </c>
      <c r="EU306" s="325">
        <v>2250983.3333333335</v>
      </c>
      <c r="EV306" s="325">
        <v>2250983.3333333335</v>
      </c>
      <c r="EW306" s="325">
        <v>2250983.3333333335</v>
      </c>
      <c r="EX306" s="325">
        <v>2250983.3333333335</v>
      </c>
      <c r="EY306" s="325">
        <v>2250983.3333333335</v>
      </c>
      <c r="EZ306" s="325">
        <v>2250983.3333333335</v>
      </c>
      <c r="FA306" s="325">
        <v>2250983.3333333335</v>
      </c>
      <c r="FB306" s="325">
        <v>2180983.3333333344</v>
      </c>
      <c r="FC306" s="325">
        <v>2180983.3333333344</v>
      </c>
      <c r="FD306" s="325">
        <v>2180983.3333333344</v>
      </c>
      <c r="FE306" s="325">
        <v>2180983.3333333344</v>
      </c>
      <c r="FF306" s="325">
        <v>2149037.4966666666</v>
      </c>
      <c r="FG306" s="325">
        <v>2320829.9566666665</v>
      </c>
      <c r="FH306" s="325">
        <v>4834564.4966666671</v>
      </c>
      <c r="FI306" s="325">
        <v>2443787.4966666666</v>
      </c>
      <c r="FJ306" s="325">
        <v>2190037.4966666666</v>
      </c>
      <c r="FK306" s="325">
        <v>1990037.4966666666</v>
      </c>
      <c r="FL306" s="325">
        <v>1956704.1566666667</v>
      </c>
      <c r="FM306" s="325">
        <v>2253357.6966666663</v>
      </c>
      <c r="FN306" s="325">
        <v>4447481.1566666672</v>
      </c>
      <c r="FO306" s="325">
        <v>2156704.1566666663</v>
      </c>
      <c r="FP306" s="325">
        <v>2056704.1966666668</v>
      </c>
      <c r="FQ306" s="325">
        <v>2015354.1966666668</v>
      </c>
      <c r="FR306" s="325">
        <v>186907.92</v>
      </c>
      <c r="FS306" s="325">
        <v>1211715.27</v>
      </c>
      <c r="FT306" s="325">
        <v>1425211.49</v>
      </c>
      <c r="FU306" s="325">
        <v>5065576.53</v>
      </c>
      <c r="FV306" s="325">
        <v>1512180.75</v>
      </c>
      <c r="FW306" s="325">
        <v>4240435.0014285715</v>
      </c>
      <c r="FX306" s="325">
        <v>4240435.0014285715</v>
      </c>
      <c r="FY306" s="325">
        <v>4240435.0014285715</v>
      </c>
      <c r="FZ306" s="325">
        <v>4240435.0014285715</v>
      </c>
      <c r="GA306" s="325">
        <v>4240435.0014285715</v>
      </c>
      <c r="GB306" s="325">
        <v>4240435.0014285715</v>
      </c>
      <c r="GC306" s="325">
        <v>4240435.0014285715</v>
      </c>
      <c r="GE306" s="427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8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8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8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5">
        <v>2581823.9339999999</v>
      </c>
      <c r="EU310" s="325">
        <v>2581823.9339999999</v>
      </c>
      <c r="EV310" s="325">
        <v>2581823.9339999999</v>
      </c>
      <c r="EW310" s="325">
        <v>2696268.3784444444</v>
      </c>
      <c r="EX310" s="325">
        <v>2696268.3784444444</v>
      </c>
      <c r="EY310" s="325">
        <v>2696268.3784444444</v>
      </c>
      <c r="EZ310" s="325">
        <v>3987180.345444445</v>
      </c>
      <c r="FA310" s="325">
        <v>3987180.345444445</v>
      </c>
      <c r="FB310" s="325">
        <v>3877323.0754444436</v>
      </c>
      <c r="FC310" s="325">
        <v>3877323.0754444436</v>
      </c>
      <c r="FD310" s="325">
        <v>3877323.0754444436</v>
      </c>
      <c r="FE310" s="325">
        <v>3877323.0754444436</v>
      </c>
      <c r="FF310" s="325">
        <v>3473855.870833334</v>
      </c>
      <c r="FG310" s="325">
        <v>4119817.790833334</v>
      </c>
      <c r="FH310" s="325">
        <v>5047234.1108333347</v>
      </c>
      <c r="FI310" s="325">
        <v>3132271.9408333339</v>
      </c>
      <c r="FJ310" s="325">
        <v>3070265.2508333339</v>
      </c>
      <c r="FK310" s="325">
        <v>3309652.560833334</v>
      </c>
      <c r="FL310" s="325">
        <v>4122049.5508333351</v>
      </c>
      <c r="FM310" s="325">
        <v>3027649.6708333334</v>
      </c>
      <c r="FN310" s="325">
        <v>2986649.6408333336</v>
      </c>
      <c r="FO310" s="325">
        <v>2977759.6208333336</v>
      </c>
      <c r="FP310" s="325">
        <v>3014504.6508333334</v>
      </c>
      <c r="FQ310" s="325">
        <v>2914612.7408333337</v>
      </c>
      <c r="FR310" s="325">
        <v>1397051.29</v>
      </c>
      <c r="FS310" s="325">
        <v>3848578.53</v>
      </c>
      <c r="FT310" s="325">
        <v>3215082.08</v>
      </c>
      <c r="FU310" s="325">
        <v>3945513.03</v>
      </c>
      <c r="FV310" s="325">
        <v>3372954.89</v>
      </c>
      <c r="FW310" s="325">
        <v>6200000</v>
      </c>
      <c r="FX310" s="325">
        <v>4599715.6983333342</v>
      </c>
      <c r="FY310" s="325">
        <v>3679772.5586666674</v>
      </c>
      <c r="FZ310" s="325">
        <v>4599715.6983333342</v>
      </c>
      <c r="GA310" s="325">
        <v>4599715.6983333342</v>
      </c>
      <c r="GB310" s="325">
        <v>4599715.6983333342</v>
      </c>
      <c r="GC310" s="325">
        <v>5519658.8379999958</v>
      </c>
      <c r="GE310" s="427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8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8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8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8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8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8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8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8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8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5">
        <v>45950724.162500009</v>
      </c>
      <c r="EU320" s="325">
        <v>45950724.162500009</v>
      </c>
      <c r="EV320" s="325">
        <v>45950724.162500009</v>
      </c>
      <c r="EW320" s="325">
        <v>45950724.162500009</v>
      </c>
      <c r="EX320" s="325">
        <v>45950724.162500009</v>
      </c>
      <c r="EY320" s="325">
        <v>45950724.162500009</v>
      </c>
      <c r="EZ320" s="325">
        <v>45950724.162500009</v>
      </c>
      <c r="FA320" s="325">
        <v>45950724.162500009</v>
      </c>
      <c r="FB320" s="325">
        <v>47831745.139999971</v>
      </c>
      <c r="FC320" s="325">
        <v>47831745.139999971</v>
      </c>
      <c r="FD320" s="325">
        <v>47831745.139999971</v>
      </c>
      <c r="FE320" s="325">
        <v>47831745.139999971</v>
      </c>
      <c r="FF320" s="325">
        <v>46204849.909999982</v>
      </c>
      <c r="FG320" s="325">
        <v>46206149.810000002</v>
      </c>
      <c r="FH320" s="325">
        <v>46206149.810000002</v>
      </c>
      <c r="FI320" s="325">
        <v>46206149.810000002</v>
      </c>
      <c r="FJ320" s="325">
        <v>46206149.810000002</v>
      </c>
      <c r="FK320" s="325">
        <v>46206149.810000002</v>
      </c>
      <c r="FL320" s="325">
        <v>46206149.810000002</v>
      </c>
      <c r="FM320" s="325">
        <v>46206149.810000002</v>
      </c>
      <c r="FN320" s="325">
        <v>46206149.810000002</v>
      </c>
      <c r="FO320" s="325">
        <v>47329512.010000005</v>
      </c>
      <c r="FP320" s="325">
        <v>47329512.010000005</v>
      </c>
      <c r="FQ320" s="325">
        <v>47329512.010000005</v>
      </c>
      <c r="FR320" s="325">
        <f>FR321+FR330+FR336+FR344+FR346</f>
        <v>43744418.239999995</v>
      </c>
      <c r="FS320" s="325">
        <f t="shared" ref="FS320:GC320" si="84">FS321+FS330+FS336+FS344+FS346</f>
        <v>46796687.629999995</v>
      </c>
      <c r="FT320" s="325">
        <f t="shared" si="84"/>
        <v>46377214.320000008</v>
      </c>
      <c r="FU320" s="325">
        <f t="shared" si="84"/>
        <v>46828214.329999998</v>
      </c>
      <c r="FV320" s="325">
        <f t="shared" si="84"/>
        <v>44861859.969999999</v>
      </c>
      <c r="FW320" s="325">
        <f t="shared" si="84"/>
        <v>49868571.824285723</v>
      </c>
      <c r="FX320" s="325">
        <f t="shared" si="84"/>
        <v>49868571.824285723</v>
      </c>
      <c r="FY320" s="325">
        <f t="shared" si="84"/>
        <v>49868571.824285723</v>
      </c>
      <c r="FZ320" s="325">
        <f t="shared" si="84"/>
        <v>49868571.824285723</v>
      </c>
      <c r="GA320" s="325">
        <f t="shared" si="84"/>
        <v>49868571.824285723</v>
      </c>
      <c r="GB320" s="325">
        <f t="shared" si="84"/>
        <v>49868571.824285723</v>
      </c>
      <c r="GC320" s="325">
        <f t="shared" si="84"/>
        <v>49868571.824285723</v>
      </c>
      <c r="GE320" s="427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5">
        <v>6651000</v>
      </c>
      <c r="EU321" s="325">
        <v>6651000</v>
      </c>
      <c r="EV321" s="325">
        <v>6651000</v>
      </c>
      <c r="EW321" s="325">
        <v>6651000</v>
      </c>
      <c r="EX321" s="325">
        <v>6651000</v>
      </c>
      <c r="EY321" s="325">
        <v>6651000</v>
      </c>
      <c r="EZ321" s="325">
        <v>6651000</v>
      </c>
      <c r="FA321" s="325">
        <v>6651000</v>
      </c>
      <c r="FB321" s="325">
        <v>7394520.9774999991</v>
      </c>
      <c r="FC321" s="325">
        <v>7394520.9774999991</v>
      </c>
      <c r="FD321" s="325">
        <v>7394520.9774999991</v>
      </c>
      <c r="FE321" s="325">
        <v>7394520.9774999991</v>
      </c>
      <c r="FF321" s="325">
        <v>6747975.0000000028</v>
      </c>
      <c r="FG321" s="325">
        <v>6749275.0000000028</v>
      </c>
      <c r="FH321" s="325">
        <v>6749275.0000000028</v>
      </c>
      <c r="FI321" s="325">
        <v>6749275.0000000028</v>
      </c>
      <c r="FJ321" s="325">
        <v>6749275.0000000028</v>
      </c>
      <c r="FK321" s="325">
        <v>6749275.0000000028</v>
      </c>
      <c r="FL321" s="325">
        <v>6749275.0000000028</v>
      </c>
      <c r="FM321" s="325">
        <v>6749275.0000000028</v>
      </c>
      <c r="FN321" s="325">
        <v>6749275.0000000028</v>
      </c>
      <c r="FO321" s="325">
        <v>6749275.0000000028</v>
      </c>
      <c r="FP321" s="325">
        <v>6749275.0000000028</v>
      </c>
      <c r="FQ321" s="325">
        <v>6749275.0000000028</v>
      </c>
      <c r="FR321" s="325">
        <v>6448137.3300000001</v>
      </c>
      <c r="FS321" s="325">
        <v>7174722.5199999996</v>
      </c>
      <c r="FT321" s="325">
        <v>6752335.3300000001</v>
      </c>
      <c r="FU321" s="325">
        <v>6378584.3399999999</v>
      </c>
      <c r="FV321" s="325">
        <v>5976072.2199999997</v>
      </c>
      <c r="FW321" s="325">
        <v>7400021.1800000006</v>
      </c>
      <c r="FX321" s="325">
        <v>7400021.1800000006</v>
      </c>
      <c r="FY321" s="325">
        <v>7400021.1800000006</v>
      </c>
      <c r="FZ321" s="325">
        <v>7400021.1800000006</v>
      </c>
      <c r="GA321" s="325">
        <v>7400021.1800000006</v>
      </c>
      <c r="GB321" s="325">
        <v>7400021.1800000006</v>
      </c>
      <c r="GC321" s="325">
        <v>7400021.1800000006</v>
      </c>
      <c r="GE321" s="427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8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8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8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8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8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8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8"/>
    </row>
    <row r="329" spans="1:187" s="351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8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5">
        <v>1699899.96</v>
      </c>
      <c r="EU330" s="325">
        <v>1699899.96</v>
      </c>
      <c r="EV330" s="325">
        <v>1699899.96</v>
      </c>
      <c r="EW330" s="325">
        <v>1699899.96</v>
      </c>
      <c r="EX330" s="325">
        <v>1699899.96</v>
      </c>
      <c r="EY330" s="325">
        <v>1699899.96</v>
      </c>
      <c r="EZ330" s="325">
        <v>1699899.96</v>
      </c>
      <c r="FA330" s="325">
        <v>1699899.96</v>
      </c>
      <c r="FB330" s="325">
        <v>924899.9599999981</v>
      </c>
      <c r="FC330" s="325">
        <v>924899.9599999981</v>
      </c>
      <c r="FD330" s="325">
        <v>924899.9599999981</v>
      </c>
      <c r="FE330" s="325">
        <v>924899.9599999981</v>
      </c>
      <c r="FF330" s="325">
        <v>1236031.8000000014</v>
      </c>
      <c r="FG330" s="325">
        <v>1236031.8699999999</v>
      </c>
      <c r="FH330" s="325">
        <v>1236031.8699999999</v>
      </c>
      <c r="FI330" s="325">
        <v>1236031.8699999999</v>
      </c>
      <c r="FJ330" s="325">
        <v>1236031.8699999999</v>
      </c>
      <c r="FK330" s="325">
        <v>1236031.8699999999</v>
      </c>
      <c r="FL330" s="325">
        <v>1236031.8699999999</v>
      </c>
      <c r="FM330" s="325">
        <v>1236031.8699999999</v>
      </c>
      <c r="FN330" s="325">
        <v>1236031.8699999999</v>
      </c>
      <c r="FO330" s="325">
        <v>2359394.0699999998</v>
      </c>
      <c r="FP330" s="325">
        <v>2359394.0699999998</v>
      </c>
      <c r="FQ330" s="325">
        <v>2359394.0699999998</v>
      </c>
      <c r="FR330" s="325">
        <v>54255.6</v>
      </c>
      <c r="FS330" s="325">
        <v>1607182</v>
      </c>
      <c r="FT330" s="325">
        <v>1602703.45</v>
      </c>
      <c r="FU330" s="325">
        <v>1448885.74</v>
      </c>
      <c r="FV330" s="325">
        <v>1413828.93</v>
      </c>
      <c r="FW330" s="325">
        <v>2033020.7142857143</v>
      </c>
      <c r="FX330" s="325">
        <v>2033020.7142857143</v>
      </c>
      <c r="FY330" s="325">
        <v>2033020.7142857143</v>
      </c>
      <c r="FZ330" s="325">
        <v>2033020.7142857143</v>
      </c>
      <c r="GA330" s="325">
        <v>2033020.7142857143</v>
      </c>
      <c r="GB330" s="325">
        <v>2033020.7142857143</v>
      </c>
      <c r="GC330" s="325">
        <v>2033020.7142857143</v>
      </c>
      <c r="GE330" s="427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8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8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8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8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8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5">
        <v>35472732.535833336</v>
      </c>
      <c r="EU336" s="325">
        <v>35472732.535833336</v>
      </c>
      <c r="EV336" s="325">
        <v>35472732.535833336</v>
      </c>
      <c r="EW336" s="325">
        <v>35472732.535833336</v>
      </c>
      <c r="EX336" s="325">
        <v>35472732.535833336</v>
      </c>
      <c r="EY336" s="325">
        <v>35472732.535833336</v>
      </c>
      <c r="EZ336" s="325">
        <v>35472732.535833336</v>
      </c>
      <c r="FA336" s="325">
        <v>35472732.535833336</v>
      </c>
      <c r="FB336" s="325">
        <v>35472732.535833336</v>
      </c>
      <c r="FC336" s="325">
        <v>35472732.535833336</v>
      </c>
      <c r="FD336" s="325">
        <v>35472732.535833336</v>
      </c>
      <c r="FE336" s="325">
        <v>35472732.535833336</v>
      </c>
      <c r="FF336" s="325">
        <v>35752084.619999975</v>
      </c>
      <c r="FG336" s="325">
        <v>35752084.530000001</v>
      </c>
      <c r="FH336" s="325">
        <v>35752084.530000001</v>
      </c>
      <c r="FI336" s="325">
        <v>35752084.530000001</v>
      </c>
      <c r="FJ336" s="325">
        <v>35752084.530000001</v>
      </c>
      <c r="FK336" s="325">
        <v>35752084.530000001</v>
      </c>
      <c r="FL336" s="325">
        <v>35752084.530000001</v>
      </c>
      <c r="FM336" s="325">
        <v>35752084.530000001</v>
      </c>
      <c r="FN336" s="325">
        <v>35752084.530000001</v>
      </c>
      <c r="FO336" s="325">
        <v>35752084.530000001</v>
      </c>
      <c r="FP336" s="325">
        <v>35752084.530000001</v>
      </c>
      <c r="FQ336" s="325">
        <v>35752084.530000001</v>
      </c>
      <c r="FR336" s="325">
        <v>34875207.159999996</v>
      </c>
      <c r="FS336" s="325">
        <v>35344644.090000004</v>
      </c>
      <c r="FT336" s="325">
        <v>35520020</v>
      </c>
      <c r="FU336" s="325">
        <v>36212765.539999999</v>
      </c>
      <c r="FV336" s="325">
        <v>35322836.950000003</v>
      </c>
      <c r="FW336" s="325">
        <v>37842845.828571431</v>
      </c>
      <c r="FX336" s="325">
        <v>37842845.828571431</v>
      </c>
      <c r="FY336" s="325">
        <v>37842845.828571431</v>
      </c>
      <c r="FZ336" s="325">
        <v>37842845.828571431</v>
      </c>
      <c r="GA336" s="325">
        <v>37842845.828571431</v>
      </c>
      <c r="GB336" s="325">
        <v>37842845.828571431</v>
      </c>
      <c r="GC336" s="325">
        <v>37842845.828571431</v>
      </c>
      <c r="GE336" s="427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8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8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8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8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8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8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8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5">
        <v>1375008.3333333333</v>
      </c>
      <c r="EU344" s="325">
        <v>1375008.3333333333</v>
      </c>
      <c r="EV344" s="325">
        <v>1375008.3333333333</v>
      </c>
      <c r="EW344" s="325">
        <v>1375008.3333333333</v>
      </c>
      <c r="EX344" s="325">
        <v>1375008.3333333333</v>
      </c>
      <c r="EY344" s="325">
        <v>1375008.3333333333</v>
      </c>
      <c r="EZ344" s="325">
        <v>1375008.3333333333</v>
      </c>
      <c r="FA344" s="325">
        <v>1375008.3333333333</v>
      </c>
      <c r="FB344" s="325">
        <v>2000008.3333333328</v>
      </c>
      <c r="FC344" s="325">
        <v>2000008.3333333328</v>
      </c>
      <c r="FD344" s="325">
        <v>2000008.3333333328</v>
      </c>
      <c r="FE344" s="325">
        <v>2000008.3333333328</v>
      </c>
      <c r="FF344" s="325">
        <v>1583341.7399999984</v>
      </c>
      <c r="FG344" s="325">
        <v>1583341.6600000001</v>
      </c>
      <c r="FH344" s="325">
        <v>1583341.6600000001</v>
      </c>
      <c r="FI344" s="325">
        <v>1583341.6600000001</v>
      </c>
      <c r="FJ344" s="325">
        <v>1583341.6600000001</v>
      </c>
      <c r="FK344" s="325">
        <v>1583341.6600000001</v>
      </c>
      <c r="FL344" s="325">
        <v>1583341.6600000001</v>
      </c>
      <c r="FM344" s="325">
        <v>1583341.6600000001</v>
      </c>
      <c r="FN344" s="325">
        <v>1583341.6600000001</v>
      </c>
      <c r="FO344" s="325">
        <v>1583341.6600000001</v>
      </c>
      <c r="FP344" s="325">
        <v>1583341.6600000001</v>
      </c>
      <c r="FQ344" s="325">
        <v>1583341.6600000001</v>
      </c>
      <c r="FR344" s="325">
        <v>1621388.9</v>
      </c>
      <c r="FS344" s="325">
        <v>1831428.58</v>
      </c>
      <c r="FT344" s="325">
        <v>1595368.45</v>
      </c>
      <c r="FU344" s="325">
        <v>2107330.88</v>
      </c>
      <c r="FV344" s="325">
        <v>1443795.73</v>
      </c>
      <c r="FW344" s="325">
        <v>1628669.78</v>
      </c>
      <c r="FX344" s="325">
        <v>1628669.78</v>
      </c>
      <c r="FY344" s="325">
        <v>1628669.78</v>
      </c>
      <c r="FZ344" s="325">
        <v>1628669.78</v>
      </c>
      <c r="GA344" s="325">
        <v>1628669.78</v>
      </c>
      <c r="GB344" s="325">
        <v>1628669.78</v>
      </c>
      <c r="GC344" s="325">
        <v>1628669.78</v>
      </c>
      <c r="GE344" s="427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8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5">
        <v>752083.33333333337</v>
      </c>
      <c r="EU346" s="325">
        <v>752083.33333333337</v>
      </c>
      <c r="EV346" s="325">
        <v>752083.33333333337</v>
      </c>
      <c r="EW346" s="325">
        <v>752083.33333333337</v>
      </c>
      <c r="EX346" s="325">
        <v>752083.33333333337</v>
      </c>
      <c r="EY346" s="325">
        <v>752083.33333333337</v>
      </c>
      <c r="EZ346" s="325">
        <v>752083.33333333337</v>
      </c>
      <c r="FA346" s="325">
        <v>752083.33333333337</v>
      </c>
      <c r="FB346" s="325">
        <v>2039583.333333334</v>
      </c>
      <c r="FC346" s="325">
        <v>2039583.333333334</v>
      </c>
      <c r="FD346" s="325">
        <v>2039583.333333334</v>
      </c>
      <c r="FE346" s="325">
        <v>2039583.333333334</v>
      </c>
      <c r="FF346" s="325">
        <v>885416.75</v>
      </c>
      <c r="FG346" s="325">
        <v>885416.75</v>
      </c>
      <c r="FH346" s="325">
        <v>885416.75</v>
      </c>
      <c r="FI346" s="325">
        <v>885416.75</v>
      </c>
      <c r="FJ346" s="325">
        <v>885416.75</v>
      </c>
      <c r="FK346" s="325">
        <v>885416.75</v>
      </c>
      <c r="FL346" s="325">
        <v>885416.75</v>
      </c>
      <c r="FM346" s="325">
        <v>885416.75</v>
      </c>
      <c r="FN346" s="325">
        <v>885416.75</v>
      </c>
      <c r="FO346" s="325">
        <v>885416.75</v>
      </c>
      <c r="FP346" s="325">
        <v>885416.75</v>
      </c>
      <c r="FQ346" s="325">
        <v>885416.75</v>
      </c>
      <c r="FR346" s="325">
        <v>745429.25</v>
      </c>
      <c r="FS346" s="325">
        <v>838710.44</v>
      </c>
      <c r="FT346" s="325">
        <v>906787.09</v>
      </c>
      <c r="FU346" s="325">
        <v>680647.83</v>
      </c>
      <c r="FV346" s="325">
        <v>705326.14</v>
      </c>
      <c r="FW346" s="325">
        <v>964014.32142857148</v>
      </c>
      <c r="FX346" s="325">
        <v>964014.32142857148</v>
      </c>
      <c r="FY346" s="325">
        <v>964014.32142857148</v>
      </c>
      <c r="FZ346" s="325">
        <v>964014.32142857148</v>
      </c>
      <c r="GA346" s="325">
        <v>964014.32142857148</v>
      </c>
      <c r="GB346" s="325">
        <v>964014.32142857148</v>
      </c>
      <c r="GC346" s="325">
        <v>964014.32142857101</v>
      </c>
      <c r="GE346" s="427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8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8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8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5">
        <v>15295211.558333334</v>
      </c>
      <c r="EU350" s="325">
        <v>15295211.558333334</v>
      </c>
      <c r="EV350" s="325">
        <v>15295211.558333334</v>
      </c>
      <c r="EW350" s="325">
        <v>18161878.224999998</v>
      </c>
      <c r="EX350" s="325">
        <v>18161878.224999998</v>
      </c>
      <c r="EY350" s="325">
        <v>18161878.224999998</v>
      </c>
      <c r="EZ350" s="325">
        <v>15295211.558333334</v>
      </c>
      <c r="FA350" s="325">
        <v>15295211.558333334</v>
      </c>
      <c r="FB350" s="325">
        <v>18930636.555833336</v>
      </c>
      <c r="FC350" s="325">
        <v>18930636.555833336</v>
      </c>
      <c r="FD350" s="325">
        <v>18930636.555833336</v>
      </c>
      <c r="FE350" s="325">
        <v>18930636.555833336</v>
      </c>
      <c r="FF350" s="325">
        <v>20338750.958333332</v>
      </c>
      <c r="FG350" s="325">
        <v>22018439.158333331</v>
      </c>
      <c r="FH350" s="325">
        <v>17975691.918333333</v>
      </c>
      <c r="FI350" s="325">
        <v>15972358.598333333</v>
      </c>
      <c r="FJ350" s="325">
        <v>15993608.598333333</v>
      </c>
      <c r="FK350" s="325">
        <v>16020602.668333333</v>
      </c>
      <c r="FL350" s="325">
        <v>22848909.595000003</v>
      </c>
      <c r="FM350" s="325">
        <v>17972208.524999999</v>
      </c>
      <c r="FN350" s="325">
        <v>17992208.524999999</v>
      </c>
      <c r="FO350" s="325">
        <v>17923875.184999999</v>
      </c>
      <c r="FP350" s="325">
        <v>17866375.204999998</v>
      </c>
      <c r="FQ350" s="325">
        <v>18024758.024999999</v>
      </c>
      <c r="FR350" s="325">
        <v>23631566.68</v>
      </c>
      <c r="FS350" s="325">
        <v>23914749.120000001</v>
      </c>
      <c r="FT350" s="325">
        <v>31910693.890000001</v>
      </c>
      <c r="FU350" s="325">
        <v>17331295.199999999</v>
      </c>
      <c r="FV350" s="325">
        <v>15552980.33</v>
      </c>
      <c r="FW350" s="325">
        <v>23483872.51285715</v>
      </c>
      <c r="FX350" s="325">
        <v>19317205.846190531</v>
      </c>
      <c r="FY350" s="325">
        <v>19317205.846190531</v>
      </c>
      <c r="FZ350" s="325">
        <v>19317205.846190531</v>
      </c>
      <c r="GA350" s="325">
        <v>44317205.846190527</v>
      </c>
      <c r="GB350" s="325">
        <v>19317205.846190531</v>
      </c>
      <c r="GC350" s="325">
        <v>19317205.846190531</v>
      </c>
      <c r="GE350" s="427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5">
        <v>14810545.166666666</v>
      </c>
      <c r="EU351" s="325">
        <v>14810545.166666666</v>
      </c>
      <c r="EV351" s="325">
        <v>14810545.166666666</v>
      </c>
      <c r="EW351" s="325">
        <v>17677211.833333332</v>
      </c>
      <c r="EX351" s="325">
        <v>17677211.833333332</v>
      </c>
      <c r="EY351" s="325">
        <v>17677211.833333332</v>
      </c>
      <c r="EZ351" s="325">
        <v>14810545.166666666</v>
      </c>
      <c r="FA351" s="325">
        <v>14810545.166666666</v>
      </c>
      <c r="FB351" s="325">
        <v>18469212.55916667</v>
      </c>
      <c r="FC351" s="325">
        <v>18469212.55916667</v>
      </c>
      <c r="FD351" s="325">
        <v>18469212.55916667</v>
      </c>
      <c r="FE351" s="325">
        <v>18469212.55916667</v>
      </c>
      <c r="FF351" s="325">
        <v>18445155.148333333</v>
      </c>
      <c r="FG351" s="325">
        <v>20224843.348333333</v>
      </c>
      <c r="FH351" s="325">
        <v>16273762.778333332</v>
      </c>
      <c r="FI351" s="325">
        <v>14270429.458333332</v>
      </c>
      <c r="FJ351" s="325">
        <v>14291679.458333332</v>
      </c>
      <c r="FK351" s="325">
        <v>14318673.528333332</v>
      </c>
      <c r="FL351" s="325">
        <v>19138771.788333334</v>
      </c>
      <c r="FM351" s="325">
        <v>14278737.378333332</v>
      </c>
      <c r="FN351" s="325">
        <v>14298737.378333332</v>
      </c>
      <c r="FO351" s="325">
        <v>14278737.378333332</v>
      </c>
      <c r="FP351" s="325">
        <v>14298737.388333332</v>
      </c>
      <c r="FQ351" s="325">
        <v>14457120.208333332</v>
      </c>
      <c r="FR351" s="325">
        <v>0</v>
      </c>
      <c r="FS351" s="325">
        <v>0</v>
      </c>
      <c r="FT351" s="325">
        <v>0</v>
      </c>
      <c r="FU351" s="325">
        <v>0</v>
      </c>
      <c r="FV351" s="325">
        <v>0</v>
      </c>
      <c r="FW351" s="325">
        <v>0</v>
      </c>
      <c r="FX351" s="325">
        <v>0</v>
      </c>
      <c r="FY351" s="325">
        <v>0</v>
      </c>
      <c r="FZ351" s="325">
        <v>0</v>
      </c>
      <c r="GA351" s="325">
        <v>0</v>
      </c>
      <c r="GB351" s="325">
        <v>0</v>
      </c>
      <c r="GC351" s="325">
        <v>0</v>
      </c>
      <c r="GE351" s="427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8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8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8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8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8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8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8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8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8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5">
        <v>484666.39166666666</v>
      </c>
      <c r="EU361" s="325">
        <v>484666.39166666666</v>
      </c>
      <c r="EV361" s="325">
        <v>484666.39166666666</v>
      </c>
      <c r="EW361" s="325">
        <v>484666.39166666666</v>
      </c>
      <c r="EX361" s="325">
        <v>484666.39166666666</v>
      </c>
      <c r="EY361" s="325">
        <v>484666.39166666666</v>
      </c>
      <c r="EZ361" s="325">
        <v>484666.39166666666</v>
      </c>
      <c r="FA361" s="325">
        <v>484666.39166666666</v>
      </c>
      <c r="FB361" s="325">
        <v>461423.99666666664</v>
      </c>
      <c r="FC361" s="325">
        <v>461423.99666666664</v>
      </c>
      <c r="FD361" s="325">
        <v>461423.99666666664</v>
      </c>
      <c r="FE361" s="325">
        <v>461423.99666666664</v>
      </c>
      <c r="FF361" s="325">
        <v>1893595.81</v>
      </c>
      <c r="FG361" s="325">
        <v>1793595.81</v>
      </c>
      <c r="FH361" s="325">
        <v>1701929.1400000001</v>
      </c>
      <c r="FI361" s="325">
        <v>1701929.1400000001</v>
      </c>
      <c r="FJ361" s="325">
        <v>1701929.1400000001</v>
      </c>
      <c r="FK361" s="325">
        <v>1701929.1400000001</v>
      </c>
      <c r="FL361" s="325">
        <v>1701929.1400000001</v>
      </c>
      <c r="FM361" s="325">
        <v>1685262.48</v>
      </c>
      <c r="FN361" s="325">
        <v>1685262.48</v>
      </c>
      <c r="FO361" s="325">
        <v>1636929.14</v>
      </c>
      <c r="FP361" s="325">
        <v>1559429.15</v>
      </c>
      <c r="FQ361" s="325">
        <v>1559429.15</v>
      </c>
      <c r="FR361" s="325">
        <v>0</v>
      </c>
      <c r="FS361" s="325">
        <v>0</v>
      </c>
      <c r="FT361" s="325">
        <v>0</v>
      </c>
      <c r="FU361" s="325">
        <v>0</v>
      </c>
      <c r="FV361" s="325">
        <v>0</v>
      </c>
      <c r="FW361" s="325">
        <v>0</v>
      </c>
      <c r="FX361" s="325">
        <v>0</v>
      </c>
      <c r="FY361" s="325">
        <v>0</v>
      </c>
      <c r="FZ361" s="325">
        <v>0</v>
      </c>
      <c r="GA361" s="325">
        <v>0</v>
      </c>
      <c r="GB361" s="325">
        <v>0</v>
      </c>
      <c r="GC361" s="325">
        <v>0</v>
      </c>
      <c r="GE361" s="427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8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8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8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8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8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8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1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5">
        <v>21472083.333333332</v>
      </c>
      <c r="EU368" s="325">
        <v>21472083.333333332</v>
      </c>
      <c r="EV368" s="325">
        <v>21472083.333333332</v>
      </c>
      <c r="EW368" s="325">
        <v>21472083.333333332</v>
      </c>
      <c r="EX368" s="325">
        <v>21472083.333333332</v>
      </c>
      <c r="EY368" s="325">
        <v>21472083.333333332</v>
      </c>
      <c r="EZ368" s="325">
        <v>26990416.666666664</v>
      </c>
      <c r="FA368" s="325">
        <v>26990416.666666664</v>
      </c>
      <c r="FB368" s="325">
        <v>26315416.666666701</v>
      </c>
      <c r="FC368" s="325">
        <v>26315416.666666701</v>
      </c>
      <c r="FD368" s="325">
        <v>26815416.670000002</v>
      </c>
      <c r="FE368" s="325">
        <v>26815416.66</v>
      </c>
      <c r="FF368" s="325">
        <v>26743749.989999995</v>
      </c>
      <c r="FG368" s="325">
        <v>26743749.989999995</v>
      </c>
      <c r="FH368" s="325">
        <v>26743749.989999995</v>
      </c>
      <c r="FI368" s="325">
        <v>26743749.989999995</v>
      </c>
      <c r="FJ368" s="325">
        <v>26743749.989999995</v>
      </c>
      <c r="FK368" s="325">
        <v>26743749.989999995</v>
      </c>
      <c r="FL368" s="325">
        <v>26743749.989999995</v>
      </c>
      <c r="FM368" s="325">
        <v>26743749.989999995</v>
      </c>
      <c r="FN368" s="325">
        <v>26743749.989999995</v>
      </c>
      <c r="FO368" s="325">
        <v>26743749.989999995</v>
      </c>
      <c r="FP368" s="325">
        <v>14243749.989999998</v>
      </c>
      <c r="FQ368" s="325">
        <v>14243750.109999999</v>
      </c>
      <c r="FR368" s="325">
        <v>4153095.62</v>
      </c>
      <c r="FS368" s="325">
        <v>8919354.2899999991</v>
      </c>
      <c r="FT368" s="325">
        <v>13085415.970000001</v>
      </c>
      <c r="FU368" s="325">
        <v>17943688.25</v>
      </c>
      <c r="FV368" s="325">
        <v>15872563.539999999</v>
      </c>
      <c r="FW368" s="325">
        <v>25000000</v>
      </c>
      <c r="FX368" s="325">
        <v>20000000</v>
      </c>
      <c r="FY368" s="325">
        <v>20000000</v>
      </c>
      <c r="FZ368" s="325">
        <v>20000000</v>
      </c>
      <c r="GA368" s="325">
        <v>17295648.326666653</v>
      </c>
      <c r="GB368" s="325">
        <v>17295648.326666653</v>
      </c>
      <c r="GC368" s="325">
        <v>17295648.326666653</v>
      </c>
      <c r="GE368" s="427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8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8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8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8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8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8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8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5">
        <v>70000000</v>
      </c>
      <c r="FF376" s="349">
        <v>26666.67</v>
      </c>
      <c r="FG376" s="349">
        <v>26666.67</v>
      </c>
      <c r="FH376" s="349">
        <v>26666.67</v>
      </c>
      <c r="FI376" s="349">
        <v>39926666.670000002</v>
      </c>
      <c r="FJ376" s="349">
        <v>26666.67</v>
      </c>
      <c r="FK376" s="349">
        <v>26666.67</v>
      </c>
      <c r="FL376" s="349">
        <v>26666.67</v>
      </c>
      <c r="FM376" s="349">
        <v>26666.67</v>
      </c>
      <c r="FN376" s="349">
        <v>26666.67</v>
      </c>
      <c r="FO376" s="349">
        <v>26666.67</v>
      </c>
      <c r="FP376" s="349">
        <v>26666.67</v>
      </c>
      <c r="FQ376" s="349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8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8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5">
        <v>239583.41666666666</v>
      </c>
      <c r="EU378" s="325">
        <v>239583.41666666666</v>
      </c>
      <c r="EV378" s="325">
        <v>239583.41666666666</v>
      </c>
      <c r="EW378" s="325">
        <v>239583.41666666666</v>
      </c>
      <c r="EX378" s="325">
        <v>239583.41666666666</v>
      </c>
      <c r="EY378" s="325">
        <v>239583.41666666666</v>
      </c>
      <c r="EZ378" s="325">
        <v>239583.41666666666</v>
      </c>
      <c r="FA378" s="325">
        <v>239583.41666666666</v>
      </c>
      <c r="FB378" s="325">
        <v>239583.41666666666</v>
      </c>
      <c r="FC378" s="325">
        <v>239583.41666666666</v>
      </c>
      <c r="FD378" s="325">
        <v>239583.41666666666</v>
      </c>
      <c r="FE378" s="325">
        <v>239583.41666666666</v>
      </c>
      <c r="FF378" s="325">
        <v>190000.08333333334</v>
      </c>
      <c r="FG378" s="325">
        <v>190000.08333333334</v>
      </c>
      <c r="FH378" s="325">
        <v>190000.08333333334</v>
      </c>
      <c r="FI378" s="325">
        <v>190000.08333333334</v>
      </c>
      <c r="FJ378" s="325">
        <v>190000.08333333334</v>
      </c>
      <c r="FK378" s="325">
        <v>190000.08333333334</v>
      </c>
      <c r="FL378" s="325">
        <v>190000.08333333334</v>
      </c>
      <c r="FM378" s="325">
        <v>190000.08333333334</v>
      </c>
      <c r="FN378" s="325">
        <v>190000.08333333334</v>
      </c>
      <c r="FO378" s="325">
        <v>190000.08333333334</v>
      </c>
      <c r="FP378" s="325">
        <v>190000.08333333334</v>
      </c>
      <c r="FQ378" s="325">
        <v>190000.08333333334</v>
      </c>
      <c r="FR378" s="325">
        <v>0</v>
      </c>
      <c r="FS378" s="325">
        <v>277634</v>
      </c>
      <c r="FT378" s="325">
        <v>0</v>
      </c>
      <c r="FU378" s="325">
        <v>268014</v>
      </c>
      <c r="FV378" s="325">
        <v>5000</v>
      </c>
      <c r="FW378" s="325">
        <v>147050.57142857142</v>
      </c>
      <c r="FX378" s="325">
        <v>147050.57142857142</v>
      </c>
      <c r="FY378" s="325">
        <v>147050.57142857142</v>
      </c>
      <c r="FZ378" s="325">
        <v>147050.57142857142</v>
      </c>
      <c r="GA378" s="325">
        <v>147050.57142857142</v>
      </c>
      <c r="GB378" s="325">
        <v>147050.57142857142</v>
      </c>
      <c r="GC378" s="325">
        <v>147050.57142857142</v>
      </c>
      <c r="GE378" s="427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3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8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8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8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8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8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6">
        <f>DV386+DV389+DV392</f>
        <v>32768615.2925</v>
      </c>
      <c r="DW385" s="316">
        <f t="shared" ref="DW385:ES385" si="119">DW386+DW389+DW392</f>
        <v>32768615.2925</v>
      </c>
      <c r="DX385" s="316">
        <f t="shared" si="119"/>
        <v>32768615.2925</v>
      </c>
      <c r="DY385" s="316">
        <f t="shared" si="119"/>
        <v>32768615.2925</v>
      </c>
      <c r="DZ385" s="316">
        <f t="shared" si="119"/>
        <v>32768615.2925</v>
      </c>
      <c r="EA385" s="316">
        <f t="shared" si="119"/>
        <v>32768615.2925</v>
      </c>
      <c r="EB385" s="316">
        <f t="shared" si="119"/>
        <v>32768615.2925</v>
      </c>
      <c r="EC385" s="316">
        <f t="shared" si="119"/>
        <v>32768615.2925</v>
      </c>
      <c r="ED385" s="316">
        <f t="shared" si="119"/>
        <v>32768615.2925</v>
      </c>
      <c r="EE385" s="316">
        <f t="shared" si="119"/>
        <v>32768615.2925</v>
      </c>
      <c r="EF385" s="316">
        <f t="shared" si="119"/>
        <v>32768615.2925</v>
      </c>
      <c r="EG385" s="316">
        <f t="shared" si="119"/>
        <v>32768615.2925</v>
      </c>
      <c r="EH385" s="316">
        <f t="shared" si="119"/>
        <v>4617467.5633333325</v>
      </c>
      <c r="EI385" s="316">
        <f t="shared" si="119"/>
        <v>5248180.4533333331</v>
      </c>
      <c r="EJ385" s="316">
        <f t="shared" si="119"/>
        <v>18465645.143333334</v>
      </c>
      <c r="EK385" s="316">
        <f t="shared" si="119"/>
        <v>67460865.603333324</v>
      </c>
      <c r="EL385" s="316">
        <f t="shared" si="119"/>
        <v>10247541.783333333</v>
      </c>
      <c r="EM385" s="316">
        <f t="shared" si="119"/>
        <v>16046343.563333331</v>
      </c>
      <c r="EN385" s="316">
        <f t="shared" si="119"/>
        <v>23103608.363333337</v>
      </c>
      <c r="EO385" s="316">
        <f t="shared" si="119"/>
        <v>16877006.883333333</v>
      </c>
      <c r="EP385" s="316">
        <f t="shared" si="119"/>
        <v>17318908.093333334</v>
      </c>
      <c r="EQ385" s="316">
        <f t="shared" si="119"/>
        <v>9686739.4033333324</v>
      </c>
      <c r="ER385" s="316">
        <f t="shared" si="119"/>
        <v>11714826.133333333</v>
      </c>
      <c r="ES385" s="316">
        <f t="shared" si="119"/>
        <v>19628370.163333334</v>
      </c>
      <c r="FF385" s="325">
        <v>1718363.6600000001</v>
      </c>
      <c r="FG385" s="325">
        <v>3362692.9499999997</v>
      </c>
      <c r="FH385" s="325">
        <v>17620925.690000001</v>
      </c>
      <c r="FI385" s="325">
        <v>21217195.289999999</v>
      </c>
      <c r="FJ385" s="325">
        <v>181489557.88</v>
      </c>
      <c r="FK385" s="325">
        <v>16844785.800000001</v>
      </c>
      <c r="FL385" s="325">
        <v>61721044.270000003</v>
      </c>
      <c r="FM385" s="325">
        <v>13754741.09</v>
      </c>
      <c r="FN385" s="325">
        <v>17831317.309999999</v>
      </c>
      <c r="FO385" s="325">
        <v>6151156.2299999995</v>
      </c>
      <c r="FP385" s="325">
        <v>10176505.869999999</v>
      </c>
      <c r="FQ385" s="325">
        <v>21711713.960000001</v>
      </c>
      <c r="FR385" s="325">
        <v>1725839.0999999999</v>
      </c>
      <c r="FS385" s="325">
        <v>3305317.26</v>
      </c>
      <c r="FT385" s="325">
        <v>339468444.25999999</v>
      </c>
      <c r="FU385" s="325">
        <v>17477408.559999999</v>
      </c>
      <c r="FV385" s="325">
        <v>15441444.539999999</v>
      </c>
      <c r="FW385" s="325">
        <v>12046825.949999999</v>
      </c>
      <c r="FX385" s="325">
        <v>11726652.870000001</v>
      </c>
      <c r="FY385" s="325">
        <v>8624889.1799999997</v>
      </c>
      <c r="FZ385" s="325">
        <v>18011093.800000001</v>
      </c>
      <c r="GA385" s="325">
        <v>9855652.5999999996</v>
      </c>
      <c r="GB385" s="325">
        <v>89792355.439999998</v>
      </c>
      <c r="GC385" s="325">
        <v>12114076.439999999</v>
      </c>
      <c r="GE385" s="427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5">
        <v>1718363.6600000001</v>
      </c>
      <c r="FG386" s="325">
        <v>3362692.9499999997</v>
      </c>
      <c r="FH386" s="325">
        <v>17620925.690000001</v>
      </c>
      <c r="FI386" s="325">
        <v>21217195.289999999</v>
      </c>
      <c r="FJ386" s="325">
        <v>181489557.88</v>
      </c>
      <c r="FK386" s="325">
        <v>16844785.800000001</v>
      </c>
      <c r="FL386" s="325">
        <v>61721044.270000003</v>
      </c>
      <c r="FM386" s="325">
        <v>13754741.09</v>
      </c>
      <c r="FN386" s="325">
        <v>17831317.309999999</v>
      </c>
      <c r="FO386" s="325">
        <v>6151156.2299999995</v>
      </c>
      <c r="FP386" s="325">
        <v>10176505.869999999</v>
      </c>
      <c r="FQ386" s="325">
        <v>21711713.960000001</v>
      </c>
      <c r="FR386" s="325">
        <v>1725839.0999999999</v>
      </c>
      <c r="FS386" s="325">
        <v>3305317.26</v>
      </c>
      <c r="FT386" s="325">
        <v>339468444.25999999</v>
      </c>
      <c r="FU386" s="325">
        <v>17477408.559999999</v>
      </c>
      <c r="FV386" s="325">
        <v>15441444.539999999</v>
      </c>
      <c r="FW386" s="325">
        <v>12046825.949999999</v>
      </c>
      <c r="FX386" s="325">
        <v>11726652.870000001</v>
      </c>
      <c r="FY386" s="325">
        <v>8624889.1799999997</v>
      </c>
      <c r="FZ386" s="325">
        <v>18011093.800000001</v>
      </c>
      <c r="GA386" s="325">
        <v>9855652.5999999996</v>
      </c>
      <c r="GB386" s="325">
        <v>89792355.439999998</v>
      </c>
      <c r="GC386" s="325">
        <v>12114076.439999999</v>
      </c>
      <c r="GE386" s="427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8">
        <v>1983333.3333333333</v>
      </c>
      <c r="CS387" s="328">
        <v>1983333.3333333333</v>
      </c>
      <c r="CT387" s="328">
        <v>1983333.3333333333</v>
      </c>
      <c r="CU387" s="328">
        <v>1983333.3333333333</v>
      </c>
      <c r="CV387" s="328">
        <v>1983333.3333333333</v>
      </c>
      <c r="CW387" s="329">
        <v>1983333.3333333333</v>
      </c>
      <c r="CX387" s="330">
        <v>2500695.4391666665</v>
      </c>
      <c r="CY387" s="331">
        <v>2500695.4391666665</v>
      </c>
      <c r="CZ387" s="331">
        <v>2500695.4391666665</v>
      </c>
      <c r="DA387" s="331">
        <v>2500695.4391666665</v>
      </c>
      <c r="DB387" s="331">
        <v>2500695.4391666665</v>
      </c>
      <c r="DC387" s="331">
        <v>2500695.4391666665</v>
      </c>
      <c r="DD387" s="331">
        <v>2500695.4391666665</v>
      </c>
      <c r="DE387" s="331">
        <v>2500695.4391666665</v>
      </c>
      <c r="DF387" s="331">
        <v>2500695.4391666665</v>
      </c>
      <c r="DG387" s="331">
        <v>2500695.4391666665</v>
      </c>
      <c r="DH387" s="331">
        <v>2500695.4391666665</v>
      </c>
      <c r="DI387" s="332">
        <v>2500695.4391666665</v>
      </c>
      <c r="DJ387" s="333">
        <v>3892510.16</v>
      </c>
      <c r="DK387" s="328">
        <v>3892510.16</v>
      </c>
      <c r="DL387" s="328">
        <v>3892510.16</v>
      </c>
      <c r="DM387" s="328">
        <v>3892510.16</v>
      </c>
      <c r="DN387" s="328">
        <v>3892510.16</v>
      </c>
      <c r="DO387" s="328">
        <v>3892510.16</v>
      </c>
      <c r="DP387" s="328">
        <v>3892510.16</v>
      </c>
      <c r="DQ387" s="328">
        <v>3892510.16</v>
      </c>
      <c r="DR387" s="328">
        <v>3892510.16</v>
      </c>
      <c r="DS387" s="328">
        <v>3892510.16</v>
      </c>
      <c r="DT387" s="328">
        <v>3892510.16</v>
      </c>
      <c r="DU387" s="329">
        <v>3892510.16</v>
      </c>
      <c r="DV387" s="334">
        <v>3722931.8866666667</v>
      </c>
      <c r="DW387" s="334">
        <v>3722931.8866666667</v>
      </c>
      <c r="DX387" s="334">
        <v>3722931.8866666667</v>
      </c>
      <c r="DY387" s="334">
        <v>3722931.8866666667</v>
      </c>
      <c r="DZ387" s="334">
        <v>3722931.8866666667</v>
      </c>
      <c r="EA387" s="334">
        <v>3722931.8866666667</v>
      </c>
      <c r="EB387" s="334">
        <v>3722931.8866666667</v>
      </c>
      <c r="EC387" s="334">
        <v>3722931.8866666667</v>
      </c>
      <c r="ED387" s="334">
        <v>3722931.8866666667</v>
      </c>
      <c r="EE387" s="334">
        <v>3722931.8866666667</v>
      </c>
      <c r="EF387" s="334">
        <v>3722931.8866666667</v>
      </c>
      <c r="EG387" s="334">
        <v>3722931.8866666667</v>
      </c>
      <c r="EH387" s="334">
        <v>174340.51</v>
      </c>
      <c r="EI387" s="334">
        <v>177326.85</v>
      </c>
      <c r="EJ387" s="334">
        <v>7687779.1100000003</v>
      </c>
      <c r="EK387" s="334">
        <v>191127.48</v>
      </c>
      <c r="EL387" s="334">
        <v>949797.77</v>
      </c>
      <c r="EM387" s="334">
        <v>2019268.13</v>
      </c>
      <c r="EN387" s="334">
        <v>10660481.32</v>
      </c>
      <c r="EO387" s="334">
        <v>11526152.189999999</v>
      </c>
      <c r="EP387" s="334">
        <v>10016017.119999999</v>
      </c>
      <c r="EQ387" s="334">
        <v>1834828.67</v>
      </c>
      <c r="ER387" s="334">
        <v>2345417.37</v>
      </c>
      <c r="ES387" s="334">
        <v>4329305.63</v>
      </c>
      <c r="ET387" s="343">
        <v>116701.86</v>
      </c>
      <c r="EU387" s="344">
        <v>867332.36</v>
      </c>
      <c r="EV387" s="344">
        <v>7801367.0199999996</v>
      </c>
      <c r="EW387" s="344">
        <v>4481623.79</v>
      </c>
      <c r="EX387" s="344">
        <v>2831467.37</v>
      </c>
      <c r="EY387" s="344">
        <v>7170000.0800000001</v>
      </c>
      <c r="EZ387" s="344">
        <v>82322.3</v>
      </c>
      <c r="FA387" s="344">
        <v>10832753.109999999</v>
      </c>
      <c r="FB387" s="344">
        <v>1958366.01</v>
      </c>
      <c r="FC387" s="344">
        <v>1510132.11</v>
      </c>
      <c r="FD387" s="344">
        <v>834059.15</v>
      </c>
      <c r="FE387" s="344">
        <v>12202154.65</v>
      </c>
      <c r="FF387" s="349">
        <v>84944.84</v>
      </c>
      <c r="FG387" s="349">
        <v>835385.84</v>
      </c>
      <c r="FH387" s="349">
        <v>1812259.88</v>
      </c>
      <c r="FI387" s="349">
        <v>4541832.53</v>
      </c>
      <c r="FJ387" s="349">
        <v>2836722.65</v>
      </c>
      <c r="FK387" s="349">
        <v>7054086.1200000001</v>
      </c>
      <c r="FL387" s="349">
        <v>87625.45</v>
      </c>
      <c r="FM387" s="349">
        <v>10838080.380000001</v>
      </c>
      <c r="FN387" s="349">
        <v>1831359.63</v>
      </c>
      <c r="FO387" s="349">
        <v>1571862.21</v>
      </c>
      <c r="FP387" s="349">
        <v>839459.36</v>
      </c>
      <c r="FQ387" s="349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8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3">
        <v>2071825.5645770216</v>
      </c>
      <c r="EU388" s="344">
        <v>2862393.2253735214</v>
      </c>
      <c r="EV388" s="344">
        <v>12467636.918240691</v>
      </c>
      <c r="EW388" s="344">
        <v>17326274.372907523</v>
      </c>
      <c r="EX388" s="344">
        <v>15150457.606090657</v>
      </c>
      <c r="EY388" s="344">
        <v>8947929.7645770218</v>
      </c>
      <c r="EZ388" s="344">
        <v>2071825.5545770216</v>
      </c>
      <c r="FA388" s="344">
        <v>2989936.9753735219</v>
      </c>
      <c r="FB388" s="344">
        <v>16625761.232895471</v>
      </c>
      <c r="FC388" s="344">
        <v>4165314.0029075216</v>
      </c>
      <c r="FD388" s="344">
        <v>6972714.957903021</v>
      </c>
      <c r="FE388" s="344">
        <v>369847929.82457697</v>
      </c>
      <c r="FF388" s="349">
        <v>1633418.82</v>
      </c>
      <c r="FG388" s="349">
        <v>2527307.11</v>
      </c>
      <c r="FH388" s="349">
        <v>15808665.810000001</v>
      </c>
      <c r="FI388" s="349">
        <v>16675362.76</v>
      </c>
      <c r="FJ388" s="349">
        <v>178652835.22999999</v>
      </c>
      <c r="FK388" s="349">
        <v>9790699.6799999997</v>
      </c>
      <c r="FL388" s="349">
        <v>61633418.82</v>
      </c>
      <c r="FM388" s="349">
        <v>2916660.71</v>
      </c>
      <c r="FN388" s="349">
        <v>15999957.68</v>
      </c>
      <c r="FO388" s="349">
        <v>4579294.0199999996</v>
      </c>
      <c r="FP388" s="349">
        <v>9337046.5099999998</v>
      </c>
      <c r="FQ388" s="349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8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5">
        <v>0</v>
      </c>
      <c r="FS389" s="325">
        <v>0</v>
      </c>
      <c r="FT389" s="325">
        <v>0</v>
      </c>
      <c r="FU389" s="325">
        <v>0</v>
      </c>
      <c r="FV389" s="325">
        <v>0</v>
      </c>
      <c r="FW389" s="325">
        <v>0</v>
      </c>
      <c r="FX389" s="325">
        <v>0</v>
      </c>
      <c r="FY389" s="325">
        <v>0</v>
      </c>
      <c r="FZ389" s="325">
        <v>0</v>
      </c>
      <c r="GA389" s="325">
        <v>0</v>
      </c>
      <c r="GB389" s="325">
        <v>0</v>
      </c>
      <c r="GC389" s="325">
        <v>0</v>
      </c>
      <c r="GE389" s="427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8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8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5">
        <v>2681427.6666666665</v>
      </c>
      <c r="CS392" s="325">
        <v>2681427.6666666665</v>
      </c>
      <c r="CT392" s="325">
        <v>2681427.6666666665</v>
      </c>
      <c r="CU392" s="325">
        <v>2681427.6666666665</v>
      </c>
      <c r="CV392" s="325">
        <v>2681427.6666666665</v>
      </c>
      <c r="CW392" s="325">
        <v>2681427.6666666665</v>
      </c>
      <c r="CX392" s="325">
        <v>2778179.9974999996</v>
      </c>
      <c r="CY392" s="325">
        <v>2778179.9974999996</v>
      </c>
      <c r="CZ392" s="325">
        <v>2778179.9974999996</v>
      </c>
      <c r="DA392" s="325">
        <v>2778179.9974999996</v>
      </c>
      <c r="DB392" s="325">
        <v>2778179.9974999996</v>
      </c>
      <c r="DC392" s="325">
        <v>2778179.9974999996</v>
      </c>
      <c r="DD392" s="325">
        <v>2778179.9974999996</v>
      </c>
      <c r="DE392" s="325">
        <v>2778179.9974999996</v>
      </c>
      <c r="DF392" s="325">
        <v>2778179.9974999996</v>
      </c>
      <c r="DG392" s="325">
        <v>2778179.9974999996</v>
      </c>
      <c r="DH392" s="325">
        <v>2778179.9974999996</v>
      </c>
      <c r="DI392" s="325">
        <v>2778179.9974999996</v>
      </c>
      <c r="DJ392" s="325">
        <v>2817590</v>
      </c>
      <c r="DK392" s="325">
        <v>2817590</v>
      </c>
      <c r="DL392" s="325">
        <v>2817590</v>
      </c>
      <c r="DM392" s="325">
        <v>2817590</v>
      </c>
      <c r="DN392" s="325">
        <v>2817590</v>
      </c>
      <c r="DO392" s="325">
        <v>2817590</v>
      </c>
      <c r="DP392" s="325">
        <v>2817590</v>
      </c>
      <c r="DQ392" s="325">
        <v>2817590</v>
      </c>
      <c r="DR392" s="325">
        <v>2817590</v>
      </c>
      <c r="DS392" s="325">
        <v>2817590</v>
      </c>
      <c r="DT392" s="325">
        <v>2817590</v>
      </c>
      <c r="DU392" s="325">
        <v>2817590</v>
      </c>
      <c r="DV392" s="325">
        <v>3281229.6141666663</v>
      </c>
      <c r="DW392" s="325">
        <v>3281229.6141666663</v>
      </c>
      <c r="DX392" s="325">
        <v>3281229.6141666663</v>
      </c>
      <c r="DY392" s="325">
        <v>3281229.6141666663</v>
      </c>
      <c r="DZ392" s="325">
        <v>3281229.6141666663</v>
      </c>
      <c r="EA392" s="325">
        <v>3281229.6141666663</v>
      </c>
      <c r="EB392" s="325">
        <v>3281229.6141666663</v>
      </c>
      <c r="EC392" s="325">
        <v>3281229.6141666663</v>
      </c>
      <c r="ED392" s="325">
        <v>3281229.6141666663</v>
      </c>
      <c r="EE392" s="325">
        <v>3281229.6141666663</v>
      </c>
      <c r="EF392" s="325">
        <v>3281229.6141666663</v>
      </c>
      <c r="EG392" s="325">
        <v>3281229.6141666663</v>
      </c>
      <c r="EH392" s="325">
        <v>2809708.2333333329</v>
      </c>
      <c r="EI392" s="325">
        <v>2809708.2333333329</v>
      </c>
      <c r="EJ392" s="325">
        <v>2809708.2333333329</v>
      </c>
      <c r="EK392" s="325">
        <v>2809708.2333333329</v>
      </c>
      <c r="EL392" s="325">
        <v>2809708.2333333329</v>
      </c>
      <c r="EM392" s="325">
        <v>2809708.2333333329</v>
      </c>
      <c r="EN392" s="325">
        <v>2809708.2333333329</v>
      </c>
      <c r="EO392" s="325">
        <v>2809708.2333333329</v>
      </c>
      <c r="EP392" s="325">
        <v>2809708.2333333329</v>
      </c>
      <c r="EQ392" s="325">
        <v>2809708.2333333329</v>
      </c>
      <c r="ER392" s="325">
        <v>2809708.2333333329</v>
      </c>
      <c r="ES392" s="325">
        <v>2809708.2333333329</v>
      </c>
      <c r="ET392" s="325">
        <v>1807457.9166666667</v>
      </c>
      <c r="EU392" s="325">
        <v>1882457.9166666667</v>
      </c>
      <c r="EV392" s="325">
        <v>1937457.9166666667</v>
      </c>
      <c r="EW392" s="325">
        <v>1912457.9166666667</v>
      </c>
      <c r="EX392" s="325">
        <v>1967457.9166666667</v>
      </c>
      <c r="EY392" s="325">
        <v>1907457.9166666667</v>
      </c>
      <c r="EZ392" s="325">
        <v>3852457.9166666665</v>
      </c>
      <c r="FA392" s="325">
        <v>3337457.9166666665</v>
      </c>
      <c r="FB392" s="325">
        <v>2702457.9166666698</v>
      </c>
      <c r="FC392" s="325">
        <v>2797457.9166666698</v>
      </c>
      <c r="FD392" s="325">
        <v>2792457.9166666698</v>
      </c>
      <c r="FE392" s="325">
        <v>3347457.9166666698</v>
      </c>
      <c r="FF392" s="325">
        <v>1281814.4500000002</v>
      </c>
      <c r="FG392" s="325">
        <v>1266814.4500000002</v>
      </c>
      <c r="FH392" s="325">
        <v>1451704.4</v>
      </c>
      <c r="FI392" s="325">
        <v>1544149.3599999999</v>
      </c>
      <c r="FJ392" s="325">
        <v>1677270.12</v>
      </c>
      <c r="FK392" s="325">
        <v>1669874.52</v>
      </c>
      <c r="FL392" s="325">
        <v>1839973.2600000002</v>
      </c>
      <c r="FM392" s="325">
        <v>1832577.67</v>
      </c>
      <c r="FN392" s="325">
        <v>1610709.73</v>
      </c>
      <c r="FO392" s="325">
        <v>1374050.6099999999</v>
      </c>
      <c r="FP392" s="325">
        <v>1448006.5899999999</v>
      </c>
      <c r="FQ392" s="325">
        <v>1533053.84</v>
      </c>
      <c r="FR392" s="350">
        <v>1234088.2</v>
      </c>
      <c r="FS392" s="350">
        <v>1922034.51</v>
      </c>
      <c r="FT392" s="350">
        <v>1368605.81</v>
      </c>
      <c r="FU392" s="350">
        <v>1039845.76</v>
      </c>
      <c r="FV392" s="350">
        <v>1116425.95</v>
      </c>
      <c r="FW392" s="350">
        <v>1374921.7142857143</v>
      </c>
      <c r="FX392" s="350">
        <v>1374921.7142857143</v>
      </c>
      <c r="FY392" s="350">
        <v>1374921.7142857143</v>
      </c>
      <c r="FZ392" s="350">
        <v>1374921.7142857143</v>
      </c>
      <c r="GA392" s="350">
        <v>1374921.7142857143</v>
      </c>
      <c r="GB392" s="350">
        <v>1374921.7142857143</v>
      </c>
      <c r="GC392" s="350">
        <v>1374921.7142857143</v>
      </c>
      <c r="GE392" s="427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5">
        <v>830846.24800000002</v>
      </c>
      <c r="EU393" s="325">
        <v>830846.24800000002</v>
      </c>
      <c r="EV393" s="325">
        <v>830846.24800000002</v>
      </c>
      <c r="EW393" s="325">
        <v>949846.13199999998</v>
      </c>
      <c r="EX393" s="325">
        <v>1306845.784</v>
      </c>
      <c r="EY393" s="325">
        <v>830846.24800000002</v>
      </c>
      <c r="EZ393" s="325">
        <v>1246269.3720000002</v>
      </c>
      <c r="FA393" s="325">
        <v>1246269.3720000002</v>
      </c>
      <c r="FB393" s="325">
        <v>5393218.1470000008</v>
      </c>
      <c r="FC393" s="325">
        <v>5393218.1470000008</v>
      </c>
      <c r="FD393" s="325">
        <v>5393218.1470000008</v>
      </c>
      <c r="FE393" s="325">
        <v>5393218.1470000008</v>
      </c>
      <c r="FF393" s="325">
        <v>1650583.3333333333</v>
      </c>
      <c r="FG393" s="325">
        <v>1843583.3333333333</v>
      </c>
      <c r="FH393" s="325">
        <v>1650583.3333333333</v>
      </c>
      <c r="FI393" s="325">
        <v>1650583.3333333333</v>
      </c>
      <c r="FJ393" s="325">
        <v>1650583.3333333333</v>
      </c>
      <c r="FK393" s="325">
        <v>1650583.3333333333</v>
      </c>
      <c r="FL393" s="325">
        <v>4650583.3333333302</v>
      </c>
      <c r="FM393" s="325">
        <v>1650583.3333333333</v>
      </c>
      <c r="FN393" s="325">
        <v>1650583.3333333333</v>
      </c>
      <c r="FO393" s="325">
        <v>2317250</v>
      </c>
      <c r="FP393" s="325">
        <v>2317250</v>
      </c>
      <c r="FQ393" s="325">
        <v>2317250</v>
      </c>
      <c r="FR393" s="325">
        <v>1941194</v>
      </c>
      <c r="FS393" s="325">
        <v>720000</v>
      </c>
      <c r="FT393" s="325">
        <v>117020</v>
      </c>
      <c r="FU393" s="325">
        <v>3138464.05</v>
      </c>
      <c r="FV393" s="325">
        <v>16941995.850000001</v>
      </c>
      <c r="FW393" s="325">
        <v>19000000</v>
      </c>
      <c r="FX393" s="325">
        <v>13000000</v>
      </c>
      <c r="FY393" s="325">
        <v>13000000</v>
      </c>
      <c r="FZ393" s="325">
        <v>13000000</v>
      </c>
      <c r="GA393" s="325">
        <v>38000000</v>
      </c>
      <c r="GB393" s="325">
        <v>7385913.0500000007</v>
      </c>
      <c r="GC393" s="325">
        <v>7385913.0500000007</v>
      </c>
      <c r="GE393" s="427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5">
        <v>830846.24800000002</v>
      </c>
      <c r="EU394" s="325">
        <v>830846.24800000002</v>
      </c>
      <c r="EV394" s="325">
        <v>830846.24800000002</v>
      </c>
      <c r="EW394" s="325">
        <v>830846.24800000002</v>
      </c>
      <c r="EX394" s="325">
        <v>830846.24800000002</v>
      </c>
      <c r="EY394" s="325">
        <v>830846.24800000002</v>
      </c>
      <c r="EZ394" s="325">
        <v>1246269.3720000002</v>
      </c>
      <c r="FA394" s="325">
        <v>1246269.3720000002</v>
      </c>
      <c r="FB394" s="325">
        <v>2223304.53675</v>
      </c>
      <c r="FC394" s="325">
        <v>3116522.6837499999</v>
      </c>
      <c r="FD394" s="325">
        <v>8116522.6837499999</v>
      </c>
      <c r="FE394" s="325">
        <v>8116522.6837499999</v>
      </c>
      <c r="FF394" s="349">
        <v>1650583.3333333333</v>
      </c>
      <c r="FG394" s="349">
        <v>1843583.3333333333</v>
      </c>
      <c r="FH394" s="349">
        <v>1650583.3333333333</v>
      </c>
      <c r="FI394" s="349">
        <v>1650583.3333333333</v>
      </c>
      <c r="FJ394" s="349">
        <v>1650583.3333333333</v>
      </c>
      <c r="FK394" s="349">
        <v>1650583.3333333333</v>
      </c>
      <c r="FL394" s="349">
        <f>1650583.33333333+3000000</f>
        <v>4650583.3333333302</v>
      </c>
      <c r="FM394" s="349">
        <v>1650583.3333333333</v>
      </c>
      <c r="FN394" s="349">
        <v>1650583.3333333333</v>
      </c>
      <c r="FO394" s="349">
        <f>3317250-1000000</f>
        <v>2317250</v>
      </c>
      <c r="FP394" s="349">
        <f>3317250-1000000</f>
        <v>2317250</v>
      </c>
      <c r="FQ394" s="349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8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5">
        <v>0</v>
      </c>
      <c r="EU395" s="325">
        <v>0</v>
      </c>
      <c r="EV395" s="325">
        <v>0</v>
      </c>
      <c r="EW395" s="325">
        <v>118999.88400000001</v>
      </c>
      <c r="EX395" s="325">
        <v>475999.53600000002</v>
      </c>
      <c r="EY395" s="325">
        <v>0</v>
      </c>
      <c r="EZ395" s="325">
        <v>0</v>
      </c>
      <c r="FA395" s="325">
        <v>0</v>
      </c>
      <c r="FB395" s="325">
        <v>0</v>
      </c>
      <c r="FC395" s="325">
        <v>0</v>
      </c>
      <c r="FD395" s="325">
        <v>0</v>
      </c>
      <c r="FE395" s="325">
        <v>0</v>
      </c>
      <c r="FF395" s="349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8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8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7"/>
      <c r="GE399" s="429"/>
    </row>
    <row r="400" spans="1:187">
      <c r="GE400" s="432"/>
    </row>
    <row r="401" spans="187:187">
      <c r="GE401" s="429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4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2021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Crna Gora</v>
      </c>
    </row>
    <row r="7" spans="2:7">
      <c r="E7" s="11" t="s">
        <v>806</v>
      </c>
      <c r="F7" s="12" t="s">
        <v>807</v>
      </c>
      <c r="G7" s="52" t="str">
        <f t="shared" si="0"/>
        <v>Ministarstvo finansija i socijalnog staranja</v>
      </c>
    </row>
    <row r="8" spans="2:7">
      <c r="D8" s="43"/>
      <c r="E8" s="33" t="s">
        <v>771</v>
      </c>
      <c r="F8" s="34" t="s">
        <v>805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1"/>
      <c r="E11" s="11" t="s">
        <v>826</v>
      </c>
      <c r="F11" s="12" t="s">
        <v>827</v>
      </c>
      <c r="G11" s="52" t="str">
        <f>+IF(ISBLANK(IF($B$2=1,E11,F11)),"",IF($B$2=1,E11,F11))</f>
        <v>Mjesečni podaci 2021</v>
      </c>
    </row>
    <row r="12" spans="2:7">
      <c r="D12" s="351"/>
      <c r="E12" s="11" t="s">
        <v>789</v>
      </c>
      <c r="F12" s="12" t="s">
        <v>790</v>
      </c>
      <c r="G12" s="52" t="str">
        <f t="shared" si="0"/>
        <v>Mjesečni podaci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Mjesečni podaci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Mjesečni podaci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Mjesečni podaci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Mjesečni podaci 2016</v>
      </c>
    </row>
    <row r="17" spans="2:7">
      <c r="E17" s="11" t="s">
        <v>689</v>
      </c>
      <c r="F17" s="12" t="s">
        <v>690</v>
      </c>
      <c r="G17" s="52" t="str">
        <f t="shared" si="0"/>
        <v>Mjesečni podaci 2015</v>
      </c>
    </row>
    <row r="18" spans="2:7">
      <c r="E18" s="11" t="s">
        <v>10</v>
      </c>
      <c r="F18" s="12" t="s">
        <v>11</v>
      </c>
      <c r="G18" s="52" t="str">
        <f t="shared" si="0"/>
        <v>Mjesečni podaci 2014</v>
      </c>
    </row>
    <row r="19" spans="2:7">
      <c r="E19" s="11" t="s">
        <v>12</v>
      </c>
      <c r="F19" s="12" t="s">
        <v>13</v>
      </c>
      <c r="G19" s="52" t="str">
        <f t="shared" si="0"/>
        <v>Mjesečni podaci 2013</v>
      </c>
    </row>
    <row r="20" spans="2:7">
      <c r="E20" s="11" t="s">
        <v>738</v>
      </c>
      <c r="F20" s="12" t="s">
        <v>739</v>
      </c>
      <c r="G20" s="52" t="str">
        <f t="shared" si="0"/>
        <v>Mjesečni podaci 2012</v>
      </c>
    </row>
    <row r="21" spans="2:7">
      <c r="E21" s="11" t="s">
        <v>740</v>
      </c>
      <c r="F21" s="12" t="s">
        <v>741</v>
      </c>
      <c r="G21" s="52" t="str">
        <f t="shared" si="0"/>
        <v>Mjesečni podaci 2011</v>
      </c>
    </row>
    <row r="22" spans="2:7">
      <c r="E22" s="11" t="s">
        <v>14</v>
      </c>
      <c r="F22" s="12" t="s">
        <v>404</v>
      </c>
      <c r="G22" s="52" t="str">
        <f t="shared" si="0"/>
        <v>Istorijski podaci, od 2006</v>
      </c>
    </row>
    <row r="23" spans="2:7">
      <c r="E23" s="11" t="s">
        <v>15</v>
      </c>
      <c r="F23" s="12" t="s">
        <v>16</v>
      </c>
      <c r="G23" s="52" t="str">
        <f t="shared" si="0"/>
        <v>Javni dug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Ostvarenje</v>
      </c>
    </row>
    <row r="26" spans="2:7">
      <c r="D26" s="43"/>
      <c r="E26" s="33" t="s">
        <v>414</v>
      </c>
      <c r="F26" s="34" t="s">
        <v>415</v>
      </c>
      <c r="G26" s="53" t="str">
        <f t="shared" si="0"/>
        <v>Početak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Prihodi budžeta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Tekući prihodi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Porezi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Porez na dohodak fizičkih lica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Porez na dobit pravnih lica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>Porez na promet nepokretnosti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Porez na dodatu vrijednost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Akcize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Porez na međunarodnu trgovinu i transakcije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Ostali državni porezi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Doprinosi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Doprinosi za penzijsko i invalidsko osiguranje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Doprinosi za zdravstveno osiguranje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Doprinosi za osiguranje od nezaposlenosti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Ostali doprinosi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Takse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Administrativne takse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Sudske takse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Boravišne takse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Registracione takse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Lokalne komunalne takse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Ostale takse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Naknade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Naknade za korišćenje dobara od opšteg interesa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Naknade za korišćenje prirodnih dobara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Ekološke naknade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Naknade za priređivanje igara na sreću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Naknade za korišćenje građevinskog zemljišta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Naknade za uređivanje i izgradnju građevinskog zemljišta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 xml:space="preserve">Naknade za izgradnju i održavanje lokalnih puteva i drugih javnih objekata od opštinskog značaja 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Naknada za puteve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Ostale naknade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Ostali prihodi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Prihodi od kapitala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Novčane kazne i oduzete imovinske koristi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Prihodi koje organi ostvaruju vršenjem svoje djelatnosti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Samodoprinosi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Ostali prihodi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Primici od prodaje imovine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Primici od prodaje nefinansijske imovine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Primici od prodaje finansijske imovine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Primici od otplate kredita i sredstva prenesena iz prethodne godine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Primici od otplate kredita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Sredstva prenesena iz prethodne godine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Donacije i transferi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Donacije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Transferi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 xml:space="preserve">Pozajmice i krediti 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Pozajmice i krediti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Pozajmice i krediti od domaćih izvora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Pozajmice i krediti od inostranih izvora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Izdaci budžeta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Tekuća budžetska potrošnja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Tekući izdaci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Bruto zarade i doprinosi na teret poslodavca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Neto zarade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Porez na zarade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Doprinosi na teret zaposlenog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Doprinosi na teret poslodavca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Opštinski prirez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Ostala lična primanja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Naknada za zimnicu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Naknada za stanovanje i odvojen život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Naknada za prevoz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Jubilarne nagrade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Otpremnine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Naknada skupstinskim poslanicima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Ostale naknade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>Ostala prava iz oblasti socijalne zaštite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Rashodi za materijal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Administrativni materijal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Materijal za zdravstvenu zaštitu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Materijal za posebne namjene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Rashodi za energiju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Rashodi za gorivo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Ostali rashodi za materijal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Rashodi za usluge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Službena putovanja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Reprezentacija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Komunikacione usluge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Bankarske usluge i negativne kursne razlike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Usluge prevoza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Advokatske, notarske i pravne usluge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Konsultantske usluge, projekti i studije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Usluge stručnog usavršavanja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Ostale usluge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Rashodi za tekuće održavanje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Tekuće održavanje javne infrastrukture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Tekuće održavanje građevinskih objekata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Tekuće održavanje opreme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Kamate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Kamate rezidentima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Kamate nerezidentima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Renta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Zakup objekata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Zakup opreme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Zakup zemljišta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Subvencije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Subvencije za proizvodnju i pružanje usluga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Izvozne subvencije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Uvozne subvencije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Ostali izdaci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>Izdaci po osnovu isplate ugovora o djelu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Izdaci po osnovu troškova sudskih postupaka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Izrada i održavanje softvera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Osiguranje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Kontribucije za članstvo u domaćim i međunarodnim organizacijama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Komunalne naknade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Kazne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Takse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Ostalo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Transferi za socijalnu zaštitu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Prava iz oblasti socijalne zaštite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Dječiji dodaci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Boračko invalidska zaštita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Materijalno obezbjeđenje porodice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Porodiljska odsustva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Tuđa njega i pomoć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Ishrana djece u predškolskim ustanovama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Izdržavanje štićenika u domovima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Ostala prava iz oblasti socijalne zaštite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Sredstva za tehnološke viškove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Garantovane zarade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Otpremnine za tehnološke viškove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Dokup staža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Naknade nezaposlenim licima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Ostalo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Prava iz oblasti penzijskog i invalidskog osiguranja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Starosna penzija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Invalidska penzija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Porodična penzija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Naknade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Dodaci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Ostala prava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Doprinos za zdravstvenu zaštitu penzionera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Ostala prava iz oblasti zdravstvene zaštite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Liječenje van Crne Gore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Ostala prava iz zdravstvenog osiguranja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Ortopedske sprave i pomagala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>Naknade za bolovanje preko 60 dana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Naknade za putne troškove osiguranika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Transferi institucijama, pojedincima, nevladinom i javnom sektoru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Transferi institucijama, pojedincima, nevladinom i javnom sektoru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 xml:space="preserve">Transferi za zdravstvenu zaštitu 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Transferi obrazovanju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Transferi institucijama kulture i sporta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Transferi nevladinim organizacijama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Transferi političkim partijama, strankama i udruženjima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Transferi za jednokratne socijalne pomoći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Transferi za lična primanja pripravnika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Ostali transferi pojedincima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Ostali transferi institucijama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 xml:space="preserve">Ostali transferi 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Transferi Fondu penzijskog i invalidskog osiguranja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Transferi Fondu zdravstva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Transferi zavodu za zapošljavanje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Transferi opštinama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Transferi budžetu države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Transferi javnim preduzećima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Kapitalni izdaci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Izdaci za infrastrukturu opšeg značaja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Izdaci za lokalnu infrastrukturu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Izdaci za građevinske objekte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Izdaci za uređenje zemljišta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Izdaci za opremu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Izdaci za investiciono održavanje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Izdaci za zalihe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Izdaci za kupovinu hartija od vrijednosti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Ostali kapitalni izdaci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Krediti i pozajmice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Pozajmice i krediti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Pozajmice i krediti nefinansijskim institucijama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Pozajmice i krediti finansijskim institucijama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Pozajmice i krediti pojedincima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Pozajmice i krediti vanbudžetskim fondovima i opštinama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Ostale pozajmice i krediti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Otplata dugova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Otplata duga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Otplata hartija od vrijednosti i kredita rezidentima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Otplata hartija od vrijednosti i kredita nerezidentima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Otplata garancija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Otplata garancija u zemlji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Otplata garancija u inostranstvu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Otplata obaveza iz prethodnog perioda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Rezerve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Tekuća budžetska rezerva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Stalna budžetska rezerva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Ostale rezerve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Suficit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Primarni suficit/deficit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/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Nedostajuća sredstva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Finansiranje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Povećanje / smanjenje depozita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Neto povećanje obaveza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Mart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Maj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Avgust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Septembar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Oktobar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Novembar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Decembar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April</v>
      </c>
    </row>
    <row r="245" spans="4:7">
      <c r="D245" s="49"/>
      <c r="E245" s="9"/>
      <c r="F245" s="10"/>
      <c r="G245" s="52" t="str">
        <f>+CONCATENATE("Jan - ",LEFT(G244,3))</f>
        <v>Jan - Apr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BDP</v>
      </c>
    </row>
    <row r="249" spans="4:7">
      <c r="D249" s="46"/>
      <c r="E249" s="9"/>
      <c r="F249" s="10"/>
      <c r="G249" s="52" t="str">
        <f>+CONCATENATE("% ",G248)</f>
        <v>% BDP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Ostvarenje budžeta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 ostvarenja budžeta</v>
      </c>
    </row>
    <row r="253" spans="4:7">
      <c r="D253" s="46"/>
      <c r="E253" s="9" t="str">
        <f>+CONCATENATE("Analitika za period ",G245)</f>
        <v>Analitika za period Jan - Apr</v>
      </c>
      <c r="F253" s="10" t="str">
        <f>+CONCATENATE("Analytics for period ",G245)</f>
        <v>Analytics for period Jan - Apr</v>
      </c>
      <c r="G253" s="52" t="str">
        <f>+IF(ISBLANK(IF($B$2=1,E253,F253)),"",IF($B$2=1,E253,F253))</f>
        <v>Analitika za period Jan - Apr</v>
      </c>
    </row>
    <row r="254" spans="4:7">
      <c r="D254" s="46"/>
      <c r="E254" s="9" t="str">
        <f>+CONCATENATE("Analitika za period ",G244)</f>
        <v>Analitika za period April</v>
      </c>
      <c r="F254" s="10" t="str">
        <f>+CONCATENATE("Analytics for period ",G244)</f>
        <v>Analytics for period April</v>
      </c>
      <c r="G254" s="52" t="str">
        <f>+IF(ISBLANK(IF($B$2=1,E254,F254)),"",IF($B$2=1,E254,F254))</f>
        <v>Analitika za period April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Ostvarenje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Odstupanje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Realizacija budžeta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Prihodi za mjesec April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Rashodi za mjesec April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Suficit/Deficit za mjesec April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Prihodi za period Januar - April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Rashodi za period Januar - April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Suficit/Deficit za period Januar - April</v>
      </c>
    </row>
    <row r="277" spans="5:7">
      <c r="E277" s="9" t="s">
        <v>409</v>
      </c>
      <c r="F277" s="10" t="s">
        <v>410</v>
      </c>
      <c r="G277" s="52" t="str">
        <f t="shared" si="3"/>
        <v>Stanje javnog duga (% BDP)</v>
      </c>
    </row>
    <row r="279" spans="5:7">
      <c r="E279" s="9" t="s">
        <v>407</v>
      </c>
      <c r="F279" s="10" t="s">
        <v>408</v>
      </c>
      <c r="G279" s="52" t="str">
        <f t="shared" si="3"/>
        <v>Pregled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Kontakt: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Analitika - 2014</vt:lpstr>
      <vt:lpstr>Pregled</vt:lpstr>
      <vt:lpstr>Analitka - 2021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Andjela Bulatovic</cp:lastModifiedBy>
  <cp:lastPrinted>2021-03-12T06:45:13Z</cp:lastPrinted>
  <dcterms:created xsi:type="dcterms:W3CDTF">2014-09-15T13:41:17Z</dcterms:created>
  <dcterms:modified xsi:type="dcterms:W3CDTF">2021-06-04T06:01:26Z</dcterms:modified>
</cp:coreProperties>
</file>