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4Wr8Sa7p/1W9TpjCFSbZ5tkGM4XNGIzmoVY0Vo36leviF8MeQF/jFOxnKvDWTx3i3PzSPTnb2CiN8XO9jJYHTQ==" workbookSaltValue="NdN9Dbr8khY4szTm7C3Hvw==" workbookSpinCount="100000" lockStructure="1"/>
  <bookViews>
    <workbookView xWindow="0" yWindow="0" windowWidth="11970" windowHeight="6045" tabRatio="587" firstSheet="1" activeTab="2"/>
  </bookViews>
  <sheets>
    <sheet name="Analitika - 2014" sheetId="3" state="hidden" r:id="rId1"/>
    <sheet name="Pregled" sheetId="1" r:id="rId2"/>
    <sheet name="Analit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G5" i="19" l="1"/>
  <c r="H5" i="19"/>
  <c r="I5" i="19"/>
  <c r="J5" i="19"/>
  <c r="K5" i="19"/>
  <c r="L5" i="19"/>
  <c r="M5" i="19"/>
  <c r="N5" i="19"/>
  <c r="O5" i="19"/>
  <c r="P5" i="19"/>
  <c r="Q5" i="19"/>
  <c r="R5" i="19"/>
  <c r="G5" i="22" l="1"/>
  <c r="H5" i="22"/>
  <c r="I5" i="22"/>
  <c r="J5" i="22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61" i="11"/>
  <c r="O62" i="11"/>
  <c r="O63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48" i="11"/>
  <c r="H52" i="11" l="1"/>
  <c r="H58" i="11"/>
  <c r="H61" i="11"/>
  <c r="H21" i="1" l="1"/>
  <c r="G21" i="1"/>
  <c r="H17" i="1"/>
  <c r="G17" i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T48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T135" i="22" s="1"/>
  <c r="A135" i="22"/>
  <c r="A134" i="22"/>
  <c r="A133" i="22"/>
  <c r="S132" i="22"/>
  <c r="T132" i="22" s="1"/>
  <c r="A132" i="22"/>
  <c r="S131" i="22"/>
  <c r="A131" i="22"/>
  <c r="S130" i="22"/>
  <c r="A130" i="22"/>
  <c r="R129" i="22"/>
  <c r="Q129" i="22"/>
  <c r="P129" i="22"/>
  <c r="O129" i="22"/>
  <c r="N129" i="22"/>
  <c r="M129" i="22"/>
  <c r="L129" i="22"/>
  <c r="K129" i="22"/>
  <c r="J129" i="22"/>
  <c r="O55" i="11" s="1"/>
  <c r="I129" i="22"/>
  <c r="H129" i="22"/>
  <c r="A129" i="22"/>
  <c r="A128" i="22"/>
  <c r="A127" i="22"/>
  <c r="S126" i="22"/>
  <c r="A126" i="22"/>
  <c r="S125" i="22"/>
  <c r="H51" i="11" s="1"/>
  <c r="A125" i="22"/>
  <c r="S124" i="22"/>
  <c r="H50" i="11" s="1"/>
  <c r="A124" i="22"/>
  <c r="S123" i="22"/>
  <c r="H49" i="11" s="1"/>
  <c r="A123" i="22"/>
  <c r="S122" i="22"/>
  <c r="H48" i="11" s="1"/>
  <c r="A122" i="22"/>
  <c r="S121" i="22"/>
  <c r="H47" i="11" s="1"/>
  <c r="A121" i="22"/>
  <c r="S120" i="22"/>
  <c r="H46" i="11" s="1"/>
  <c r="A120" i="22"/>
  <c r="S119" i="22"/>
  <c r="H45" i="11" s="1"/>
  <c r="A119" i="22"/>
  <c r="S118" i="22"/>
  <c r="H44" i="11" s="1"/>
  <c r="A118" i="22"/>
  <c r="S117" i="22"/>
  <c r="H43" i="11" s="1"/>
  <c r="A117" i="22"/>
  <c r="S116" i="22"/>
  <c r="H42" i="11" s="1"/>
  <c r="A116" i="22"/>
  <c r="S115" i="22"/>
  <c r="H41" i="11" s="1"/>
  <c r="A115" i="22"/>
  <c r="R114" i="22"/>
  <c r="Q114" i="22"/>
  <c r="Q103" i="22" s="1"/>
  <c r="P114" i="22"/>
  <c r="P103" i="22" s="1"/>
  <c r="O114" i="22"/>
  <c r="N114" i="22"/>
  <c r="M114" i="22"/>
  <c r="L114" i="22"/>
  <c r="K114" i="22"/>
  <c r="J114" i="22"/>
  <c r="O40" i="11" s="1"/>
  <c r="I114" i="22"/>
  <c r="H114" i="22"/>
  <c r="G114" i="22"/>
  <c r="A114" i="22"/>
  <c r="S113" i="22"/>
  <c r="A113" i="22"/>
  <c r="S112" i="22"/>
  <c r="A112" i="22"/>
  <c r="S111" i="22"/>
  <c r="A111" i="22"/>
  <c r="S110" i="22"/>
  <c r="H36" i="11" s="1"/>
  <c r="A110" i="22"/>
  <c r="S109" i="22"/>
  <c r="A109" i="22"/>
  <c r="S108" i="22"/>
  <c r="H34" i="11" s="1"/>
  <c r="A108" i="22"/>
  <c r="S107" i="22"/>
  <c r="A107" i="22"/>
  <c r="S106" i="22"/>
  <c r="H32" i="11" s="1"/>
  <c r="A106" i="22"/>
  <c r="S105" i="22"/>
  <c r="A105" i="22"/>
  <c r="R104" i="22"/>
  <c r="Q104" i="22"/>
  <c r="P104" i="22"/>
  <c r="O104" i="22"/>
  <c r="O103" i="22" s="1"/>
  <c r="N104" i="22"/>
  <c r="M104" i="22"/>
  <c r="L104" i="22"/>
  <c r="L103" i="22" s="1"/>
  <c r="K104" i="22"/>
  <c r="K103" i="22" s="1"/>
  <c r="J104" i="22"/>
  <c r="O30" i="11" s="1"/>
  <c r="I104" i="22"/>
  <c r="H104" i="22"/>
  <c r="G104" i="22"/>
  <c r="A104" i="22"/>
  <c r="M103" i="22"/>
  <c r="A103" i="22"/>
  <c r="S102" i="22"/>
  <c r="H28" i="11" s="1"/>
  <c r="A102" i="22"/>
  <c r="S101" i="22"/>
  <c r="A101" i="22"/>
  <c r="S100" i="22"/>
  <c r="H26" i="11" s="1"/>
  <c r="A100" i="22"/>
  <c r="S99" i="22"/>
  <c r="A99" i="22"/>
  <c r="S98" i="22"/>
  <c r="H24" i="11" s="1"/>
  <c r="A98" i="22"/>
  <c r="S97" i="22"/>
  <c r="A97" i="22"/>
  <c r="S96" i="22"/>
  <c r="H22" i="11" s="1"/>
  <c r="A96" i="22"/>
  <c r="S95" i="22"/>
  <c r="A95" i="22"/>
  <c r="S94" i="22"/>
  <c r="H20" i="11" s="1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H17" i="11" s="1"/>
  <c r="A91" i="22"/>
  <c r="S90" i="22"/>
  <c r="A90" i="22"/>
  <c r="S89" i="22"/>
  <c r="H15" i="11" s="1"/>
  <c r="A89" i="22"/>
  <c r="S88" i="22"/>
  <c r="A88" i="22"/>
  <c r="S87" i="22"/>
  <c r="H13" i="11" s="1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P11" i="11" s="1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N55" i="11" s="1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N40" i="11" s="1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N30" i="11" s="1"/>
  <c r="H30" i="22"/>
  <c r="S31" i="22"/>
  <c r="T31" i="22" s="1"/>
  <c r="Q30" i="22"/>
  <c r="O30" i="22"/>
  <c r="M30" i="22"/>
  <c r="K30" i="22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L10" i="22" s="1"/>
  <c r="J11" i="22"/>
  <c r="H11" i="22"/>
  <c r="S12" i="22"/>
  <c r="T12" i="22" s="1"/>
  <c r="Q11" i="22"/>
  <c r="Q10" i="22" s="1"/>
  <c r="O11" i="22"/>
  <c r="O10" i="22" s="1"/>
  <c r="M11" i="22"/>
  <c r="K11" i="22"/>
  <c r="K10" i="22" s="1"/>
  <c r="I11" i="22"/>
  <c r="I10" i="22" s="1"/>
  <c r="G11" i="22"/>
  <c r="R5" i="22"/>
  <c r="Q5" i="22"/>
  <c r="P5" i="22"/>
  <c r="O5" i="22"/>
  <c r="N5" i="22"/>
  <c r="M5" i="22"/>
  <c r="L5" i="22"/>
  <c r="K5" i="22"/>
  <c r="T137" i="22" l="1"/>
  <c r="H63" i="11"/>
  <c r="T136" i="22"/>
  <c r="H62" i="11"/>
  <c r="T131" i="22"/>
  <c r="H57" i="11"/>
  <c r="T130" i="22"/>
  <c r="H56" i="11"/>
  <c r="T113" i="22"/>
  <c r="H39" i="11"/>
  <c r="T112" i="22"/>
  <c r="H38" i="11"/>
  <c r="T111" i="22"/>
  <c r="H37" i="11"/>
  <c r="T109" i="22"/>
  <c r="H35" i="11"/>
  <c r="T107" i="22"/>
  <c r="H33" i="11"/>
  <c r="T105" i="22"/>
  <c r="H31" i="11"/>
  <c r="I103" i="22"/>
  <c r="T101" i="22"/>
  <c r="H27" i="11"/>
  <c r="T99" i="22"/>
  <c r="H25" i="11"/>
  <c r="T95" i="22"/>
  <c r="H21" i="11"/>
  <c r="T97" i="22"/>
  <c r="H23" i="11"/>
  <c r="T86" i="22"/>
  <c r="H12" i="11"/>
  <c r="T88" i="22"/>
  <c r="H14" i="11"/>
  <c r="T90" i="22"/>
  <c r="H16" i="11"/>
  <c r="T92" i="22"/>
  <c r="H18" i="11"/>
  <c r="H103" i="22"/>
  <c r="H10" i="22"/>
  <c r="G29" i="22"/>
  <c r="N84" i="22"/>
  <c r="S11" i="22"/>
  <c r="T11" i="22" s="1"/>
  <c r="G10" i="22"/>
  <c r="J103" i="22"/>
  <c r="O29" i="11" s="1"/>
  <c r="N103" i="22"/>
  <c r="R103" i="22"/>
  <c r="M10" i="22"/>
  <c r="J84" i="22"/>
  <c r="R84" i="22"/>
  <c r="G103" i="22"/>
  <c r="K29" i="22"/>
  <c r="K53" i="22" s="1"/>
  <c r="K54" i="22" s="1"/>
  <c r="O29" i="22"/>
  <c r="O53" i="22" s="1"/>
  <c r="O59" i="22" s="1"/>
  <c r="O64" i="22" s="1"/>
  <c r="O60" i="22" s="1"/>
  <c r="L29" i="22"/>
  <c r="L53" i="22" s="1"/>
  <c r="L54" i="22" s="1"/>
  <c r="P29" i="22"/>
  <c r="P53" i="22" s="1"/>
  <c r="P54" i="22" s="1"/>
  <c r="H29" i="22"/>
  <c r="J10" i="22"/>
  <c r="N10" i="11" s="1"/>
  <c r="N10" i="22"/>
  <c r="R10" i="22"/>
  <c r="S129" i="22"/>
  <c r="L84" i="22"/>
  <c r="P84" i="22"/>
  <c r="I84" i="22"/>
  <c r="K84" i="22"/>
  <c r="K127" i="22" s="1"/>
  <c r="K128" i="22" s="1"/>
  <c r="M84" i="22"/>
  <c r="M127" i="22" s="1"/>
  <c r="M133" i="22" s="1"/>
  <c r="M138" i="22" s="1"/>
  <c r="M134" i="22" s="1"/>
  <c r="O84" i="22"/>
  <c r="O127" i="22" s="1"/>
  <c r="O128" i="22" s="1"/>
  <c r="Q84" i="22"/>
  <c r="Q127" i="22" s="1"/>
  <c r="Q133" i="22" s="1"/>
  <c r="Q138" i="22" s="1"/>
  <c r="Q134" i="22" s="1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6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L127" i="22"/>
  <c r="L133" i="22" s="1"/>
  <c r="L138" i="22" s="1"/>
  <c r="L134" i="22" s="1"/>
  <c r="P127" i="22"/>
  <c r="P133" i="22" s="1"/>
  <c r="P138" i="22" s="1"/>
  <c r="P134" i="22" s="1"/>
  <c r="S104" i="22"/>
  <c r="G84" i="22"/>
  <c r="I29" i="22"/>
  <c r="M29" i="22"/>
  <c r="Q29" i="22"/>
  <c r="Q53" i="22" s="1"/>
  <c r="Q54" i="22" s="1"/>
  <c r="J29" i="22"/>
  <c r="N29" i="11" s="1"/>
  <c r="N29" i="22"/>
  <c r="R29" i="22"/>
  <c r="S40" i="22"/>
  <c r="T40" i="22" s="1"/>
  <c r="S19" i="22"/>
  <c r="T19" i="22" s="1"/>
  <c r="S30" i="22"/>
  <c r="T30" i="22" s="1"/>
  <c r="K133" i="22"/>
  <c r="K138" i="22" s="1"/>
  <c r="K134" i="22" s="1"/>
  <c r="J127" i="22" l="1"/>
  <c r="O53" i="11" s="1"/>
  <c r="J128" i="22"/>
  <c r="O54" i="11" s="1"/>
  <c r="I53" i="22"/>
  <c r="Q29" i="11"/>
  <c r="T129" i="22"/>
  <c r="H55" i="11"/>
  <c r="T114" i="22"/>
  <c r="H40" i="11"/>
  <c r="T104" i="22"/>
  <c r="H30" i="11"/>
  <c r="T93" i="22"/>
  <c r="H19" i="11"/>
  <c r="I127" i="22"/>
  <c r="I128" i="22" s="1"/>
  <c r="P10" i="11"/>
  <c r="T85" i="22"/>
  <c r="H11" i="11"/>
  <c r="H127" i="22"/>
  <c r="H133" i="22" s="1"/>
  <c r="Q10" i="11"/>
  <c r="H53" i="22"/>
  <c r="S10" i="22"/>
  <c r="T10" i="22" s="1"/>
  <c r="M53" i="22"/>
  <c r="M59" i="22" s="1"/>
  <c r="M64" i="22" s="1"/>
  <c r="M60" i="22" s="1"/>
  <c r="R127" i="22"/>
  <c r="R133" i="22" s="1"/>
  <c r="R138" i="22" s="1"/>
  <c r="R134" i="22" s="1"/>
  <c r="N127" i="22"/>
  <c r="N53" i="22"/>
  <c r="N59" i="22" s="1"/>
  <c r="N64" i="22" s="1"/>
  <c r="N60" i="22" s="1"/>
  <c r="S103" i="22"/>
  <c r="L59" i="22"/>
  <c r="L64" i="22" s="1"/>
  <c r="L60" i="22" s="1"/>
  <c r="R53" i="22"/>
  <c r="R54" i="22" s="1"/>
  <c r="I59" i="22"/>
  <c r="Q59" i="22"/>
  <c r="Q64" i="22" s="1"/>
  <c r="Q60" i="22" s="1"/>
  <c r="K59" i="22"/>
  <c r="K64" i="22" s="1"/>
  <c r="K60" i="22" s="1"/>
  <c r="L128" i="22"/>
  <c r="P128" i="22"/>
  <c r="O133" i="22"/>
  <c r="O138" i="22" s="1"/>
  <c r="O134" i="22" s="1"/>
  <c r="S84" i="22"/>
  <c r="M128" i="22"/>
  <c r="Q128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L48" i="11"/>
  <c r="M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G128" i="22" s="1"/>
  <c r="P59" i="22"/>
  <c r="P64" i="22" s="1"/>
  <c r="P60" i="22" s="1"/>
  <c r="O54" i="22"/>
  <c r="J53" i="22"/>
  <c r="N53" i="11" s="1"/>
  <c r="M54" i="22"/>
  <c r="N54" i="22"/>
  <c r="A145" i="19"/>
  <c r="A144" i="19"/>
  <c r="A151" i="19"/>
  <c r="A157" i="19"/>
  <c r="A152" i="19"/>
  <c r="A153" i="19"/>
  <c r="J133" i="22" l="1"/>
  <c r="J138" i="22"/>
  <c r="O59" i="11"/>
  <c r="I64" i="22"/>
  <c r="I54" i="22"/>
  <c r="T103" i="22"/>
  <c r="H29" i="11"/>
  <c r="T84" i="22"/>
  <c r="H10" i="11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N54" i="11" s="1"/>
  <c r="R140" i="19"/>
  <c r="Q140" i="19"/>
  <c r="P140" i="19"/>
  <c r="O140" i="19"/>
  <c r="N140" i="19"/>
  <c r="M140" i="19"/>
  <c r="J134" i="22" l="1"/>
  <c r="O60" i="11" s="1"/>
  <c r="O64" i="11"/>
  <c r="J64" i="22"/>
  <c r="N59" i="11"/>
  <c r="I60" i="22"/>
  <c r="S54" i="22"/>
  <c r="T54" i="22" s="1"/>
  <c r="T127" i="22"/>
  <c r="H53" i="11"/>
  <c r="I138" i="22"/>
  <c r="Q59" i="11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54" i="11"/>
  <c r="G138" i="22"/>
  <c r="S133" i="22"/>
  <c r="Q54" i="11"/>
  <c r="S128" i="22"/>
  <c r="J60" i="22" l="1"/>
  <c r="N60" i="11" s="1"/>
  <c r="N64" i="11"/>
  <c r="Q64" i="11" s="1"/>
  <c r="T128" i="22"/>
  <c r="H54" i="11"/>
  <c r="I54" i="11" s="1"/>
  <c r="T133" i="22"/>
  <c r="H59" i="11"/>
  <c r="I134" i="22"/>
  <c r="H60" i="22"/>
  <c r="I53" i="11"/>
  <c r="G20" i="1"/>
  <c r="H20" i="1" s="1"/>
  <c r="S64" i="22"/>
  <c r="T64" i="22" s="1"/>
  <c r="J53" i="11"/>
  <c r="G60" i="22"/>
  <c r="S60" i="22" s="1"/>
  <c r="T60" i="22" s="1"/>
  <c r="G59" i="11"/>
  <c r="S138" i="22"/>
  <c r="G134" i="22"/>
  <c r="GC35" i="6"/>
  <c r="GC28" i="6"/>
  <c r="GC23" i="6"/>
  <c r="GC18" i="6"/>
  <c r="GC10" i="6"/>
  <c r="J54" i="11" l="1"/>
  <c r="T138" i="22"/>
  <c r="H64" i="11"/>
  <c r="G64" i="11"/>
  <c r="G60" i="11"/>
  <c r="J59" i="11"/>
  <c r="I59" i="11"/>
  <c r="S134" i="22"/>
  <c r="Q60" i="11"/>
  <c r="GB35" i="6"/>
  <c r="GB28" i="6"/>
  <c r="GB23" i="6"/>
  <c r="GB18" i="6"/>
  <c r="GB10" i="6"/>
  <c r="T134" i="22" l="1"/>
  <c r="H60" i="11"/>
  <c r="J60" i="11" s="1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59" i="6" s="1"/>
  <c r="GE261" i="6"/>
  <c r="FY35" i="6" l="1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I30" i="20" s="1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R32" i="20"/>
  <c r="G32" i="20"/>
  <c r="H30" i="20"/>
  <c r="L30" i="20"/>
  <c r="O30" i="20"/>
  <c r="Q30" i="20"/>
  <c r="R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P40" i="20" l="1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K29" i="20" l="1"/>
  <c r="M29" i="20"/>
  <c r="J29" i="20"/>
  <c r="G29" i="20"/>
  <c r="H151" i="19" l="1"/>
  <c r="I151" i="19"/>
  <c r="J151" i="19"/>
  <c r="K151" i="19"/>
  <c r="L151" i="19"/>
  <c r="M151" i="19"/>
  <c r="N151" i="19"/>
  <c r="O151" i="19"/>
  <c r="P151" i="19"/>
  <c r="Q151" i="19"/>
  <c r="R151" i="19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N55" i="21"/>
  <c r="N56" i="21" s="1"/>
  <c r="N62" i="21" s="1"/>
  <c r="N67" i="21" s="1"/>
  <c r="N63" i="21" s="1"/>
  <c r="G10" i="20"/>
  <c r="I126" i="21"/>
  <c r="N150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R54" i="20" l="1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N57" i="2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4" i="20" l="1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K30" i="11" s="1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11" i="11" l="1"/>
  <c r="K55" i="1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K60" i="11" l="1"/>
  <c r="T60" i="1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<sst xmlns="http://schemas.openxmlformats.org/spreadsheetml/2006/main" count="1728" uniqueCount="828">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</sst>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0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/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/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/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/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7019926" y="1323975"/>
          <a:ext cx="3152774" cy="29622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SAOPŠTENJE:</a:t>
          </a:r>
        </a:p>
        <a:p>
          <a:pPr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april 2021. godine iznosili su 491,8 mil. € ili 10,6%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za 3,5 mil. € ili 0,7% u odnosu na planirane. U odnosu na isti period prethodne godine prihodi su manji za 8,5 mil. € ili 1,7%.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april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633,9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13,7% BDP-a i veći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10,9 mil. € ili 1,8% u odnosu na isti period prethodne godine. U odnosu na planirane, izdaci su manji za 60,3 mil. € ili 8,7%. U periodu januar - april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142,0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 2021. godine, Rješenjem o privremenom finansiranju budžeta za februar 2021. godine , Rješenjem o privremenom finansiranju budžeta za mart 2021. godine 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Rješenjem o privremenom finansiranju budžeta za april 2021. godine.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/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/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2021-04</v>
      </c>
      <c r="O6" s="143" t="str">
        <f>+CONCATENATE(N6,"p")</f>
        <v>2021-04p</v>
      </c>
      <c r="P6" s="130"/>
      <c r="Q6" s="130"/>
      <c r="R6" s="143" t="str">
        <f>+IF(Master!B3-10&gt;=0,CONCATENATE(Master!B4-1,"-",Master!B3),CONCATENATE(Master!B4-1,"-0",Master!B3))</f>
        <v>2020-04</v>
      </c>
      <c r="S6" s="130"/>
      <c r="T6" s="130"/>
    </row>
    <row r="7" spans="1:20">
      <c r="A7" s="144"/>
      <c r="B7" s="489" t="s">
        <v>692</v>
      </c>
      <c r="C7" s="490"/>
      <c r="D7" s="490"/>
      <c r="E7" s="490"/>
      <c r="F7" s="490"/>
      <c r="G7" s="498" t="s">
        <v>691</v>
      </c>
      <c r="H7" s="499"/>
      <c r="I7" s="499"/>
      <c r="J7" s="499"/>
      <c r="K7" s="499"/>
      <c r="L7" s="499"/>
      <c r="M7" s="500"/>
      <c r="N7" s="501" t="str">
        <f>+Master!G242</f>
        <v>Decembar</v>
      </c>
      <c r="O7" s="499"/>
      <c r="P7" s="499"/>
      <c r="Q7" s="499"/>
      <c r="R7" s="499"/>
      <c r="S7" s="499"/>
      <c r="T7" s="502"/>
    </row>
    <row r="8" spans="1:20">
      <c r="A8" s="144"/>
      <c r="B8" s="491"/>
      <c r="C8" s="492"/>
      <c r="D8" s="492"/>
      <c r="E8" s="492"/>
      <c r="F8" s="493"/>
      <c r="G8" s="145" t="str">
        <f>+Master!G25</f>
        <v>Ostvarenje</v>
      </c>
      <c r="H8" s="145" t="str">
        <f>+Master!G24</f>
        <v>Plan</v>
      </c>
      <c r="I8" s="485" t="str">
        <f>+Master!G260</f>
        <v>Odstupanje</v>
      </c>
      <c r="J8" s="485"/>
      <c r="K8" s="145" t="str">
        <f>+CONCATENATE(Master!G245," ",Master!B4-1)</f>
        <v>Jan - Apr 2020</v>
      </c>
      <c r="L8" s="485" t="str">
        <f>+I8</f>
        <v>Odstupanje</v>
      </c>
      <c r="M8" s="497"/>
      <c r="N8" s="146" t="str">
        <f>+G8</f>
        <v>Ostvarenje</v>
      </c>
      <c r="O8" s="145" t="str">
        <f>+H8</f>
        <v>Plan</v>
      </c>
      <c r="P8" s="485" t="str">
        <f>+I8</f>
        <v>Odstupanje</v>
      </c>
      <c r="Q8" s="485"/>
      <c r="R8" s="145" t="str">
        <f>+CONCATENATE(Master!G244," ",Master!B4-1)</f>
        <v>April 2020</v>
      </c>
      <c r="S8" s="485" t="str">
        <f>+P8</f>
        <v>Odstupanje</v>
      </c>
      <c r="T8" s="486"/>
    </row>
    <row r="9" spans="1:20" ht="15.7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31" t="str">
        <f>+VLOOKUP($A10,Master!$D$29:$G$225,4,FALSE)</f>
        <v>Prihodi budžeta</v>
      </c>
      <c r="C10" s="532"/>
      <c r="D10" s="532"/>
      <c r="E10" s="532"/>
      <c r="F10" s="53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19" t="e">
        <f>+VLOOKUP($A18,Master!$D$29:$G$225,4,FALSE)</f>
        <v>#N/A</v>
      </c>
      <c r="C18" s="520"/>
      <c r="D18" s="520"/>
      <c r="E18" s="520"/>
      <c r="F18" s="52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19" t="str">
        <f>+VLOOKUP($A19,Master!$D$29:$G$225,4,FALSE)</f>
        <v>Ostali državni porezi</v>
      </c>
      <c r="C19" s="520"/>
      <c r="D19" s="520"/>
      <c r="E19" s="520"/>
      <c r="F19" s="52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9" t="str">
        <f>+VLOOKUP($A20,Master!$D$29:$G$225,4,FALSE)</f>
        <v>Doprinosi</v>
      </c>
      <c r="C20" s="530"/>
      <c r="D20" s="530"/>
      <c r="E20" s="530"/>
      <c r="F20" s="53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19" t="str">
        <f>+VLOOKUP($A21,Master!$D$29:$G$225,4,FALSE)</f>
        <v>Doprinosi za penzijsko i invalidsko osiguranje</v>
      </c>
      <c r="C21" s="520"/>
      <c r="D21" s="520"/>
      <c r="E21" s="520"/>
      <c r="F21" s="52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19" t="str">
        <f>+VLOOKUP($A22,Master!$D$29:$G$225,4,FALSE)</f>
        <v>Doprinosi za zdravstveno osiguranje</v>
      </c>
      <c r="C22" s="520"/>
      <c r="D22" s="520"/>
      <c r="E22" s="520"/>
      <c r="F22" s="52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19" t="str">
        <f>+VLOOKUP($A23,Master!$D$29:$G$225,4,FALSE)</f>
        <v>Doprinosi za osiguranje od nezaposlenosti</v>
      </c>
      <c r="C23" s="520"/>
      <c r="D23" s="520"/>
      <c r="E23" s="520"/>
      <c r="F23" s="52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19" t="str">
        <f>+VLOOKUP($A24,Master!$D$29:$G$225,4,FALSE)</f>
        <v>Ostali doprinosi</v>
      </c>
      <c r="C24" s="520"/>
      <c r="D24" s="520"/>
      <c r="E24" s="520"/>
      <c r="F24" s="52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1" t="str">
        <f>+VLOOKUP($A25,Master!$D$29:$G$225,4,FALSE)</f>
        <v>Takse</v>
      </c>
      <c r="C25" s="522"/>
      <c r="D25" s="522"/>
      <c r="E25" s="522"/>
      <c r="F25" s="52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1" t="str">
        <f>+VLOOKUP($A26,Master!$D$29:$G$225,4,FALSE)</f>
        <v>Naknade</v>
      </c>
      <c r="C26" s="522"/>
      <c r="D26" s="522"/>
      <c r="E26" s="522"/>
      <c r="F26" s="52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1" t="str">
        <f>+VLOOKUP($A27,Master!$D$29:$G$225,4,FALSE)</f>
        <v>Ostali prihodi</v>
      </c>
      <c r="C27" s="522"/>
      <c r="D27" s="522"/>
      <c r="E27" s="522"/>
      <c r="F27" s="52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1" t="str">
        <f>+VLOOKUP($A28,Master!$D$29:$G$225,4,FALSE)</f>
        <v>Primici od otplate kredita i sredstva prenesena iz prethodne godine</v>
      </c>
      <c r="C28" s="522"/>
      <c r="D28" s="522"/>
      <c r="E28" s="522"/>
      <c r="F28" s="52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3" t="str">
        <f>+VLOOKUP($A29,Master!$D$29:$G$225,4,FALSE)</f>
        <v>Donacije i transferi</v>
      </c>
      <c r="C29" s="524"/>
      <c r="D29" s="524"/>
      <c r="E29" s="524"/>
      <c r="F29" s="524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09" t="str">
        <f>+VLOOKUP($A30,Master!$D$29:$G$225,4,FALSE)</f>
        <v>Izdaci budžeta</v>
      </c>
      <c r="C30" s="510"/>
      <c r="D30" s="510"/>
      <c r="E30" s="510"/>
      <c r="F30" s="510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25" t="str">
        <f>+VLOOKUP($A31,Master!$D$29:$G$225,4,FALSE)</f>
        <v>Tekući izdaci</v>
      </c>
      <c r="C31" s="526"/>
      <c r="D31" s="526"/>
      <c r="E31" s="526"/>
      <c r="F31" s="52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27" t="str">
        <f>+VLOOKUP($A32,Master!$D$29:$G$225,4,FALSE)</f>
        <v>Tekuća budžetska potrošnja</v>
      </c>
      <c r="C32" s="528"/>
      <c r="D32" s="528"/>
      <c r="E32" s="528"/>
      <c r="F32" s="52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19" t="str">
        <f>+VLOOKUP($A33,Master!$D$29:$G$225,4,FALSE)</f>
        <v>Bruto zarade i doprinosi na teret poslodavca</v>
      </c>
      <c r="C33" s="520"/>
      <c r="D33" s="520"/>
      <c r="E33" s="520"/>
      <c r="F33" s="52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19" t="str">
        <f>+VLOOKUP($A34,Master!$D$29:$G$225,4,FALSE)</f>
        <v>Ostala lična primanja</v>
      </c>
      <c r="C34" s="520"/>
      <c r="D34" s="520"/>
      <c r="E34" s="520"/>
      <c r="F34" s="52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19" t="str">
        <f>+VLOOKUP($A35,Master!$D$29:$G$225,4,FALSE)</f>
        <v>Rashodi za materijal</v>
      </c>
      <c r="C35" s="520"/>
      <c r="D35" s="520"/>
      <c r="E35" s="520"/>
      <c r="F35" s="52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19" t="str">
        <f>+VLOOKUP($A36,Master!$D$29:$G$225,4,FALSE)</f>
        <v>Rashodi za usluge</v>
      </c>
      <c r="C36" s="520"/>
      <c r="D36" s="520"/>
      <c r="E36" s="520"/>
      <c r="F36" s="52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19" t="str">
        <f>+VLOOKUP($A37,Master!$D$29:$G$225,4,FALSE)</f>
        <v>Rashodi za tekuće održavanje</v>
      </c>
      <c r="C37" s="520"/>
      <c r="D37" s="520"/>
      <c r="E37" s="520"/>
      <c r="F37" s="52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19" t="str">
        <f>+VLOOKUP($A38,Master!$D$29:$G$225,4,FALSE)</f>
        <v>Kamate</v>
      </c>
      <c r="C38" s="520"/>
      <c r="D38" s="520"/>
      <c r="E38" s="520"/>
      <c r="F38" s="52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19" t="str">
        <f>+VLOOKUP($A39,Master!$D$29:$G$225,4,FALSE)</f>
        <v>Renta</v>
      </c>
      <c r="C39" s="520"/>
      <c r="D39" s="520"/>
      <c r="E39" s="520"/>
      <c r="F39" s="52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19" t="str">
        <f>+VLOOKUP($A40,Master!$D$29:$G$225,4,FALSE)</f>
        <v>Subvencije</v>
      </c>
      <c r="C40" s="520"/>
      <c r="D40" s="520"/>
      <c r="E40" s="520"/>
      <c r="F40" s="52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19" t="str">
        <f>+VLOOKUP($A41,Master!$D$29:$G$225,4,FALSE)</f>
        <v>Ostali izdaci</v>
      </c>
      <c r="C41" s="520"/>
      <c r="D41" s="520"/>
      <c r="E41" s="520"/>
      <c r="F41" s="52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19" t="e">
        <f>+VLOOKUP($A42,Master!$D$29:$G$225,4,FALSE)</f>
        <v>#N/A</v>
      </c>
      <c r="C42" s="520"/>
      <c r="D42" s="520"/>
      <c r="E42" s="520"/>
      <c r="F42" s="52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15" t="str">
        <f>+VLOOKUP($A43,Master!$D$29:$G$225,4,FALSE)</f>
        <v>Transferi za socijalnu zaštitu</v>
      </c>
      <c r="C43" s="516"/>
      <c r="D43" s="516"/>
      <c r="E43" s="516"/>
      <c r="F43" s="51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19" t="str">
        <f>+VLOOKUP($A44,Master!$D$29:$G$225,4,FALSE)</f>
        <v>Prava iz oblasti socijalne zaštite</v>
      </c>
      <c r="C44" s="520"/>
      <c r="D44" s="520"/>
      <c r="E44" s="520"/>
      <c r="F44" s="52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19" t="str">
        <f>+VLOOKUP($A45,Master!$D$29:$G$225,4,FALSE)</f>
        <v>Sredstva za tehnološke viškove</v>
      </c>
      <c r="C45" s="520"/>
      <c r="D45" s="520"/>
      <c r="E45" s="520"/>
      <c r="F45" s="52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19" t="str">
        <f>+VLOOKUP($A46,Master!$D$29:$G$225,4,FALSE)</f>
        <v>Prava iz oblasti penzijskog i invalidskog osiguranja</v>
      </c>
      <c r="C46" s="520"/>
      <c r="D46" s="520"/>
      <c r="E46" s="520"/>
      <c r="F46" s="52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19" t="str">
        <f>+VLOOKUP($A47,Master!$D$29:$G$225,4,FALSE)</f>
        <v>Ostala prava iz oblasti zdravstvene zaštite</v>
      </c>
      <c r="C47" s="520"/>
      <c r="D47" s="520"/>
      <c r="E47" s="520"/>
      <c r="F47" s="52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19" t="str">
        <f>+VLOOKUP($A48,Master!$D$29:$G$225,4,FALSE)</f>
        <v>Ostala prava iz zdravstvenog osiguranja</v>
      </c>
      <c r="C48" s="520"/>
      <c r="D48" s="520"/>
      <c r="E48" s="520"/>
      <c r="F48" s="52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17" t="str">
        <f>+VLOOKUP($A49,Master!$D$29:$G$225,4,FALSE)</f>
        <v xml:space="preserve">Transferi institucijama, pojedincima, nevladinom i javnom sektoru </v>
      </c>
      <c r="C49" s="518"/>
      <c r="D49" s="518"/>
      <c r="E49" s="518"/>
      <c r="F49" s="518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17" t="str">
        <f>+VLOOKUP($A50,Master!$D$29:$G$225,4,FALSE)</f>
        <v>Kapitalni izdaci</v>
      </c>
      <c r="C50" s="518"/>
      <c r="D50" s="518"/>
      <c r="E50" s="518"/>
      <c r="F50" s="518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487" t="str">
        <f>+VLOOKUP($A51,Master!$D$29:$G$225,4,FALSE)</f>
        <v>Pozajmice i krediti</v>
      </c>
      <c r="C51" s="488"/>
      <c r="D51" s="488"/>
      <c r="E51" s="488"/>
      <c r="F51" s="48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487" t="str">
        <f>+VLOOKUP($A52,Master!$D$29:$G$225,4,FALSE)</f>
        <v>Rezerve</v>
      </c>
      <c r="C52" s="488"/>
      <c r="D52" s="488"/>
      <c r="E52" s="488"/>
      <c r="F52" s="48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05" t="str">
        <f>+VLOOKUP($A53,Master!$D$29:$G$225,4,FALSE)</f>
        <v>Otplata garancija</v>
      </c>
      <c r="C53" s="506"/>
      <c r="D53" s="506"/>
      <c r="E53" s="506"/>
      <c r="F53" s="50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05" t="str">
        <f>+VLOOKUP($A54,Master!$D$29:$G$225,4,FALSE)</f>
        <v>Otplata obaveza iz prethodnog perioda</v>
      </c>
      <c r="C54" s="506"/>
      <c r="D54" s="506"/>
      <c r="E54" s="506"/>
      <c r="F54" s="50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05" t="str">
        <f>+VLOOKUP($A55,Master!$D$29:$G$227,4,FALSE)</f>
        <v>Neto povećanje obaveza</v>
      </c>
      <c r="C55" s="506"/>
      <c r="D55" s="506"/>
      <c r="E55" s="506"/>
      <c r="F55" s="50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11" t="str">
        <f>+VLOOKUP($A56,Master!$D$29:$G$225,4,FALSE)</f>
        <v>Suficit / deficit</v>
      </c>
      <c r="C56" s="512"/>
      <c r="D56" s="512"/>
      <c r="E56" s="512"/>
      <c r="F56" s="51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13" t="str">
        <f>+VLOOKUP($A57,Master!$D$29:$G$225,4,FALSE)</f>
        <v>Primarni suficit/deficit</v>
      </c>
      <c r="C57" s="514"/>
      <c r="D57" s="514"/>
      <c r="E57" s="514"/>
      <c r="F57" s="51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15" t="str">
        <f>+VLOOKUP($A58,Master!$D$29:$G$225,4,FALSE)</f>
        <v>Otplata dugova</v>
      </c>
      <c r="C58" s="516"/>
      <c r="D58" s="516"/>
      <c r="E58" s="516"/>
      <c r="F58" s="51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03" t="str">
        <f>+VLOOKUP($A59,Master!$D$29:$G$225,4,FALSE)</f>
        <v>Otplata hartija od vrijednosti i kredita rezidentima</v>
      </c>
      <c r="C59" s="504"/>
      <c r="D59" s="504"/>
      <c r="E59" s="504"/>
      <c r="F59" s="504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487" t="str">
        <f>+VLOOKUP($A60,Master!$D$29:$G$225,4,FALSE)</f>
        <v>Otplata hartija od vrijednosti i kredita nerezidentima</v>
      </c>
      <c r="C60" s="488"/>
      <c r="D60" s="488"/>
      <c r="E60" s="488"/>
      <c r="F60" s="48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07" t="str">
        <f>+VLOOKUP($A62,Master!$D$29:$G$225,4,FALSE)</f>
        <v>Nedostajuća sredstva</v>
      </c>
      <c r="C62" s="508"/>
      <c r="D62" s="508"/>
      <c r="E62" s="508"/>
      <c r="F62" s="508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09" t="str">
        <f>+VLOOKUP($A63,Master!$D$29:$G$225,4,FALSE)</f>
        <v>Finansiranje</v>
      </c>
      <c r="C63" s="510"/>
      <c r="D63" s="510"/>
      <c r="E63" s="510"/>
      <c r="F63" s="510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03" t="str">
        <f>+VLOOKUP($A64,Master!$D$29:$G$225,4,FALSE)</f>
        <v>Pozajmice i krediti od domaćih izvora</v>
      </c>
      <c r="C64" s="504"/>
      <c r="D64" s="504"/>
      <c r="E64" s="504"/>
      <c r="F64" s="504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487" t="str">
        <f>+VLOOKUP($A65,Master!$D$29:$G$225,4,FALSE)</f>
        <v>Pozajmice i krediti od inostranih izvora</v>
      </c>
      <c r="C65" s="488"/>
      <c r="D65" s="488"/>
      <c r="E65" s="488"/>
      <c r="F65" s="48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487" t="str">
        <f>+VLOOKUP($A66,Master!$D$29:$G$225,4,FALSE)</f>
        <v>Primici od prodaje imovine</v>
      </c>
      <c r="C66" s="488"/>
      <c r="D66" s="488"/>
      <c r="E66" s="488"/>
      <c r="F66" s="48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April</v>
      </c>
      <c r="E11" s="135"/>
      <c r="F11" s="135"/>
      <c r="G11" s="137" t="str">
        <f>+Master!G273</f>
        <v>Prihodi za period Januar - April</v>
      </c>
      <c r="H11" s="135"/>
      <c r="I11" s="135"/>
      <c r="J11" s="135"/>
      <c r="K11" s="136"/>
    </row>
    <row r="12" spans="3:11">
      <c r="C12" s="134"/>
      <c r="D12" s="138">
        <f>+'Analitka - 2021'!N10</f>
        <v>143397342.51000002</v>
      </c>
      <c r="E12" s="456">
        <f>+D12/'2021'!T7</f>
        <v>3.0927261896648409E-2</v>
      </c>
      <c r="F12" s="135"/>
      <c r="G12" s="138">
        <f>+'Analitka - 2021'!G10</f>
        <v>491822262.61000001</v>
      </c>
      <c r="H12" s="456">
        <f>+G12/'2021'!T7</f>
        <v>0.10607390385411725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April</v>
      </c>
      <c r="E15" s="135"/>
      <c r="F15" s="135"/>
      <c r="G15" s="137" t="str">
        <f>+Master!G274</f>
        <v>Rashodi za period Januar - April</v>
      </c>
      <c r="H15" s="135"/>
      <c r="I15" s="135"/>
      <c r="J15" s="135"/>
      <c r="K15" s="136"/>
    </row>
    <row r="16" spans="3:11">
      <c r="C16" s="134"/>
      <c r="D16" s="138">
        <f>+'Analitka - 2021'!N29</f>
        <v>182022620.97999999</v>
      </c>
      <c r="E16" s="456">
        <f>+D16/'2021'!T7</f>
        <v>3.9257779618686102E-2</v>
      </c>
      <c r="F16" s="135"/>
      <c r="G16" s="138">
        <f>+'Analitka - 2021'!G29</f>
        <v>633866832.61000001</v>
      </c>
      <c r="H16" s="456">
        <f>+G16/'2021'!T7</f>
        <v>0.13670940616184274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April</v>
      </c>
      <c r="E19" s="135"/>
      <c r="F19" s="135"/>
      <c r="G19" s="137" t="str">
        <f>+Master!G275</f>
        <v>Suficit/Deficit za period Januar - April</v>
      </c>
      <c r="H19" s="135"/>
      <c r="I19" s="135"/>
      <c r="J19" s="135"/>
      <c r="K19" s="136"/>
    </row>
    <row r="20" spans="3:12">
      <c r="C20" s="134"/>
      <c r="D20" s="138">
        <f>+'Analitka - 2021'!N53</f>
        <v>-38625278.469999969</v>
      </c>
      <c r="E20" s="456">
        <f>+D20/'2021'!T7</f>
        <v>-8.3305177220376926E-3</v>
      </c>
      <c r="F20" s="135"/>
      <c r="G20" s="138">
        <f>+'Analitka - 2021'!G53</f>
        <v>-142044569.99999997</v>
      </c>
      <c r="H20" s="456">
        <f>+G20/'2021'!T7</f>
        <v>-3.0635502307725482E-2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vnupGsLQ+PNAzVOjBNsrfZwRXYvMgqOWNcoPHLqyCJI1JDzGUllX7UVI7joNvCoZ5xBp4LhNnfuZ++DI+b2i5w==" saltValue="I6tyoRuNfexQPNDviH4bA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2021-04</v>
      </c>
      <c r="O6" s="143" t="str">
        <f>+CONCATENATE(N6,"p")</f>
        <v>2021-04p</v>
      </c>
      <c r="P6" s="130"/>
      <c r="Q6" s="130"/>
      <c r="R6" s="143" t="str">
        <f>+IF(Master!B3-10&gt;=0,CONCATENATE(Master!B4-1,"-",Master!B3),CONCATENATE(Master!B4-1,"-0",Master!B3))</f>
        <v>2020-04</v>
      </c>
      <c r="S6" s="130"/>
      <c r="T6" s="130"/>
    </row>
    <row r="7" spans="1:20">
      <c r="A7" s="144"/>
      <c r="B7" s="489" t="str">
        <f>+Master!G253</f>
        <v>Analitika za period Jan - Apr</v>
      </c>
      <c r="C7" s="490"/>
      <c r="D7" s="490"/>
      <c r="E7" s="490"/>
      <c r="F7" s="490"/>
      <c r="G7" s="498" t="str">
        <f>+Master!G245</f>
        <v>Jan - Apr</v>
      </c>
      <c r="H7" s="499"/>
      <c r="I7" s="499"/>
      <c r="J7" s="499"/>
      <c r="K7" s="499"/>
      <c r="L7" s="499"/>
      <c r="M7" s="500"/>
      <c r="N7" s="501" t="str">
        <f>+Master!G244</f>
        <v>April</v>
      </c>
      <c r="O7" s="499"/>
      <c r="P7" s="499"/>
      <c r="Q7" s="499"/>
      <c r="R7" s="499"/>
      <c r="S7" s="499"/>
      <c r="T7" s="502"/>
    </row>
    <row r="8" spans="1:20">
      <c r="A8" s="144"/>
      <c r="B8" s="491"/>
      <c r="C8" s="492"/>
      <c r="D8" s="492"/>
      <c r="E8" s="492"/>
      <c r="F8" s="493"/>
      <c r="G8" s="358" t="str">
        <f>+Master!G25</f>
        <v>Ostvarenje</v>
      </c>
      <c r="H8" s="145" t="str">
        <f>+Master!G24</f>
        <v>Plan</v>
      </c>
      <c r="I8" s="485" t="str">
        <f>+Master!G260</f>
        <v>Odstupanje</v>
      </c>
      <c r="J8" s="485"/>
      <c r="K8" s="145" t="str">
        <f>+CONCATENATE(Master!G245," ",Master!B4-1)</f>
        <v>Jan - Apr 2020</v>
      </c>
      <c r="L8" s="485" t="str">
        <f>+I8</f>
        <v>Odstupanje</v>
      </c>
      <c r="M8" s="497"/>
      <c r="N8" s="146" t="str">
        <f>+G8</f>
        <v>Ostvarenje</v>
      </c>
      <c r="O8" s="145" t="str">
        <f>+H8</f>
        <v>Plan</v>
      </c>
      <c r="P8" s="485" t="str">
        <f>+I8</f>
        <v>Odstupanje</v>
      </c>
      <c r="Q8" s="485"/>
      <c r="R8" s="145" t="str">
        <f>+CONCATENATE(Master!G244," ",Master!B4-1)</f>
        <v>April 2020</v>
      </c>
      <c r="S8" s="485" t="str">
        <f>+P8</f>
        <v>Odstupanje</v>
      </c>
      <c r="T8" s="486"/>
    </row>
    <row r="9" spans="1:20" ht="15.75" thickBot="1">
      <c r="A9" s="144"/>
      <c r="B9" s="494"/>
      <c r="C9" s="495"/>
      <c r="D9" s="495"/>
      <c r="E9" s="495"/>
      <c r="F9" s="496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9" t="str">
        <f>+VLOOKUP($A10,Master!$D$29:$G$225,4,FALSE)</f>
        <v>Prihodi budžeta</v>
      </c>
      <c r="C10" s="510"/>
      <c r="D10" s="510"/>
      <c r="E10" s="510"/>
      <c r="F10" s="510"/>
      <c r="G10" s="151">
        <f>'2021'!S10</f>
        <v>491822262.61000001</v>
      </c>
      <c r="H10" s="151">
        <f>'2021'!S84</f>
        <v>488306879.80237174</v>
      </c>
      <c r="I10" s="152">
        <f>+G10-H10</f>
        <v>3515382.807628274</v>
      </c>
      <c r="J10" s="154">
        <f>IF(+IF(ISERROR(G10/H10),"…",G10/H10-1)&gt;200%,"...",IF(ISERROR(G10/H10),"…",G10/H10-1))</f>
        <v>7.1991261090791347E-3</v>
      </c>
      <c r="K10" s="151">
        <f>SUM('2020'!G10:J10)</f>
        <v>500300478.39999998</v>
      </c>
      <c r="L10" s="152">
        <f>+G10-K10</f>
        <v>-8478215.7899999619</v>
      </c>
      <c r="M10" s="154">
        <f>IF(+IF(ISERROR(G10/K10),"…",G10/K10-1)&gt;200%,"...",IF(ISERROR(G10/K10),"…",G10/K10-1))</f>
        <v>-1.6946247617259824E-2</v>
      </c>
      <c r="N10" s="151">
        <f>'2021'!J10</f>
        <v>143397342.51000002</v>
      </c>
      <c r="O10" s="151">
        <f>'2021'!J84</f>
        <v>155837839.82156321</v>
      </c>
      <c r="P10" s="152">
        <f>+N10-O10</f>
        <v>-12440497.311563194</v>
      </c>
      <c r="Q10" s="154">
        <f>IF(+IF(ISERROR(N10/O10),"…",N10/O10-1)&gt;200%,"...",IF(ISERROR(N10/O10),"…",N10/O10-1))</f>
        <v>-7.9829759741329553E-2</v>
      </c>
      <c r="R10" s="151">
        <f>'2020'!J10</f>
        <v>124933596.71000001</v>
      </c>
      <c r="S10" s="152">
        <f>+N10-R10</f>
        <v>18463745.800000012</v>
      </c>
      <c r="T10" s="154">
        <f>IF(+IF(ISERROR(N10/R10),"…",N10/R10-1)&gt;200%,"...",IF(ISERROR(N10/R10),"…",N10/R10-1))</f>
        <v>0.14778847552799323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277">
        <f>'2021'!S11</f>
        <v>321253401.16000003</v>
      </c>
      <c r="H11" s="277">
        <f>'2021'!S85</f>
        <v>305002949.73717892</v>
      </c>
      <c r="I11" s="158">
        <f t="shared" ref="I11:I57" si="0">+G11-H11</f>
        <v>16250451.422821105</v>
      </c>
      <c r="J11" s="160">
        <f t="shared" ref="J11:J64" si="1">IF(+IF(ISERROR(G11/H11-1),"…",G11/H11-1)&gt;200%,"...",IF(ISERROR(G11/H11-1),"…",G11/H11-1))</f>
        <v>5.3279653317530595E-2</v>
      </c>
      <c r="K11" s="277">
        <f>SUM('2020'!G11:J11)</f>
        <v>332139004.19</v>
      </c>
      <c r="L11" s="158">
        <f>+G11-K11</f>
        <v>-10885603.029999971</v>
      </c>
      <c r="M11" s="160">
        <f t="shared" ref="M11:M64" si="2">IF(+IF(ISERROR(G11/K11),"…",G11/K11-1)&gt;200%,"...",IF(ISERROR(G11/K11),"…",G11/K11-1))</f>
        <v>-3.2774238775560516E-2</v>
      </c>
      <c r="N11" s="277">
        <f>'2021'!J11</f>
        <v>92940577.079999998</v>
      </c>
      <c r="O11" s="277">
        <f>'2021'!J85</f>
        <v>93379659.592625082</v>
      </c>
      <c r="P11" s="158">
        <f>+N11-O11</f>
        <v>-439082.51262508333</v>
      </c>
      <c r="Q11" s="160">
        <f t="shared" ref="Q11:Q64" si="3">IF(+IF(ISERROR(N11/O11),"…",N11/O11-1)&gt;200%,"...",IF(ISERROR(N11/O11),"…",N11/O11-1))</f>
        <v>-4.702121581301677E-3</v>
      </c>
      <c r="R11" s="277">
        <f>'2020'!J11</f>
        <v>83521974.920000002</v>
      </c>
      <c r="S11" s="158">
        <f t="shared" ref="S11:S57" si="4">+N11-R11</f>
        <v>9418602.1599999964</v>
      </c>
      <c r="T11" s="160">
        <f t="shared" ref="T11:T64" si="5">IF(+IF(ISERROR(N11/R11),"…",N11/R11-1)&gt;200%,"...",IF(ISERROR(N11/R11),"…",N11/R11-1))</f>
        <v>0.11276795321256983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f>'2021'!S12</f>
        <v>31997644.600000001</v>
      </c>
      <c r="H12" s="163">
        <f>'2021'!S86</f>
        <v>33683624.612185195</v>
      </c>
      <c r="I12" s="164">
        <f t="shared" si="0"/>
        <v>-1685980.0121851936</v>
      </c>
      <c r="J12" s="166">
        <f t="shared" si="1"/>
        <v>-5.0053402256931778E-2</v>
      </c>
      <c r="K12" s="163">
        <f>SUM('2020'!G12:J12)</f>
        <v>30781069.990000002</v>
      </c>
      <c r="L12" s="164">
        <f>+G12-K12</f>
        <v>1216574.6099999994</v>
      </c>
      <c r="M12" s="166">
        <f t="shared" si="2"/>
        <v>3.9523467195754947E-2</v>
      </c>
      <c r="N12" s="163">
        <f>'2021'!J12</f>
        <v>9203378.8300000001</v>
      </c>
      <c r="O12" s="163">
        <f>'2021'!J86</f>
        <v>11228675.970229108</v>
      </c>
      <c r="P12" s="164">
        <f t="shared" ref="P12:P57" si="6">+N12-O12</f>
        <v>-2025297.1402291078</v>
      </c>
      <c r="Q12" s="166">
        <f t="shared" si="3"/>
        <v>-0.18036829503307716</v>
      </c>
      <c r="R12" s="163">
        <f>'2020'!J12</f>
        <v>6960084.75</v>
      </c>
      <c r="S12" s="164">
        <f t="shared" si="4"/>
        <v>2243294.08</v>
      </c>
      <c r="T12" s="166">
        <f t="shared" si="5"/>
        <v>0.32230844315509244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f>'2021'!S13</f>
        <v>48642282.089999996</v>
      </c>
      <c r="H13" s="163">
        <f>'2021'!S87</f>
        <v>35255616.177433416</v>
      </c>
      <c r="I13" s="164">
        <f t="shared" si="0"/>
        <v>13386665.91256658</v>
      </c>
      <c r="J13" s="166">
        <f t="shared" si="1"/>
        <v>0.37970307610550802</v>
      </c>
      <c r="K13" s="163">
        <f>SUM('2020'!G13:J13)</f>
        <v>48679233.18</v>
      </c>
      <c r="L13" s="164">
        <f t="shared" ref="L13:L57" si="7">+G13-K13</f>
        <v>-36951.090000003576</v>
      </c>
      <c r="M13" s="166">
        <f t="shared" si="2"/>
        <v>-7.5907296779653688E-4</v>
      </c>
      <c r="N13" s="163">
        <f>'2021'!J13</f>
        <v>17773856.079999998</v>
      </c>
      <c r="O13" s="163">
        <f>'2021'!J87</f>
        <v>16608606.985991174</v>
      </c>
      <c r="P13" s="164">
        <f t="shared" si="6"/>
        <v>1165249.0940088239</v>
      </c>
      <c r="Q13" s="166">
        <f t="shared" si="3"/>
        <v>7.015935141289531E-2</v>
      </c>
      <c r="R13" s="163">
        <f>'2020'!J13</f>
        <v>24401832.57</v>
      </c>
      <c r="S13" s="164">
        <f t="shared" si="4"/>
        <v>-6627976.4900000021</v>
      </c>
      <c r="T13" s="166">
        <f t="shared" si="5"/>
        <v>-0.27161798078020338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f>'2021'!S14</f>
        <v>449543.81999999995</v>
      </c>
      <c r="H14" s="163">
        <f>'2021'!S88</f>
        <v>551487.46156231314</v>
      </c>
      <c r="I14" s="164">
        <f t="shared" si="0"/>
        <v>-101943.64156231319</v>
      </c>
      <c r="J14" s="166">
        <f t="shared" si="1"/>
        <v>-0.18485214745139678</v>
      </c>
      <c r="K14" s="163">
        <f>SUM('2020'!G14:J14)</f>
        <v>530421.57999999996</v>
      </c>
      <c r="L14" s="164">
        <f t="shared" si="7"/>
        <v>-80877.760000000009</v>
      </c>
      <c r="M14" s="166">
        <f t="shared" si="2"/>
        <v>-0.15247826078267779</v>
      </c>
      <c r="N14" s="163">
        <f>'2021'!J14</f>
        <v>140632.47</v>
      </c>
      <c r="O14" s="163">
        <f>'2021'!J88</f>
        <v>161408.23875166406</v>
      </c>
      <c r="P14" s="164">
        <f t="shared" si="6"/>
        <v>-20775.768751664058</v>
      </c>
      <c r="Q14" s="166">
        <f t="shared" si="3"/>
        <v>-0.12871566477860397</v>
      </c>
      <c r="R14" s="163">
        <f>'2020'!J14</f>
        <v>48149.33</v>
      </c>
      <c r="S14" s="164">
        <f t="shared" si="4"/>
        <v>92483.14</v>
      </c>
      <c r="T14" s="166">
        <f t="shared" si="5"/>
        <v>1.9207565297377971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f>'2021'!S15</f>
        <v>171805579.81</v>
      </c>
      <c r="H15" s="163">
        <f>'2021'!S89</f>
        <v>169550920.77432829</v>
      </c>
      <c r="I15" s="164">
        <f t="shared" si="0"/>
        <v>2254659.035671711</v>
      </c>
      <c r="J15" s="166">
        <f t="shared" si="1"/>
        <v>1.3297828318329596E-2</v>
      </c>
      <c r="K15" s="163">
        <f>SUM('2020'!G15:J15)</f>
        <v>178413266.81</v>
      </c>
      <c r="L15" s="164">
        <f t="shared" si="7"/>
        <v>-6607687</v>
      </c>
      <c r="M15" s="166">
        <f t="shared" si="2"/>
        <v>-3.7035850069584875E-2</v>
      </c>
      <c r="N15" s="163">
        <f>'2021'!J15</f>
        <v>47233544.119999997</v>
      </c>
      <c r="O15" s="163">
        <f>'2021'!J89</f>
        <v>46352044.344607368</v>
      </c>
      <c r="P15" s="164">
        <f t="shared" si="6"/>
        <v>881499.77539262921</v>
      </c>
      <c r="Q15" s="166">
        <f t="shared" si="3"/>
        <v>1.9017495082612967E-2</v>
      </c>
      <c r="R15" s="163">
        <f>'2020'!J15</f>
        <v>35570662.579999998</v>
      </c>
      <c r="S15" s="164">
        <f t="shared" si="4"/>
        <v>11662881.539999999</v>
      </c>
      <c r="T15" s="166">
        <f t="shared" si="5"/>
        <v>0.32787923232438132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f>'2021'!S16</f>
        <v>57939694.609999999</v>
      </c>
      <c r="H16" s="163">
        <f>'2021'!S90</f>
        <v>55372299.433471315</v>
      </c>
      <c r="I16" s="164">
        <f t="shared" si="0"/>
        <v>2567395.1765286848</v>
      </c>
      <c r="J16" s="166">
        <f t="shared" si="1"/>
        <v>4.6366056725048121E-2</v>
      </c>
      <c r="K16" s="163">
        <f>SUM('2020'!G16:J16)</f>
        <v>63110876.939999998</v>
      </c>
      <c r="L16" s="164">
        <f t="shared" si="7"/>
        <v>-5171182.3299999982</v>
      </c>
      <c r="M16" s="166">
        <f t="shared" si="2"/>
        <v>-8.1938052214300283E-2</v>
      </c>
      <c r="N16" s="163">
        <f>'2021'!J16</f>
        <v>15614369.880000001</v>
      </c>
      <c r="O16" s="163">
        <f>'2021'!J90</f>
        <v>15899578.502006164</v>
      </c>
      <c r="P16" s="164">
        <f t="shared" si="6"/>
        <v>-285208.622006163</v>
      </c>
      <c r="Q16" s="166">
        <f t="shared" si="3"/>
        <v>-1.7938124710046632E-2</v>
      </c>
      <c r="R16" s="163">
        <f>'2020'!J16</f>
        <v>14097368.300000001</v>
      </c>
      <c r="S16" s="164">
        <f t="shared" si="4"/>
        <v>1517001.58</v>
      </c>
      <c r="T16" s="166">
        <f t="shared" si="5"/>
        <v>0.10760884923464764</v>
      </c>
    </row>
    <row r="17" spans="1:20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f>'2021'!S17</f>
        <v>7175474.5800000001</v>
      </c>
      <c r="H17" s="163">
        <f>'2021'!S91</f>
        <v>7331531.1654932853</v>
      </c>
      <c r="I17" s="164">
        <f t="shared" si="0"/>
        <v>-156056.58549328521</v>
      </c>
      <c r="J17" s="166">
        <f t="shared" si="1"/>
        <v>-2.1285674434255109E-2</v>
      </c>
      <c r="K17" s="163">
        <f>SUM('2020'!G17:J17)</f>
        <v>7549019.7999999998</v>
      </c>
      <c r="L17" s="164">
        <f t="shared" si="7"/>
        <v>-373545.21999999974</v>
      </c>
      <c r="M17" s="166">
        <f t="shared" si="2"/>
        <v>-4.9482612298884177E-2</v>
      </c>
      <c r="N17" s="163">
        <f>'2021'!J17</f>
        <v>2120318.15</v>
      </c>
      <c r="O17" s="163">
        <f>'2021'!J91</f>
        <v>2199795.066844475</v>
      </c>
      <c r="P17" s="164">
        <f t="shared" si="6"/>
        <v>-79476.916844475083</v>
      </c>
      <c r="Q17" s="166">
        <f t="shared" si="3"/>
        <v>-3.6129236783170815E-2</v>
      </c>
      <c r="R17" s="163">
        <f>'2020'!J17</f>
        <v>1725304.75</v>
      </c>
      <c r="S17" s="164">
        <f t="shared" si="4"/>
        <v>395013.39999999991</v>
      </c>
      <c r="T17" s="166">
        <f t="shared" si="5"/>
        <v>0.22895282702954356</v>
      </c>
    </row>
    <row r="18" spans="1:20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f>'2021'!S18</f>
        <v>3243181.6500000004</v>
      </c>
      <c r="H18" s="163">
        <f>'2021'!S92</f>
        <v>3257470.1127051101</v>
      </c>
      <c r="I18" s="164">
        <f t="shared" si="0"/>
        <v>-14288.462705109734</v>
      </c>
      <c r="J18" s="166">
        <f t="shared" si="1"/>
        <v>-4.3863680128269911E-3</v>
      </c>
      <c r="K18" s="163">
        <f>SUM('2020'!G18:J18)</f>
        <v>3075115.89</v>
      </c>
      <c r="L18" s="164">
        <f t="shared" si="7"/>
        <v>168065.76000000024</v>
      </c>
      <c r="M18" s="166">
        <f t="shared" si="2"/>
        <v>5.4653471937930798E-2</v>
      </c>
      <c r="N18" s="163">
        <f>'2021'!J18</f>
        <v>854477.55</v>
      </c>
      <c r="O18" s="163">
        <f>'2021'!J92</f>
        <v>929550.48419512867</v>
      </c>
      <c r="P18" s="164">
        <f t="shared" si="6"/>
        <v>-75072.934195128619</v>
      </c>
      <c r="Q18" s="166">
        <f t="shared" si="3"/>
        <v>-8.076262179577276E-2</v>
      </c>
      <c r="R18" s="163">
        <f>'2020'!J18</f>
        <v>718572.64</v>
      </c>
      <c r="S18" s="164">
        <f t="shared" si="4"/>
        <v>135904.91000000003</v>
      </c>
      <c r="T18" s="166">
        <f t="shared" si="5"/>
        <v>0.18913176265659093</v>
      </c>
    </row>
    <row r="19" spans="1:20">
      <c r="A19" s="150">
        <v>712</v>
      </c>
      <c r="B19" s="521" t="str">
        <f>+VLOOKUP($A19,Master!$D$29:$G$225,4,FALSE)</f>
        <v>Doprinosi</v>
      </c>
      <c r="C19" s="522"/>
      <c r="D19" s="522"/>
      <c r="E19" s="522"/>
      <c r="F19" s="522"/>
      <c r="G19" s="169">
        <f>'2021'!S19</f>
        <v>143788136.77000001</v>
      </c>
      <c r="H19" s="169">
        <f>'2021'!S93</f>
        <v>151555782.92127171</v>
      </c>
      <c r="I19" s="170">
        <f t="shared" si="0"/>
        <v>-7767646.1512717009</v>
      </c>
      <c r="J19" s="172">
        <f t="shared" si="1"/>
        <v>-5.1252720295778764E-2</v>
      </c>
      <c r="K19" s="169">
        <f>SUM('2020'!G19:J19)</f>
        <v>137095415.18000001</v>
      </c>
      <c r="L19" s="170">
        <f t="shared" si="7"/>
        <v>6692721.5900000036</v>
      </c>
      <c r="M19" s="172">
        <f t="shared" si="2"/>
        <v>4.8817982579598018E-2</v>
      </c>
      <c r="N19" s="169">
        <f>'2021'!J19</f>
        <v>43139138.690000005</v>
      </c>
      <c r="O19" s="169">
        <f>'2021'!J93</f>
        <v>53337844.267353572</v>
      </c>
      <c r="P19" s="170">
        <f t="shared" si="6"/>
        <v>-10198705.577353567</v>
      </c>
      <c r="Q19" s="172">
        <f t="shared" si="3"/>
        <v>-0.19120955706857989</v>
      </c>
      <c r="R19" s="169">
        <f>'2020'!J19</f>
        <v>33882602.5</v>
      </c>
      <c r="S19" s="170">
        <f t="shared" si="4"/>
        <v>9256536.1900000051</v>
      </c>
      <c r="T19" s="172">
        <f t="shared" si="5"/>
        <v>0.27319436840779887</v>
      </c>
    </row>
    <row r="20" spans="1:20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f>'2021'!S20</f>
        <v>88440862.120000005</v>
      </c>
      <c r="H20" s="163">
        <f>'2021'!S94</f>
        <v>92020888.314715877</v>
      </c>
      <c r="I20" s="164">
        <f t="shared" si="0"/>
        <v>-3580026.1947158724</v>
      </c>
      <c r="J20" s="166">
        <f t="shared" si="1"/>
        <v>-3.8904495058469823E-2</v>
      </c>
      <c r="K20" s="163">
        <f>SUM('2020'!G20:J20)</f>
        <v>85965695.030000001</v>
      </c>
      <c r="L20" s="164">
        <f t="shared" si="7"/>
        <v>2475167.0900000036</v>
      </c>
      <c r="M20" s="166">
        <f t="shared" si="2"/>
        <v>2.8792497857851762E-2</v>
      </c>
      <c r="N20" s="163">
        <f>'2021'!J20</f>
        <v>25833212.48</v>
      </c>
      <c r="O20" s="163">
        <f>'2021'!J94</f>
        <v>32519760.595343132</v>
      </c>
      <c r="P20" s="164">
        <f t="shared" si="6"/>
        <v>-6686548.1153431311</v>
      </c>
      <c r="Q20" s="166">
        <f t="shared" si="3"/>
        <v>-0.20561492437003526</v>
      </c>
      <c r="R20" s="163">
        <f>'2020'!J20</f>
        <v>21078780.449999999</v>
      </c>
      <c r="S20" s="164">
        <f t="shared" si="4"/>
        <v>4754432.0300000012</v>
      </c>
      <c r="T20" s="166">
        <f t="shared" si="5"/>
        <v>0.22555536556195799</v>
      </c>
    </row>
    <row r="21" spans="1:20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f>'2021'!S21</f>
        <v>47576082.960000001</v>
      </c>
      <c r="H21" s="163">
        <f>'2021'!S95</f>
        <v>50968513.329562128</v>
      </c>
      <c r="I21" s="164">
        <f t="shared" si="0"/>
        <v>-3392430.3695621267</v>
      </c>
      <c r="J21" s="166">
        <f t="shared" si="1"/>
        <v>-6.6559335321921043E-2</v>
      </c>
      <c r="K21" s="163">
        <f>SUM('2020'!G21:J21)</f>
        <v>43585516.32</v>
      </c>
      <c r="L21" s="164">
        <f t="shared" si="7"/>
        <v>3990566.6400000006</v>
      </c>
      <c r="M21" s="166">
        <f t="shared" si="2"/>
        <v>9.1557172586913982E-2</v>
      </c>
      <c r="N21" s="163">
        <f>'2021'!J21</f>
        <v>15012464.390000001</v>
      </c>
      <c r="O21" s="163">
        <f>'2021'!J95</f>
        <v>17844373.876312416</v>
      </c>
      <c r="P21" s="164">
        <f t="shared" si="6"/>
        <v>-2831909.4863124155</v>
      </c>
      <c r="Q21" s="166">
        <f t="shared" si="3"/>
        <v>-0.15870041201454788</v>
      </c>
      <c r="R21" s="163">
        <f>'2020'!J21</f>
        <v>10884138.67</v>
      </c>
      <c r="S21" s="164">
        <f t="shared" si="4"/>
        <v>4128325.7200000007</v>
      </c>
      <c r="T21" s="166">
        <f t="shared" si="5"/>
        <v>0.37929742032586589</v>
      </c>
    </row>
    <row r="22" spans="1:20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f>'2021'!S22</f>
        <v>4307119.62</v>
      </c>
      <c r="H22" s="163">
        <f>'2021'!S96</f>
        <v>4528978.8718346935</v>
      </c>
      <c r="I22" s="164">
        <f t="shared" si="0"/>
        <v>-221859.25183469336</v>
      </c>
      <c r="J22" s="166">
        <f t="shared" si="1"/>
        <v>-4.8986594575306075E-2</v>
      </c>
      <c r="K22" s="163">
        <f>SUM('2020'!G22:J22)</f>
        <v>4160669.5900000003</v>
      </c>
      <c r="L22" s="164">
        <f t="shared" si="7"/>
        <v>146450.0299999998</v>
      </c>
      <c r="M22" s="166">
        <f t="shared" si="2"/>
        <v>3.5198668587379967E-2</v>
      </c>
      <c r="N22" s="163">
        <f>'2021'!J22</f>
        <v>1275582.3600000001</v>
      </c>
      <c r="O22" s="163">
        <f>'2021'!J96</f>
        <v>1573709.7621291145</v>
      </c>
      <c r="P22" s="164">
        <f t="shared" si="6"/>
        <v>-298127.40212911437</v>
      </c>
      <c r="Q22" s="166">
        <f t="shared" si="3"/>
        <v>-0.18944243042997311</v>
      </c>
      <c r="R22" s="163">
        <f>'2020'!J22</f>
        <v>1042509.86</v>
      </c>
      <c r="S22" s="164">
        <f t="shared" si="4"/>
        <v>233072.50000000012</v>
      </c>
      <c r="T22" s="166">
        <f t="shared" si="5"/>
        <v>0.22356862888567797</v>
      </c>
    </row>
    <row r="23" spans="1:20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f>'2021'!S23</f>
        <v>3464072.0700000003</v>
      </c>
      <c r="H23" s="163">
        <f>'2021'!S97</f>
        <v>4037402.4051590292</v>
      </c>
      <c r="I23" s="164">
        <f t="shared" si="0"/>
        <v>-573330.33515902888</v>
      </c>
      <c r="J23" s="166">
        <f t="shared" si="1"/>
        <v>-0.14200475395428069</v>
      </c>
      <c r="K23" s="163">
        <f>SUM('2020'!G23:J23)</f>
        <v>3383534.24</v>
      </c>
      <c r="L23" s="164">
        <f t="shared" si="7"/>
        <v>80537.830000000075</v>
      </c>
      <c r="M23" s="166">
        <f t="shared" si="2"/>
        <v>2.3802871284080762E-2</v>
      </c>
      <c r="N23" s="163">
        <f>'2021'!J23</f>
        <v>1017879.46</v>
      </c>
      <c r="O23" s="163">
        <f>'2021'!J97</f>
        <v>1400000.0335689133</v>
      </c>
      <c r="P23" s="164">
        <f t="shared" si="6"/>
        <v>-382120.57356891339</v>
      </c>
      <c r="Q23" s="166">
        <f t="shared" si="3"/>
        <v>-0.27294326029036053</v>
      </c>
      <c r="R23" s="163">
        <f>'2020'!J23</f>
        <v>877173.52</v>
      </c>
      <c r="S23" s="164">
        <f t="shared" si="4"/>
        <v>140705.93999999994</v>
      </c>
      <c r="T23" s="166">
        <f t="shared" si="5"/>
        <v>0.16040833061171278</v>
      </c>
    </row>
    <row r="24" spans="1:20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f>'2021'!S24</f>
        <v>2871308.4700000007</v>
      </c>
      <c r="H24" s="175">
        <f>'2021'!S98</f>
        <v>3596233.8790861866</v>
      </c>
      <c r="I24" s="176">
        <f t="shared" si="0"/>
        <v>-724925.40908618597</v>
      </c>
      <c r="J24" s="178">
        <f t="shared" si="1"/>
        <v>-0.20157905004509646</v>
      </c>
      <c r="K24" s="175">
        <f>SUM('2020'!G24:J24)</f>
        <v>2691910.92</v>
      </c>
      <c r="L24" s="176">
        <f t="shared" si="7"/>
        <v>179397.55000000075</v>
      </c>
      <c r="M24" s="178">
        <f t="shared" si="2"/>
        <v>6.6643197093609885E-2</v>
      </c>
      <c r="N24" s="175">
        <f>'2021'!J24</f>
        <v>708969.28</v>
      </c>
      <c r="O24" s="175">
        <f>'2021'!J98</f>
        <v>1053757.2393967151</v>
      </c>
      <c r="P24" s="176">
        <f t="shared" si="6"/>
        <v>-344787.95939671504</v>
      </c>
      <c r="Q24" s="178">
        <f t="shared" si="3"/>
        <v>-0.32719866256302932</v>
      </c>
      <c r="R24" s="175">
        <f>'2020'!J24</f>
        <v>318936.3</v>
      </c>
      <c r="S24" s="176">
        <f t="shared" si="4"/>
        <v>390032.98000000004</v>
      </c>
      <c r="T24" s="178">
        <f t="shared" si="5"/>
        <v>1.222918118759138</v>
      </c>
    </row>
    <row r="25" spans="1:20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f>'2021'!S25</f>
        <v>11165523.75</v>
      </c>
      <c r="H25" s="175">
        <f>'2021'!S99</f>
        <v>9956417.3125786446</v>
      </c>
      <c r="I25" s="176">
        <f t="shared" si="0"/>
        <v>1209106.4374213554</v>
      </c>
      <c r="J25" s="178">
        <f t="shared" si="1"/>
        <v>0.1214399115125282</v>
      </c>
      <c r="K25" s="175">
        <f>SUM('2020'!G25:J25)</f>
        <v>7343160.9900000002</v>
      </c>
      <c r="L25" s="176">
        <f t="shared" si="7"/>
        <v>3822362.76</v>
      </c>
      <c r="M25" s="178">
        <f t="shared" si="2"/>
        <v>0.5205337000244632</v>
      </c>
      <c r="N25" s="175">
        <f>'2021'!J25</f>
        <v>3519204.05</v>
      </c>
      <c r="O25" s="175">
        <f>'2021'!J99</f>
        <v>3755352.2133842111</v>
      </c>
      <c r="P25" s="176">
        <f t="shared" si="6"/>
        <v>-236148.16338421125</v>
      </c>
      <c r="Q25" s="178">
        <f t="shared" si="3"/>
        <v>-6.28830932402481E-2</v>
      </c>
      <c r="R25" s="175">
        <f>'2020'!J25</f>
        <v>1597851.3599999999</v>
      </c>
      <c r="S25" s="176">
        <f t="shared" si="4"/>
        <v>1921352.69</v>
      </c>
      <c r="T25" s="178">
        <f t="shared" si="5"/>
        <v>1.2024602150728212</v>
      </c>
    </row>
    <row r="26" spans="1:20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f>'2021'!S26</f>
        <v>6371885.5300000012</v>
      </c>
      <c r="H26" s="175">
        <f>'2021'!S100</f>
        <v>7598946.9539259644</v>
      </c>
      <c r="I26" s="176">
        <f t="shared" si="0"/>
        <v>-1227061.4239259632</v>
      </c>
      <c r="J26" s="178">
        <f t="shared" si="1"/>
        <v>-0.16147782467306304</v>
      </c>
      <c r="K26" s="175">
        <f>SUM('2020'!G26:J26)</f>
        <v>9920729.709999999</v>
      </c>
      <c r="L26" s="176">
        <f t="shared" si="7"/>
        <v>-3548844.1799999978</v>
      </c>
      <c r="M26" s="178">
        <f t="shared" si="2"/>
        <v>-0.35772007541167028</v>
      </c>
      <c r="N26" s="175">
        <f>'2021'!J26</f>
        <v>1359110.1400000001</v>
      </c>
      <c r="O26" s="175">
        <f>'2021'!J100</f>
        <v>2049931.2276301766</v>
      </c>
      <c r="P26" s="176">
        <f t="shared" si="6"/>
        <v>-690821.08763017645</v>
      </c>
      <c r="Q26" s="178">
        <f t="shared" si="3"/>
        <v>-0.33699720181774118</v>
      </c>
      <c r="R26" s="175">
        <f>'2020'!J26</f>
        <v>2093585.81</v>
      </c>
      <c r="S26" s="176">
        <f t="shared" si="4"/>
        <v>-734475.66999999993</v>
      </c>
      <c r="T26" s="178">
        <f t="shared" si="5"/>
        <v>-0.35082186098691603</v>
      </c>
    </row>
    <row r="27" spans="1:20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f>'2021'!S27</f>
        <v>1759110.54</v>
      </c>
      <c r="H27" s="175">
        <f>'2021'!S101</f>
        <v>1098257.770399641</v>
      </c>
      <c r="I27" s="176">
        <f t="shared" si="0"/>
        <v>660852.76960035902</v>
      </c>
      <c r="J27" s="178">
        <f t="shared" si="1"/>
        <v>0.60172828948879986</v>
      </c>
      <c r="K27" s="175">
        <f>SUM('2020'!G27:J27)</f>
        <v>2250148.52</v>
      </c>
      <c r="L27" s="176">
        <f t="shared" si="7"/>
        <v>-491037.98</v>
      </c>
      <c r="M27" s="178">
        <f t="shared" si="2"/>
        <v>-0.21822469745241524</v>
      </c>
      <c r="N27" s="175">
        <f>'2021'!J27</f>
        <v>178904.78</v>
      </c>
      <c r="O27" s="175">
        <f>'2021'!J101</f>
        <v>397349.62562652194</v>
      </c>
      <c r="P27" s="176">
        <f t="shared" si="6"/>
        <v>-218444.84562652194</v>
      </c>
      <c r="Q27" s="178">
        <f t="shared" si="3"/>
        <v>-0.54975475384452299</v>
      </c>
      <c r="R27" s="175">
        <f>'2020'!J27</f>
        <v>561040.23</v>
      </c>
      <c r="S27" s="176">
        <f t="shared" si="4"/>
        <v>-382135.44999999995</v>
      </c>
      <c r="T27" s="178">
        <f t="shared" si="5"/>
        <v>-0.68111951615305732</v>
      </c>
    </row>
    <row r="28" spans="1:20" ht="15.75" thickBot="1">
      <c r="A28" s="150">
        <v>74</v>
      </c>
      <c r="B28" s="523" t="str">
        <f>+VLOOKUP($A28,Master!$D$29:$G$225,4,FALSE)</f>
        <v>Donacije i transferi</v>
      </c>
      <c r="C28" s="524"/>
      <c r="D28" s="524"/>
      <c r="E28" s="524"/>
      <c r="F28" s="524"/>
      <c r="G28" s="175">
        <f>'2021'!S28</f>
        <v>4612896.3900000006</v>
      </c>
      <c r="H28" s="175">
        <f>'2021'!S102</f>
        <v>9498291.2279306129</v>
      </c>
      <c r="I28" s="176">
        <f t="shared" si="0"/>
        <v>-4885394.8379306123</v>
      </c>
      <c r="J28" s="178">
        <f t="shared" si="1"/>
        <v>-0.51434460374984625</v>
      </c>
      <c r="K28" s="175">
        <f>SUM('2020'!G28:J28)</f>
        <v>8860108.8900000006</v>
      </c>
      <c r="L28" s="176">
        <f t="shared" si="7"/>
        <v>-4247212.5</v>
      </c>
      <c r="M28" s="178">
        <f t="shared" si="2"/>
        <v>-0.47936346524969176</v>
      </c>
      <c r="N28" s="175">
        <f>'2021'!J28</f>
        <v>1551438.49</v>
      </c>
      <c r="O28" s="175">
        <f>'2021'!J102</f>
        <v>1863945.6555469395</v>
      </c>
      <c r="P28" s="176">
        <f t="shared" si="6"/>
        <v>-312507.16554693948</v>
      </c>
      <c r="Q28" s="178">
        <f t="shared" si="3"/>
        <v>-0.16765894682441274</v>
      </c>
      <c r="R28" s="175">
        <f>'2020'!J28</f>
        <v>2957605.59</v>
      </c>
      <c r="S28" s="176">
        <f t="shared" si="4"/>
        <v>-1406167.0999999999</v>
      </c>
      <c r="T28" s="178">
        <f t="shared" si="5"/>
        <v>-0.47544104756713013</v>
      </c>
    </row>
    <row r="29" spans="1:20" ht="15.75" thickBot="1">
      <c r="A29" s="150">
        <v>4</v>
      </c>
      <c r="B29" s="509" t="str">
        <f>+VLOOKUP($A29,Master!$D$29:$G$225,4,FALSE)</f>
        <v>Izdaci budžeta</v>
      </c>
      <c r="C29" s="510"/>
      <c r="D29" s="510"/>
      <c r="E29" s="510"/>
      <c r="F29" s="510"/>
      <c r="G29" s="151">
        <f>'2021'!S29</f>
        <v>633866832.61000001</v>
      </c>
      <c r="H29" s="151">
        <f>'2021'!S103</f>
        <v>694185708.12680006</v>
      </c>
      <c r="I29" s="152">
        <f t="shared" si="0"/>
        <v>-60318875.516800046</v>
      </c>
      <c r="J29" s="154">
        <f t="shared" si="1"/>
        <v>-8.6891554825531236E-2</v>
      </c>
      <c r="K29" s="151">
        <f>SUM('2020'!G29:J29)</f>
        <v>622929979.96600008</v>
      </c>
      <c r="L29" s="152">
        <f t="shared" si="7"/>
        <v>10936852.643999934</v>
      </c>
      <c r="M29" s="154">
        <f t="shared" si="2"/>
        <v>1.7557113954600245E-2</v>
      </c>
      <c r="N29" s="151">
        <f>'2021'!J29</f>
        <v>182022620.97999999</v>
      </c>
      <c r="O29" s="151">
        <f>'2021'!J103</f>
        <v>164798207.99250004</v>
      </c>
      <c r="P29" s="152">
        <f t="shared" si="6"/>
        <v>17224412.987499952</v>
      </c>
      <c r="Q29" s="154">
        <f t="shared" si="3"/>
        <v>0.10451820561230751</v>
      </c>
      <c r="R29" s="151">
        <f>'2020'!J29</f>
        <v>170397112.164</v>
      </c>
      <c r="S29" s="152">
        <f t="shared" si="4"/>
        <v>11625508.815999985</v>
      </c>
      <c r="T29" s="154">
        <f t="shared" si="5"/>
        <v>6.8225973247779681E-2</v>
      </c>
    </row>
    <row r="30" spans="1:20">
      <c r="A30" s="150">
        <v>41</v>
      </c>
      <c r="B30" s="527" t="str">
        <f>+VLOOKUP($A30,Master!$D$29:$G$225,4,FALSE)</f>
        <v>Tekući izdaci</v>
      </c>
      <c r="C30" s="528"/>
      <c r="D30" s="528"/>
      <c r="E30" s="528"/>
      <c r="F30" s="528"/>
      <c r="G30" s="313">
        <f>'2021'!S30</f>
        <v>279616445.75</v>
      </c>
      <c r="H30" s="313">
        <f>'2021'!S104</f>
        <v>305611607.15340006</v>
      </c>
      <c r="I30" s="188">
        <f t="shared" si="0"/>
        <v>-25995161.403400064</v>
      </c>
      <c r="J30" s="190">
        <f t="shared" si="1"/>
        <v>-8.5059470239138957E-2</v>
      </c>
      <c r="K30" s="313">
        <f>SUM('2020'!G30:J30)</f>
        <v>285617481.57999998</v>
      </c>
      <c r="L30" s="188">
        <f t="shared" si="7"/>
        <v>-6001035.8299999833</v>
      </c>
      <c r="M30" s="190">
        <f t="shared" si="2"/>
        <v>-2.1010744149143168E-2</v>
      </c>
      <c r="N30" s="313">
        <f>'2021'!J30</f>
        <v>90501387.170000002</v>
      </c>
      <c r="O30" s="313">
        <f>'2021'!J104</f>
        <v>87907377.136600032</v>
      </c>
      <c r="P30" s="188">
        <f t="shared" si="6"/>
        <v>2594010.0333999693</v>
      </c>
      <c r="Q30" s="190">
        <f t="shared" si="3"/>
        <v>2.9508445342068645E-2</v>
      </c>
      <c r="R30" s="313">
        <f>'2020'!J30</f>
        <v>84501906.049999997</v>
      </c>
      <c r="S30" s="188">
        <f t="shared" si="4"/>
        <v>5999481.1200000048</v>
      </c>
      <c r="T30" s="190">
        <f t="shared" si="5"/>
        <v>7.0998175076075754E-2</v>
      </c>
    </row>
    <row r="31" spans="1:20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f>'2021'!S31</f>
        <v>180681888.81</v>
      </c>
      <c r="H31" s="163">
        <f>'2021'!S105</f>
        <v>179823463.34920001</v>
      </c>
      <c r="I31" s="164">
        <f t="shared" si="0"/>
        <v>858425.46079999208</v>
      </c>
      <c r="J31" s="166">
        <f t="shared" si="1"/>
        <v>4.7737121997979415E-3</v>
      </c>
      <c r="K31" s="163">
        <f>SUM('2020'!G31:J31)</f>
        <v>165437534.81999999</v>
      </c>
      <c r="L31" s="164">
        <f t="shared" si="7"/>
        <v>15244353.99000001</v>
      </c>
      <c r="M31" s="166">
        <f t="shared" si="2"/>
        <v>9.2145679072081377E-2</v>
      </c>
      <c r="N31" s="163">
        <f>'2021'!J31</f>
        <v>46104548.219999999</v>
      </c>
      <c r="O31" s="163">
        <f>'2021'!J105</f>
        <v>46000000</v>
      </c>
      <c r="P31" s="164">
        <f>+N31-O31</f>
        <v>104548.21999999881</v>
      </c>
      <c r="Q31" s="166">
        <f>IF(+IF(ISERROR(N31/O31),"…",N31/O31-1)&gt;200%,"...",IF(ISERROR(N31/O31),"…",N31/O31-1))</f>
        <v>2.2727873913044316E-3</v>
      </c>
      <c r="R31" s="163">
        <f>'2020'!J31</f>
        <v>41745440.189999998</v>
      </c>
      <c r="S31" s="164">
        <f t="shared" si="4"/>
        <v>4359108.0300000012</v>
      </c>
      <c r="T31" s="166">
        <f t="shared" si="5"/>
        <v>0.1044211777420474</v>
      </c>
    </row>
    <row r="32" spans="1:20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f>'2021'!S32</f>
        <v>2956401.82</v>
      </c>
      <c r="H32" s="163">
        <f>'2021'!S106</f>
        <v>4169457.7691999981</v>
      </c>
      <c r="I32" s="164">
        <f t="shared" si="0"/>
        <v>-1213055.9491999983</v>
      </c>
      <c r="J32" s="166">
        <f t="shared" si="1"/>
        <v>-0.29093853837803707</v>
      </c>
      <c r="K32" s="163">
        <f>SUM('2020'!G32:J32)</f>
        <v>3320244.2199999997</v>
      </c>
      <c r="L32" s="164">
        <f t="shared" si="7"/>
        <v>-363842.39999999991</v>
      </c>
      <c r="M32" s="166">
        <f t="shared" si="2"/>
        <v>-0.10958302338374371</v>
      </c>
      <c r="N32" s="163">
        <f>'2021'!J32</f>
        <v>1093748.1599999999</v>
      </c>
      <c r="O32" s="163">
        <f>'2021'!J106</f>
        <v>1071520.2789999989</v>
      </c>
      <c r="P32" s="164">
        <f t="shared" si="6"/>
        <v>22227.881000000983</v>
      </c>
      <c r="Q32" s="166">
        <f t="shared" si="3"/>
        <v>2.0744246689148316E-2</v>
      </c>
      <c r="R32" s="163">
        <f>'2020'!J32</f>
        <v>652598.81999999995</v>
      </c>
      <c r="S32" s="164">
        <f t="shared" si="4"/>
        <v>441149.33999999997</v>
      </c>
      <c r="T32" s="166">
        <f t="shared" si="5"/>
        <v>0.67598856522602957</v>
      </c>
    </row>
    <row r="33" spans="1:20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f>'2021'!S33</f>
        <v>7402399.96</v>
      </c>
      <c r="H33" s="163">
        <f>'2021'!S107</f>
        <v>10611604.708099997</v>
      </c>
      <c r="I33" s="164">
        <f t="shared" si="0"/>
        <v>-3209204.7480999967</v>
      </c>
      <c r="J33" s="166">
        <f t="shared" si="1"/>
        <v>-0.30242407594115928</v>
      </c>
      <c r="K33" s="163">
        <f>SUM('2020'!G33:J33)</f>
        <v>10512334.850000001</v>
      </c>
      <c r="L33" s="164">
        <f t="shared" si="7"/>
        <v>-3109934.8900000015</v>
      </c>
      <c r="M33" s="166">
        <f t="shared" si="2"/>
        <v>-0.29583674173012109</v>
      </c>
      <c r="N33" s="163">
        <f>'2021'!J33</f>
        <v>2297097.17</v>
      </c>
      <c r="O33" s="163">
        <f>'2021'!J107</f>
        <v>2142026.3062</v>
      </c>
      <c r="P33" s="164">
        <f t="shared" si="6"/>
        <v>155070.86379999993</v>
      </c>
      <c r="Q33" s="166">
        <f t="shared" si="3"/>
        <v>7.2394472164582835E-2</v>
      </c>
      <c r="R33" s="163">
        <f>'2020'!J33</f>
        <v>2981687.21</v>
      </c>
      <c r="S33" s="164">
        <f t="shared" si="4"/>
        <v>-684590.04</v>
      </c>
      <c r="T33" s="166">
        <f t="shared" si="5"/>
        <v>-0.22959820792201746</v>
      </c>
    </row>
    <row r="34" spans="1:20">
      <c r="A34" s="150">
        <v>414</v>
      </c>
      <c r="B34" s="519" t="str">
        <f>+VLOOKUP($A34,Master!$D$29:$G$225,4,FALSE)</f>
        <v>Rashodi za usluge</v>
      </c>
      <c r="C34" s="520"/>
      <c r="D34" s="520"/>
      <c r="E34" s="520"/>
      <c r="F34" s="520"/>
      <c r="G34" s="163">
        <f>'2021'!S34</f>
        <v>13188036.49</v>
      </c>
      <c r="H34" s="163">
        <f>'2021'!S108</f>
        <v>24879725.0374</v>
      </c>
      <c r="I34" s="164">
        <f t="shared" si="0"/>
        <v>-11691688.5474</v>
      </c>
      <c r="J34" s="166">
        <f t="shared" si="1"/>
        <v>-0.46992836656452908</v>
      </c>
      <c r="K34" s="163">
        <f>SUM('2020'!G34:J34)</f>
        <v>17115968.530000001</v>
      </c>
      <c r="L34" s="164">
        <f t="shared" si="7"/>
        <v>-3927932.040000001</v>
      </c>
      <c r="M34" s="166">
        <f t="shared" si="2"/>
        <v>-0.22948932355860086</v>
      </c>
      <c r="N34" s="163">
        <f>'2021'!J34</f>
        <v>6158096.0800000001</v>
      </c>
      <c r="O34" s="163">
        <f>'2021'!J108</f>
        <v>3801732.5582999997</v>
      </c>
      <c r="P34" s="164">
        <f t="shared" si="6"/>
        <v>2356363.5217000004</v>
      </c>
      <c r="Q34" s="166">
        <f t="shared" si="3"/>
        <v>0.61981306826950577</v>
      </c>
      <c r="R34" s="163">
        <f>'2020'!J34</f>
        <v>3724252.93</v>
      </c>
      <c r="S34" s="164">
        <f t="shared" si="4"/>
        <v>2433843.15</v>
      </c>
      <c r="T34" s="166">
        <f t="shared" si="5"/>
        <v>0.65351177692434548</v>
      </c>
    </row>
    <row r="35" spans="1:20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f>'2021'!S35</f>
        <v>5229515.1500000004</v>
      </c>
      <c r="H35" s="163">
        <f>'2021'!S109</f>
        <v>6734928.8579000002</v>
      </c>
      <c r="I35" s="164">
        <f t="shared" si="0"/>
        <v>-1505413.7078999998</v>
      </c>
      <c r="J35" s="166">
        <f t="shared" si="1"/>
        <v>-0.22352332736732106</v>
      </c>
      <c r="K35" s="163">
        <f>SUM('2020'!G35:J35)</f>
        <v>6173209.7400000002</v>
      </c>
      <c r="L35" s="164">
        <f t="shared" si="7"/>
        <v>-943694.58999999985</v>
      </c>
      <c r="M35" s="166">
        <f t="shared" si="2"/>
        <v>-0.15286935480018204</v>
      </c>
      <c r="N35" s="163">
        <f>'2021'!J35</f>
        <v>1685830.78</v>
      </c>
      <c r="O35" s="163">
        <f>'2021'!J109</f>
        <v>1835083.2786999997</v>
      </c>
      <c r="P35" s="164">
        <f t="shared" si="6"/>
        <v>-149252.49869999965</v>
      </c>
      <c r="Q35" s="166">
        <f t="shared" si="3"/>
        <v>-8.1332820386076587E-2</v>
      </c>
      <c r="R35" s="163">
        <f>'2020'!J35</f>
        <v>2799383.59</v>
      </c>
      <c r="S35" s="164">
        <f t="shared" si="4"/>
        <v>-1113552.8099999998</v>
      </c>
      <c r="T35" s="166">
        <f t="shared" si="5"/>
        <v>-0.39778500309062681</v>
      </c>
    </row>
    <row r="36" spans="1:20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f>'2021'!S36</f>
        <v>47098169.980000004</v>
      </c>
      <c r="H36" s="163">
        <f>'2021'!S110</f>
        <v>47153676.783500016</v>
      </c>
      <c r="I36" s="164">
        <f t="shared" si="0"/>
        <v>-55506.803500011563</v>
      </c>
      <c r="J36" s="166">
        <f t="shared" si="1"/>
        <v>-1.1771468798682516E-3</v>
      </c>
      <c r="K36" s="163">
        <f>SUM('2020'!G36:J36)</f>
        <v>59597746.280000001</v>
      </c>
      <c r="L36" s="164">
        <f t="shared" si="7"/>
        <v>-12499576.299999997</v>
      </c>
      <c r="M36" s="166">
        <f t="shared" si="2"/>
        <v>-0.20973236540313012</v>
      </c>
      <c r="N36" s="163">
        <f>'2021'!J36</f>
        <v>22768511.960000001</v>
      </c>
      <c r="O36" s="163">
        <f>'2021'!J110</f>
        <v>22487897.83840001</v>
      </c>
      <c r="P36" s="164">
        <f t="shared" si="6"/>
        <v>280614.12159999087</v>
      </c>
      <c r="Q36" s="166">
        <f t="shared" si="3"/>
        <v>1.2478450570013733E-2</v>
      </c>
      <c r="R36" s="163">
        <f>'2020'!J36</f>
        <v>22627138.609999999</v>
      </c>
      <c r="S36" s="164">
        <f t="shared" si="4"/>
        <v>141373.35000000149</v>
      </c>
      <c r="T36" s="166">
        <f t="shared" si="5"/>
        <v>6.2479552733867294E-3</v>
      </c>
    </row>
    <row r="37" spans="1:20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f>'2021'!S37</f>
        <v>2598339.62</v>
      </c>
      <c r="H37" s="163">
        <f>'2021'!S111</f>
        <v>2945142.8158999998</v>
      </c>
      <c r="I37" s="164">
        <f t="shared" si="0"/>
        <v>-346803.1958999997</v>
      </c>
      <c r="J37" s="166">
        <f t="shared" si="1"/>
        <v>-0.11775428818857492</v>
      </c>
      <c r="K37" s="163">
        <f>SUM('2020'!G37:J37)</f>
        <v>3227003.4399999995</v>
      </c>
      <c r="L37" s="164">
        <f t="shared" si="7"/>
        <v>-628663.81999999937</v>
      </c>
      <c r="M37" s="166">
        <f t="shared" si="2"/>
        <v>-0.19481349545756899</v>
      </c>
      <c r="N37" s="163">
        <f>'2021'!J37</f>
        <v>789353.05</v>
      </c>
      <c r="O37" s="163">
        <f>'2021'!J111</f>
        <v>692135.44759999984</v>
      </c>
      <c r="P37" s="164">
        <f t="shared" si="6"/>
        <v>97217.602400000207</v>
      </c>
      <c r="Q37" s="166">
        <f t="shared" si="3"/>
        <v>0.1404603719360209</v>
      </c>
      <c r="R37" s="163">
        <f>'2020'!J37</f>
        <v>971481.72</v>
      </c>
      <c r="S37" s="164">
        <f t="shared" si="4"/>
        <v>-182128.66999999993</v>
      </c>
      <c r="T37" s="166">
        <f t="shared" si="5"/>
        <v>-0.1874751384925698</v>
      </c>
    </row>
    <row r="38" spans="1:20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f>'2021'!S38</f>
        <v>11211087.18</v>
      </c>
      <c r="H38" s="163">
        <f>'2021'!S112</f>
        <v>15251109.621100001</v>
      </c>
      <c r="I38" s="164">
        <f t="shared" si="0"/>
        <v>-4040022.4411000013</v>
      </c>
      <c r="J38" s="166">
        <f t="shared" si="1"/>
        <v>-0.26490022965349391</v>
      </c>
      <c r="K38" s="163">
        <f>SUM('2020'!G38:J38)</f>
        <v>7889411.21</v>
      </c>
      <c r="L38" s="164">
        <f t="shared" si="7"/>
        <v>3321675.9699999997</v>
      </c>
      <c r="M38" s="166">
        <f t="shared" si="2"/>
        <v>0.42102964107000829</v>
      </c>
      <c r="N38" s="163">
        <f>'2021'!J38</f>
        <v>6896008.3300000001</v>
      </c>
      <c r="O38" s="163">
        <f>'2021'!J112</f>
        <v>6583273.04</v>
      </c>
      <c r="P38" s="164">
        <f t="shared" si="6"/>
        <v>312735.29000000004</v>
      </c>
      <c r="Q38" s="166">
        <f t="shared" si="3"/>
        <v>4.7504529752878E-2</v>
      </c>
      <c r="R38" s="163">
        <f>'2020'!J38</f>
        <v>5065576.53</v>
      </c>
      <c r="S38" s="164">
        <f t="shared" si="4"/>
        <v>1830431.7999999998</v>
      </c>
      <c r="T38" s="166">
        <f t="shared" si="5"/>
        <v>0.36134718114701925</v>
      </c>
    </row>
    <row r="39" spans="1:20">
      <c r="A39" s="150">
        <v>419</v>
      </c>
      <c r="B39" s="519" t="str">
        <f>+VLOOKUP($A39,Master!$D$29:$G$225,4,FALSE)</f>
        <v>Ostali izdaci</v>
      </c>
      <c r="C39" s="520"/>
      <c r="D39" s="520"/>
      <c r="E39" s="520"/>
      <c r="F39" s="520"/>
      <c r="G39" s="163">
        <f>'2021'!S39</f>
        <v>9250606.7400000002</v>
      </c>
      <c r="H39" s="163">
        <f>'2021'!S113</f>
        <v>14042498.211099997</v>
      </c>
      <c r="I39" s="164">
        <f t="shared" si="0"/>
        <v>-4791891.4710999969</v>
      </c>
      <c r="J39" s="166">
        <f t="shared" si="1"/>
        <v>-0.34124209233028147</v>
      </c>
      <c r="K39" s="163">
        <f>SUM('2020'!G39:J39)</f>
        <v>12344028.489999998</v>
      </c>
      <c r="L39" s="164">
        <f t="shared" si="7"/>
        <v>-3093421.7499999981</v>
      </c>
      <c r="M39" s="166">
        <f t="shared" si="2"/>
        <v>-0.2506006651318089</v>
      </c>
      <c r="N39" s="163">
        <f>'2021'!J39</f>
        <v>2708193.42</v>
      </c>
      <c r="O39" s="163">
        <f>'2021'!J113</f>
        <v>3293708.3883999996</v>
      </c>
      <c r="P39" s="164">
        <f t="shared" si="6"/>
        <v>-585514.96839999966</v>
      </c>
      <c r="Q39" s="166">
        <f t="shared" si="3"/>
        <v>-0.17776770113046592</v>
      </c>
      <c r="R39" s="163">
        <f>'2020'!J39</f>
        <v>3934346.45</v>
      </c>
      <c r="S39" s="164">
        <f t="shared" si="4"/>
        <v>-1226153.0300000003</v>
      </c>
      <c r="T39" s="166">
        <f t="shared" si="5"/>
        <v>-0.31165354794822409</v>
      </c>
    </row>
    <row r="40" spans="1:20">
      <c r="A40" s="150">
        <v>42</v>
      </c>
      <c r="B40" s="515" t="str">
        <f>+VLOOKUP($A40,Master!$D$29:$G$225,4,FALSE)</f>
        <v>Transferi za socijalnu zaštitu</v>
      </c>
      <c r="C40" s="516"/>
      <c r="D40" s="516"/>
      <c r="E40" s="516"/>
      <c r="F40" s="516"/>
      <c r="G40" s="193">
        <f>'2021'!S40</f>
        <v>184678602.47999996</v>
      </c>
      <c r="H40" s="193">
        <f>'2021'!S114</f>
        <v>186035538.45730001</v>
      </c>
      <c r="I40" s="194">
        <f t="shared" si="0"/>
        <v>-1356935.9773000479</v>
      </c>
      <c r="J40" s="196">
        <f t="shared" si="1"/>
        <v>-7.2939610815893063E-3</v>
      </c>
      <c r="K40" s="193">
        <f>SUM('2020'!G40:J40)</f>
        <v>184487428.36599997</v>
      </c>
      <c r="L40" s="194">
        <f t="shared" si="7"/>
        <v>191174.11399999261</v>
      </c>
      <c r="M40" s="196">
        <f t="shared" si="2"/>
        <v>1.0362446682314896E-3</v>
      </c>
      <c r="N40" s="193">
        <f>'2021'!J40</f>
        <v>47454391.899999991</v>
      </c>
      <c r="O40" s="193">
        <f>'2021'!J114</f>
        <v>42633361.184399992</v>
      </c>
      <c r="P40" s="194">
        <f t="shared" si="6"/>
        <v>4821030.7155999988</v>
      </c>
      <c r="Q40" s="196">
        <f t="shared" si="3"/>
        <v>0.11308117825258557</v>
      </c>
      <c r="R40" s="193">
        <f>'2020'!J40</f>
        <v>46190234.303999998</v>
      </c>
      <c r="S40" s="194">
        <f t="shared" si="4"/>
        <v>1264157.5959999934</v>
      </c>
      <c r="T40" s="196">
        <f t="shared" si="5"/>
        <v>2.7368503646895803E-2</v>
      </c>
    </row>
    <row r="41" spans="1:20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f>'2021'!S41</f>
        <v>26556579.059999999</v>
      </c>
      <c r="H41" s="163">
        <f>'2021'!S115</f>
        <v>26808003.640000001</v>
      </c>
      <c r="I41" s="164">
        <f t="shared" si="0"/>
        <v>-251424.58000000194</v>
      </c>
      <c r="J41" s="166">
        <f t="shared" si="1"/>
        <v>-9.3787132893720093E-3</v>
      </c>
      <c r="K41" s="163">
        <f>SUM('2020'!G41:J41)</f>
        <v>26753779.52</v>
      </c>
      <c r="L41" s="164">
        <f t="shared" si="7"/>
        <v>-197200.46000000089</v>
      </c>
      <c r="M41" s="166">
        <f t="shared" si="2"/>
        <v>-7.3709383697575515E-3</v>
      </c>
      <c r="N41" s="163">
        <f>'2021'!J41</f>
        <v>6831472.7699999996</v>
      </c>
      <c r="O41" s="163">
        <f>'2021'!J115</f>
        <v>5875881.9399999995</v>
      </c>
      <c r="P41" s="164">
        <f t="shared" si="6"/>
        <v>955590.83000000007</v>
      </c>
      <c r="Q41" s="166">
        <f t="shared" si="3"/>
        <v>0.16262934479585556</v>
      </c>
      <c r="R41" s="163">
        <f>'2020'!J41</f>
        <v>6378584.3399999999</v>
      </c>
      <c r="S41" s="164">
        <f t="shared" si="4"/>
        <v>452888.4299999997</v>
      </c>
      <c r="T41" s="166">
        <f t="shared" si="5"/>
        <v>7.1001401856512825E-2</v>
      </c>
    </row>
    <row r="42" spans="1:20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f>'2021'!S42</f>
        <v>5282918.5399999991</v>
      </c>
      <c r="H42" s="163">
        <f>'2021'!S116</f>
        <v>5737384.7245999994</v>
      </c>
      <c r="I42" s="164">
        <f t="shared" si="0"/>
        <v>-454466.18460000027</v>
      </c>
      <c r="J42" s="166">
        <f t="shared" si="1"/>
        <v>-7.921138400417882E-2</v>
      </c>
      <c r="K42" s="163">
        <f>SUM('2020'!G42:J42)</f>
        <v>4713026.79</v>
      </c>
      <c r="L42" s="164">
        <f t="shared" si="7"/>
        <v>569891.74999999907</v>
      </c>
      <c r="M42" s="166">
        <f t="shared" si="2"/>
        <v>0.12091841939222236</v>
      </c>
      <c r="N42" s="163">
        <f>'2021'!J42</f>
        <v>2281979.0699999998</v>
      </c>
      <c r="O42" s="163">
        <f>'2021'!J116</f>
        <v>821160.01370000001</v>
      </c>
      <c r="P42" s="164">
        <f t="shared" si="6"/>
        <v>1460819.0562999998</v>
      </c>
      <c r="Q42" s="166">
        <f t="shared" si="3"/>
        <v>1.7789700325492115</v>
      </c>
      <c r="R42" s="163">
        <f>'2020'!J42</f>
        <v>1448885.74</v>
      </c>
      <c r="S42" s="164">
        <f t="shared" si="4"/>
        <v>833093.32999999984</v>
      </c>
      <c r="T42" s="166">
        <f t="shared" si="5"/>
        <v>0.57498897739168853</v>
      </c>
    </row>
    <row r="43" spans="1:20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f>'2021'!S43</f>
        <v>144585096.34</v>
      </c>
      <c r="H43" s="163">
        <f>'2021'!S117</f>
        <v>144669476.64789999</v>
      </c>
      <c r="I43" s="164">
        <f t="shared" si="0"/>
        <v>-84380.307899981737</v>
      </c>
      <c r="J43" s="166">
        <f t="shared" si="1"/>
        <v>-5.832626885444725E-4</v>
      </c>
      <c r="K43" s="163">
        <f>SUM('2020'!G43:J43)</f>
        <v>142693530.63599998</v>
      </c>
      <c r="L43" s="164">
        <f t="shared" si="7"/>
        <v>1891565.704000026</v>
      </c>
      <c r="M43" s="166">
        <f t="shared" si="2"/>
        <v>1.3256141995850346E-2</v>
      </c>
      <c r="N43" s="163">
        <f>'2021'!J43</f>
        <v>36173730.149999999</v>
      </c>
      <c r="O43" s="163">
        <f>'2021'!J117</f>
        <v>33912547.660700001</v>
      </c>
      <c r="P43" s="164">
        <f t="shared" si="6"/>
        <v>2261182.4892999977</v>
      </c>
      <c r="Q43" s="166">
        <f t="shared" si="3"/>
        <v>6.6676868748507534E-2</v>
      </c>
      <c r="R43" s="163">
        <f>'2020'!J43</f>
        <v>35574785.513999999</v>
      </c>
      <c r="S43" s="164">
        <f t="shared" si="4"/>
        <v>598944.63599999994</v>
      </c>
      <c r="T43" s="166">
        <f t="shared" si="5"/>
        <v>1.6836212147063989E-2</v>
      </c>
    </row>
    <row r="44" spans="1:20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f>'2021'!S44</f>
        <v>5161828.5</v>
      </c>
      <c r="H44" s="163">
        <f>'2021'!S118</f>
        <v>5570829.6173999999</v>
      </c>
      <c r="I44" s="164">
        <f t="shared" si="0"/>
        <v>-409001.11739999987</v>
      </c>
      <c r="J44" s="166">
        <f t="shared" si="1"/>
        <v>-7.341834977729722E-2</v>
      </c>
      <c r="K44" s="163">
        <f>SUM('2020'!G44:J44)</f>
        <v>7155516.8099999996</v>
      </c>
      <c r="L44" s="164">
        <f t="shared" si="7"/>
        <v>-1993688.3099999996</v>
      </c>
      <c r="M44" s="166">
        <f t="shared" si="2"/>
        <v>-0.27862254578366363</v>
      </c>
      <c r="N44" s="163">
        <f>'2021'!J44</f>
        <v>1348826.37</v>
      </c>
      <c r="O44" s="163">
        <f>'2021'!J118</f>
        <v>1397262.91</v>
      </c>
      <c r="P44" s="164">
        <f t="shared" si="6"/>
        <v>-48436.539999999804</v>
      </c>
      <c r="Q44" s="166">
        <f t="shared" si="3"/>
        <v>-3.4665301464274711E-2</v>
      </c>
      <c r="R44" s="163">
        <f>'2020'!J44</f>
        <v>2107330.88</v>
      </c>
      <c r="S44" s="164">
        <f t="shared" si="4"/>
        <v>-758504.50999999978</v>
      </c>
      <c r="T44" s="166">
        <f t="shared" si="5"/>
        <v>-0.35993612450646562</v>
      </c>
    </row>
    <row r="45" spans="1:20">
      <c r="A45" s="150">
        <v>425</v>
      </c>
      <c r="B45" s="519" t="str">
        <f>+VLOOKUP($A45,Master!$D$29:$G$225,4,FALSE)</f>
        <v>Ostala prava iz zdravstvenog osiguranja</v>
      </c>
      <c r="C45" s="520"/>
      <c r="D45" s="520"/>
      <c r="E45" s="520"/>
      <c r="F45" s="520"/>
      <c r="G45" s="163">
        <f>'2021'!S45</f>
        <v>3092180.04</v>
      </c>
      <c r="H45" s="163">
        <f>'2021'!S119</f>
        <v>3249843.8273999998</v>
      </c>
      <c r="I45" s="164">
        <f t="shared" si="0"/>
        <v>-157663.7873999998</v>
      </c>
      <c r="J45" s="166">
        <f t="shared" si="1"/>
        <v>-4.8514265845856608E-2</v>
      </c>
      <c r="K45" s="163">
        <f>SUM('2020'!G45:J45)</f>
        <v>3171574.61</v>
      </c>
      <c r="L45" s="164">
        <f t="shared" si="7"/>
        <v>-79394.569999999832</v>
      </c>
      <c r="M45" s="166">
        <f t="shared" si="2"/>
        <v>-2.5033171141447541E-2</v>
      </c>
      <c r="N45" s="163">
        <f>'2021'!J45</f>
        <v>818383.54</v>
      </c>
      <c r="O45" s="163">
        <f>'2021'!J119</f>
        <v>626508.66</v>
      </c>
      <c r="P45" s="164">
        <f t="shared" si="6"/>
        <v>191874.88</v>
      </c>
      <c r="Q45" s="166">
        <f t="shared" si="3"/>
        <v>0.30626053915998552</v>
      </c>
      <c r="R45" s="163">
        <f>'2020'!J45</f>
        <v>680647.83</v>
      </c>
      <c r="S45" s="164">
        <f t="shared" si="4"/>
        <v>137735.71000000008</v>
      </c>
      <c r="T45" s="166">
        <f t="shared" si="5"/>
        <v>0.2023597283781835</v>
      </c>
    </row>
    <row r="46" spans="1:20">
      <c r="A46" s="150">
        <v>43</v>
      </c>
      <c r="B46" s="517" t="str">
        <f>+VLOOKUP($A46,Master!$D$29:$G$225,4,FALSE)</f>
        <v xml:space="preserve">Transferi institucijama, pojedincima, nevladinom i javnom sektoru </v>
      </c>
      <c r="C46" s="518"/>
      <c r="D46" s="518"/>
      <c r="E46" s="518"/>
      <c r="F46" s="518"/>
      <c r="G46" s="175">
        <f>'2021'!S46</f>
        <v>74774168.549999997</v>
      </c>
      <c r="H46" s="175">
        <f>'2021'!S120</f>
        <v>86411549.831400007</v>
      </c>
      <c r="I46" s="176">
        <f t="shared" si="0"/>
        <v>-11637381.28140001</v>
      </c>
      <c r="J46" s="178">
        <f t="shared" si="1"/>
        <v>-0.13467390995886586</v>
      </c>
      <c r="K46" s="175">
        <f>SUM('2020'!G46:J46)</f>
        <v>96770311.75</v>
      </c>
      <c r="L46" s="176">
        <f t="shared" si="7"/>
        <v>-21996143.200000003</v>
      </c>
      <c r="M46" s="178">
        <f t="shared" si="2"/>
        <v>-0.22730259727617341</v>
      </c>
      <c r="N46" s="175">
        <f>'2021'!J46</f>
        <v>17556277.370000001</v>
      </c>
      <c r="O46" s="175">
        <f>'2021'!J120</f>
        <v>16279511.697899997</v>
      </c>
      <c r="P46" s="176">
        <f t="shared" si="6"/>
        <v>1276765.6721000038</v>
      </c>
      <c r="Q46" s="178">
        <f t="shared" si="3"/>
        <v>7.8427762195391937E-2</v>
      </c>
      <c r="R46" s="175">
        <f>'2020'!J46</f>
        <v>17323075.199999999</v>
      </c>
      <c r="S46" s="176">
        <f t="shared" si="4"/>
        <v>233202.17000000179</v>
      </c>
      <c r="T46" s="178">
        <f t="shared" si="5"/>
        <v>1.3461938328363399E-2</v>
      </c>
    </row>
    <row r="47" spans="1:20">
      <c r="A47" s="150">
        <v>44</v>
      </c>
      <c r="B47" s="517" t="str">
        <f>+VLOOKUP($A47,Master!$D$29:$G$225,4,FALSE)</f>
        <v>Kapitalni izdaci</v>
      </c>
      <c r="C47" s="518"/>
      <c r="D47" s="518"/>
      <c r="E47" s="518"/>
      <c r="F47" s="518"/>
      <c r="G47" s="175">
        <f>'2021'!S47</f>
        <v>41839253.580000006</v>
      </c>
      <c r="H47" s="175">
        <f>'2021'!S121</f>
        <v>58943000.745699987</v>
      </c>
      <c r="I47" s="176">
        <f t="shared" si="0"/>
        <v>-17103747.165699981</v>
      </c>
      <c r="J47" s="178">
        <f t="shared" si="1"/>
        <v>-0.29017435402536296</v>
      </c>
      <c r="K47" s="175">
        <f>SUM('2020'!G47:J47)</f>
        <v>44036427.780000001</v>
      </c>
      <c r="L47" s="176">
        <f t="shared" si="7"/>
        <v>-2197174.1999999955</v>
      </c>
      <c r="M47" s="178">
        <f t="shared" si="2"/>
        <v>-4.9894469437366196E-2</v>
      </c>
      <c r="N47" s="175">
        <f>'2021'!J47</f>
        <v>14713319.380000001</v>
      </c>
      <c r="O47" s="175">
        <f>'2021'!J121</f>
        <v>14791599.598999994</v>
      </c>
      <c r="P47" s="176">
        <f t="shared" si="6"/>
        <v>-78280.218999993056</v>
      </c>
      <c r="Q47" s="178">
        <f t="shared" si="3"/>
        <v>-5.2922078153930796E-3</v>
      </c>
      <c r="R47" s="175">
        <f>'2020'!J47</f>
        <v>17935572.800000001</v>
      </c>
      <c r="S47" s="176">
        <f t="shared" si="4"/>
        <v>-3222253.42</v>
      </c>
      <c r="T47" s="178">
        <f t="shared" si="5"/>
        <v>-0.17965712363532649</v>
      </c>
    </row>
    <row r="48" spans="1:20">
      <c r="A48" s="150">
        <v>451</v>
      </c>
      <c r="B48" s="487" t="str">
        <f>+VLOOKUP($A48,Master!$D$29:$G$225,4,FALSE)</f>
        <v>Pozajmice i krediti</v>
      </c>
      <c r="C48" s="488"/>
      <c r="D48" s="488"/>
      <c r="E48" s="488"/>
      <c r="F48" s="488"/>
      <c r="G48" s="163">
        <f>'2021'!S48</f>
        <v>552118</v>
      </c>
      <c r="H48" s="163">
        <f>'2021'!S122</f>
        <v>624519.33480000007</v>
      </c>
      <c r="I48" s="164">
        <f>G48-H48</f>
        <v>-72401.33480000007</v>
      </c>
      <c r="J48" s="282">
        <f t="shared" si="1"/>
        <v>-0.11593129430201921</v>
      </c>
      <c r="K48" s="163">
        <f>SUM('2020'!G48:J48)</f>
        <v>545648</v>
      </c>
      <c r="L48" s="279">
        <f t="shared" si="7"/>
        <v>6470</v>
      </c>
      <c r="M48" s="282">
        <f t="shared" si="2"/>
        <v>1.1857461220420529E-2</v>
      </c>
      <c r="N48" s="163">
        <f>'2021'!J48</f>
        <v>287224</v>
      </c>
      <c r="O48" s="163">
        <f>'2021'!J122</f>
        <v>334511</v>
      </c>
      <c r="P48" s="164">
        <f t="shared" si="6"/>
        <v>-47287</v>
      </c>
      <c r="Q48" s="282">
        <f t="shared" si="3"/>
        <v>-0.14136156957469259</v>
      </c>
      <c r="R48" s="163">
        <f>'2020'!J48</f>
        <v>268014</v>
      </c>
      <c r="S48" s="279">
        <f t="shared" si="4"/>
        <v>19210</v>
      </c>
      <c r="T48" s="282">
        <f t="shared" si="5"/>
        <v>7.1675360242375419E-2</v>
      </c>
    </row>
    <row r="49" spans="1:23">
      <c r="A49" s="150">
        <v>47</v>
      </c>
      <c r="B49" s="487" t="str">
        <f>+VLOOKUP($A49,Master!$D$29:$G$225,4,FALSE)</f>
        <v>Rezerve</v>
      </c>
      <c r="C49" s="488"/>
      <c r="D49" s="488"/>
      <c r="E49" s="488"/>
      <c r="F49" s="488"/>
      <c r="G49" s="163">
        <f>'2021'!S49</f>
        <v>42938484.699999996</v>
      </c>
      <c r="H49" s="163">
        <f>'2021'!S123</f>
        <v>43094030.82</v>
      </c>
      <c r="I49" s="164">
        <f t="shared" ref="I49:I50" si="8">G49-H49</f>
        <v>-155546.12000000477</v>
      </c>
      <c r="J49" s="283">
        <f t="shared" si="1"/>
        <v>-3.6094585964748793E-3</v>
      </c>
      <c r="K49" s="163">
        <f>SUM('2020'!G49:J49)</f>
        <v>5916678.0499999998</v>
      </c>
      <c r="L49" s="280">
        <f t="shared" si="7"/>
        <v>37021806.649999999</v>
      </c>
      <c r="M49" s="283" t="str">
        <f t="shared" si="2"/>
        <v>...</v>
      </c>
      <c r="N49" s="163">
        <f>'2021'!J49</f>
        <v>10129681.51</v>
      </c>
      <c r="O49" s="163">
        <f>'2021'!J123</f>
        <v>186668.36</v>
      </c>
      <c r="P49" s="164">
        <f t="shared" si="6"/>
        <v>9943013.1500000004</v>
      </c>
      <c r="Q49" s="283" t="str">
        <f t="shared" si="3"/>
        <v>...</v>
      </c>
      <c r="R49" s="163">
        <f>'2020'!J49</f>
        <v>3138464.05</v>
      </c>
      <c r="S49" s="280">
        <f t="shared" si="4"/>
        <v>6991217.46</v>
      </c>
      <c r="T49" s="283" t="str">
        <f t="shared" si="5"/>
        <v>...</v>
      </c>
      <c r="W49" s="345"/>
    </row>
    <row r="50" spans="1:23" ht="15.75" thickBot="1">
      <c r="A50" s="150">
        <v>462</v>
      </c>
      <c r="B50" s="505" t="str">
        <f>+VLOOKUP($A50,Master!$D$29:$G$225,4,FALSE)</f>
        <v>Otplata garancija</v>
      </c>
      <c r="C50" s="506"/>
      <c r="D50" s="506"/>
      <c r="E50" s="506"/>
      <c r="F50" s="506"/>
      <c r="G50" s="163">
        <f>'2021'!S50</f>
        <v>3831496.4</v>
      </c>
      <c r="H50" s="163">
        <f>'2021'!S124</f>
        <v>3876366.14</v>
      </c>
      <c r="I50" s="164">
        <f t="shared" si="8"/>
        <v>-44869.740000000224</v>
      </c>
      <c r="J50" s="284">
        <f t="shared" si="1"/>
        <v>-1.157520687661362E-2</v>
      </c>
      <c r="K50" s="163">
        <f>SUM('2020'!G50:J50)</f>
        <v>0</v>
      </c>
      <c r="L50" s="280">
        <f t="shared" si="7"/>
        <v>3831496.4</v>
      </c>
      <c r="M50" s="284" t="str">
        <f t="shared" si="2"/>
        <v>...</v>
      </c>
      <c r="N50" s="163">
        <f>'2021'!J50</f>
        <v>0</v>
      </c>
      <c r="O50" s="163">
        <f>'2021'!J124</f>
        <v>0</v>
      </c>
      <c r="P50" s="164">
        <f t="shared" si="6"/>
        <v>0</v>
      </c>
      <c r="Q50" s="284" t="str">
        <f t="shared" si="3"/>
        <v>...</v>
      </c>
      <c r="R50" s="163">
        <f>'2020'!J50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05" t="str">
        <f>+VLOOKUP($A51,Master!$D$29:$G$225,4,FALSE)</f>
        <v>Otplata obaveza iz prethodnog perioda</v>
      </c>
      <c r="C51" s="506"/>
      <c r="D51" s="506"/>
      <c r="E51" s="506"/>
      <c r="F51" s="506"/>
      <c r="G51" s="314">
        <f>'2021'!S51</f>
        <v>5636263.1500000004</v>
      </c>
      <c r="H51" s="314">
        <f>'2021'!S125</f>
        <v>9589095.644199986</v>
      </c>
      <c r="I51" s="281">
        <f>G51-H51</f>
        <v>-3952832.4941999856</v>
      </c>
      <c r="J51" s="285">
        <f t="shared" si="1"/>
        <v>-0.41222161514166111</v>
      </c>
      <c r="K51" s="314">
        <f>SUM('2020'!G51:J51)</f>
        <v>5556004.4399999995</v>
      </c>
      <c r="L51" s="287">
        <f t="shared" si="7"/>
        <v>80258.710000000894</v>
      </c>
      <c r="M51" s="285">
        <f t="shared" si="2"/>
        <v>1.4445400623186222E-2</v>
      </c>
      <c r="N51" s="314">
        <f>'2021'!J51</f>
        <v>1380339.65</v>
      </c>
      <c r="O51" s="314">
        <f>'2021'!J125</f>
        <v>2665179.0145999948</v>
      </c>
      <c r="P51" s="281">
        <f>N51-O51</f>
        <v>-1284839.3645999948</v>
      </c>
      <c r="Q51" s="285">
        <f t="shared" si="3"/>
        <v>-0.48208370153058211</v>
      </c>
      <c r="R51" s="314">
        <f>'2020'!J51</f>
        <v>1039845.76</v>
      </c>
      <c r="S51" s="287">
        <f>+N51-R51</f>
        <v>340493.8899999999</v>
      </c>
      <c r="T51" s="285">
        <f t="shared" si="5"/>
        <v>0.32744653399365675</v>
      </c>
    </row>
    <row r="52" spans="1:23" ht="15.75" thickBot="1">
      <c r="A52" s="144">
        <v>1005</v>
      </c>
      <c r="B52" s="505" t="str">
        <f>+VLOOKUP($A52,Master!$D$29:$G$227,4,FALSE)</f>
        <v>Neto povećanje obaveza</v>
      </c>
      <c r="C52" s="506"/>
      <c r="D52" s="506"/>
      <c r="E52" s="506"/>
      <c r="F52" s="506"/>
      <c r="G52" s="163">
        <f>'2021'!S52</f>
        <v>0</v>
      </c>
      <c r="H52" s="163">
        <f>'2021'!S126</f>
        <v>0</v>
      </c>
      <c r="I52" s="281">
        <f>G52-H52</f>
        <v>0</v>
      </c>
      <c r="J52" s="285" t="str">
        <f t="shared" si="1"/>
        <v>...</v>
      </c>
      <c r="K52" s="163">
        <f>SUM('2020'!G52:J52)</f>
        <v>0</v>
      </c>
      <c r="L52" s="287">
        <f t="shared" si="7"/>
        <v>0</v>
      </c>
      <c r="M52" s="285" t="str">
        <f t="shared" si="2"/>
        <v>...</v>
      </c>
      <c r="N52" s="163">
        <f>'2021'!J52</f>
        <v>0</v>
      </c>
      <c r="O52" s="163">
        <f>'2021'!J126</f>
        <v>0</v>
      </c>
      <c r="P52" s="281">
        <f>N52-O52</f>
        <v>0</v>
      </c>
      <c r="Q52" s="285" t="str">
        <f t="shared" si="3"/>
        <v>...</v>
      </c>
      <c r="R52" s="163">
        <f>'2020'!J52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>'2021'!S53</f>
        <v>-142044569.99999997</v>
      </c>
      <c r="H53" s="151">
        <f>'2021'!S127</f>
        <v>-205878828.32442832</v>
      </c>
      <c r="I53" s="321">
        <f>+G53-H53</f>
        <v>63834258.32442835</v>
      </c>
      <c r="J53" s="286">
        <f t="shared" si="1"/>
        <v>-0.31005741991030245</v>
      </c>
      <c r="K53" s="151">
        <f>SUM('2020'!G53:J53)</f>
        <v>-122629501.56600001</v>
      </c>
      <c r="L53" s="288">
        <f t="shared" si="7"/>
        <v>-19415068.433999956</v>
      </c>
      <c r="M53" s="286">
        <f t="shared" si="2"/>
        <v>0.1583229825292134</v>
      </c>
      <c r="N53" s="151">
        <f>'2021'!J53</f>
        <v>-38625278.469999969</v>
      </c>
      <c r="O53" s="151">
        <f>'2021'!J127</f>
        <v>-8960368.1709368229</v>
      </c>
      <c r="P53" s="321">
        <f>N53-O53</f>
        <v>-29664910.299063146</v>
      </c>
      <c r="Q53" s="286" t="str">
        <f t="shared" si="3"/>
        <v>...</v>
      </c>
      <c r="R53" s="151">
        <f>'2020'!J53</f>
        <v>-45463515.453999996</v>
      </c>
      <c r="S53" s="288">
        <f t="shared" si="4"/>
        <v>6838236.9840000272</v>
      </c>
      <c r="T53" s="286">
        <f t="shared" si="5"/>
        <v>-0.15041153143819153</v>
      </c>
    </row>
    <row r="54" spans="1:23" ht="15.7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151">
        <f>'2021'!S54</f>
        <v>-94946400.019999951</v>
      </c>
      <c r="H54" s="151">
        <f>'2021'!S128</f>
        <v>-158725151.54092833</v>
      </c>
      <c r="I54" s="206">
        <f t="shared" si="0"/>
        <v>63778751.520928383</v>
      </c>
      <c r="J54" s="208">
        <f t="shared" si="1"/>
        <v>-0.40181881007360454</v>
      </c>
      <c r="K54" s="151">
        <f>SUM('2020'!G54:J54)</f>
        <v>-63031755.286000021</v>
      </c>
      <c r="L54" s="206">
        <f t="shared" si="7"/>
        <v>-31914644.73399993</v>
      </c>
      <c r="M54" s="208">
        <f t="shared" si="2"/>
        <v>0.50632644750555578</v>
      </c>
      <c r="N54" s="151">
        <f>'2021'!J54</f>
        <v>-15856766.509999968</v>
      </c>
      <c r="O54" s="151">
        <f>'2021'!J128</f>
        <v>13527529.667463187</v>
      </c>
      <c r="P54" s="206">
        <f t="shared" si="6"/>
        <v>-29384296.177463155</v>
      </c>
      <c r="Q54" s="208">
        <f t="shared" si="3"/>
        <v>-2.1721849369245243</v>
      </c>
      <c r="R54" s="151">
        <f>'2020'!J54</f>
        <v>-22836376.843999997</v>
      </c>
      <c r="S54" s="206">
        <f t="shared" si="4"/>
        <v>6979610.3340000287</v>
      </c>
      <c r="T54" s="208">
        <f t="shared" si="5"/>
        <v>-0.30563562607497619</v>
      </c>
    </row>
    <row r="55" spans="1:23">
      <c r="A55" s="144">
        <v>46</v>
      </c>
      <c r="B55" s="515" t="str">
        <f>+VLOOKUP($A55,Master!$D$29:$G$225,4,FALSE)</f>
        <v>Otplata dugova</v>
      </c>
      <c r="C55" s="516"/>
      <c r="D55" s="516"/>
      <c r="E55" s="516"/>
      <c r="F55" s="516"/>
      <c r="G55" s="157">
        <f>'2021'!S55</f>
        <v>319223024.67000002</v>
      </c>
      <c r="H55" s="157">
        <f>'2021'!S129</f>
        <v>333322098.86000001</v>
      </c>
      <c r="I55" s="194">
        <f t="shared" si="0"/>
        <v>-14099074.189999998</v>
      </c>
      <c r="J55" s="196">
        <f t="shared" si="1"/>
        <v>-4.2298648179105003E-2</v>
      </c>
      <c r="K55" s="157">
        <f>SUM('2020'!G55:J55)</f>
        <v>439165043.72999996</v>
      </c>
      <c r="L55" s="194">
        <f t="shared" si="7"/>
        <v>-119942019.05999994</v>
      </c>
      <c r="M55" s="196">
        <f t="shared" si="2"/>
        <v>-0.27311376616245597</v>
      </c>
      <c r="N55" s="157">
        <f>'2021'!J55</f>
        <v>32853463.259999998</v>
      </c>
      <c r="O55" s="157">
        <f>'2021'!J129</f>
        <v>32910718.859999999</v>
      </c>
      <c r="P55" s="194">
        <f t="shared" si="6"/>
        <v>-57255.60000000149</v>
      </c>
      <c r="Q55" s="196">
        <f t="shared" si="3"/>
        <v>-1.7397249887965982E-3</v>
      </c>
      <c r="R55" s="157">
        <f>'2020'!J55</f>
        <v>17213530.07</v>
      </c>
      <c r="S55" s="194">
        <f t="shared" si="4"/>
        <v>15639933.189999998</v>
      </c>
      <c r="T55" s="196">
        <f t="shared" si="5"/>
        <v>0.90858372027115508</v>
      </c>
    </row>
    <row r="56" spans="1:23">
      <c r="A56" s="144">
        <v>4611</v>
      </c>
      <c r="B56" s="503" t="str">
        <f>+VLOOKUP($A56,Master!$D$29:$G$225,4,FALSE)</f>
        <v>Otplata hartija od vrijednosti i kredita rezidentima</v>
      </c>
      <c r="C56" s="504"/>
      <c r="D56" s="504"/>
      <c r="E56" s="504"/>
      <c r="F56" s="504"/>
      <c r="G56" s="163">
        <f>'2021'!S56</f>
        <v>54995506.770000003</v>
      </c>
      <c r="H56" s="163">
        <f>'2021'!S130</f>
        <v>54995506.769999996</v>
      </c>
      <c r="I56" s="212">
        <f t="shared" si="0"/>
        <v>0</v>
      </c>
      <c r="J56" s="214">
        <f t="shared" si="1"/>
        <v>2.2204460492503131E-16</v>
      </c>
      <c r="K56" s="163">
        <f>SUM('2020'!G56:J56)</f>
        <v>81390012.609999999</v>
      </c>
      <c r="L56" s="212">
        <f t="shared" si="7"/>
        <v>-26394505.839999996</v>
      </c>
      <c r="M56" s="214">
        <f t="shared" si="2"/>
        <v>-0.3242966181425192</v>
      </c>
      <c r="N56" s="163">
        <f>'2021'!J56</f>
        <v>17161594.75</v>
      </c>
      <c r="O56" s="163">
        <f>'2021'!J130</f>
        <v>17161594.75</v>
      </c>
      <c r="P56" s="212">
        <f t="shared" si="6"/>
        <v>0</v>
      </c>
      <c r="Q56" s="214">
        <f t="shared" si="3"/>
        <v>0</v>
      </c>
      <c r="R56" s="163">
        <f>'2020'!J56</f>
        <v>1603895.49</v>
      </c>
      <c r="S56" s="212">
        <f t="shared" si="4"/>
        <v>15557699.26</v>
      </c>
      <c r="T56" s="214" t="str">
        <f t="shared" si="5"/>
        <v>...</v>
      </c>
    </row>
    <row r="57" spans="1:23">
      <c r="A57" s="144">
        <v>4612</v>
      </c>
      <c r="B57" s="487" t="str">
        <f>+VLOOKUP($A57,Master!$D$29:$G$225,4,FALSE)</f>
        <v>Otplata hartija od vrijednosti i kredita nerezidentima</v>
      </c>
      <c r="C57" s="488"/>
      <c r="D57" s="488"/>
      <c r="E57" s="488"/>
      <c r="F57" s="488"/>
      <c r="G57" s="163">
        <f>'2021'!S57</f>
        <v>264227517.89999998</v>
      </c>
      <c r="H57" s="163">
        <f>'2021'!S131</f>
        <v>278326592.08999997</v>
      </c>
      <c r="I57" s="212">
        <f t="shared" si="0"/>
        <v>-14099074.189999998</v>
      </c>
      <c r="J57" s="214">
        <f t="shared" si="1"/>
        <v>-5.0656583275524358E-2</v>
      </c>
      <c r="K57" s="163">
        <f>SUM('2020'!G57:J57)</f>
        <v>357775031.12</v>
      </c>
      <c r="L57" s="212">
        <f t="shared" si="7"/>
        <v>-93547513.220000029</v>
      </c>
      <c r="M57" s="214">
        <f t="shared" si="2"/>
        <v>-0.26147021195736719</v>
      </c>
      <c r="N57" s="163">
        <f>'2021'!J57</f>
        <v>15691868.51</v>
      </c>
      <c r="O57" s="163">
        <f>'2021'!J131</f>
        <v>15749124.109999999</v>
      </c>
      <c r="P57" s="212">
        <f t="shared" si="6"/>
        <v>-57255.599999999627</v>
      </c>
      <c r="Q57" s="214">
        <f t="shared" si="3"/>
        <v>-3.6354783669299007E-3</v>
      </c>
      <c r="R57" s="163">
        <f>'2020'!J57</f>
        <v>15609634.58</v>
      </c>
      <c r="S57" s="212">
        <f t="shared" si="4"/>
        <v>82233.929999999702</v>
      </c>
      <c r="T57" s="214">
        <f t="shared" si="5"/>
        <v>5.2681521517077279E-3</v>
      </c>
    </row>
    <row r="58" spans="1:23" ht="15.75" thickBot="1">
      <c r="A58" s="144">
        <v>4418</v>
      </c>
      <c r="B58" s="515" t="str">
        <f>+VLOOKUP($A58,Master!$D$29:$G$225,4,FALSE)</f>
        <v>Izdaci za kupovinu hartija od vrijednosti</v>
      </c>
      <c r="C58" s="516"/>
      <c r="D58" s="516"/>
      <c r="E58" s="516"/>
      <c r="F58" s="516"/>
      <c r="G58" s="336">
        <f>'2021'!S58</f>
        <v>0</v>
      </c>
      <c r="H58" s="336">
        <f>'2021'!S132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SUM('2020'!G58:J58)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'2021'!J58</f>
        <v>0</v>
      </c>
      <c r="O58" s="336">
        <f>'2021'!J132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'2020'!J58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07" t="str">
        <f>+VLOOKUP($A59,Master!$D$29:$G$225,4,FALSE)</f>
        <v>Nedostajuća sredstva</v>
      </c>
      <c r="C59" s="508"/>
      <c r="D59" s="508"/>
      <c r="E59" s="508"/>
      <c r="F59" s="508"/>
      <c r="G59" s="320">
        <f>'2021'!S59</f>
        <v>-461267594.67000002</v>
      </c>
      <c r="H59" s="320">
        <f>'2021'!S133</f>
        <v>-539737711.18442833</v>
      </c>
      <c r="I59" s="322">
        <f t="shared" si="9"/>
        <v>78470116.514428318</v>
      </c>
      <c r="J59" s="323">
        <f t="shared" si="1"/>
        <v>-0.14538564730307513</v>
      </c>
      <c r="K59" s="320">
        <f>SUM('2020'!G59:J59)</f>
        <v>-561794545.296</v>
      </c>
      <c r="L59" s="322">
        <f t="shared" si="10"/>
        <v>100526950.62599999</v>
      </c>
      <c r="M59" s="323">
        <f t="shared" si="2"/>
        <v>-0.17893899374376099</v>
      </c>
      <c r="N59" s="320">
        <f>'2021'!J59</f>
        <v>-71478741.729999959</v>
      </c>
      <c r="O59" s="320">
        <f>'2021'!J133</f>
        <v>-41871087.030936822</v>
      </c>
      <c r="P59" s="322">
        <f t="shared" si="11"/>
        <v>-29607654.699063137</v>
      </c>
      <c r="Q59" s="323">
        <f t="shared" si="3"/>
        <v>0.70711454606342694</v>
      </c>
      <c r="R59" s="320">
        <f>'2020'!J59</f>
        <v>-62677045.523999996</v>
      </c>
      <c r="S59" s="322">
        <f t="shared" si="12"/>
        <v>-8801696.205999963</v>
      </c>
      <c r="T59" s="323">
        <f t="shared" si="5"/>
        <v>0.14042934111547511</v>
      </c>
    </row>
    <row r="60" spans="1:23" ht="15.75" thickBot="1">
      <c r="A60" s="144">
        <v>1003</v>
      </c>
      <c r="B60" s="509" t="str">
        <f>+VLOOKUP($A60,Master!$D$29:$G$225,4,FALSE)</f>
        <v>Finansiranje</v>
      </c>
      <c r="C60" s="510"/>
      <c r="D60" s="510"/>
      <c r="E60" s="510"/>
      <c r="F60" s="510"/>
      <c r="G60" s="151">
        <f>'2021'!S60</f>
        <v>461267594.67000002</v>
      </c>
      <c r="H60" s="151">
        <f>'2021'!S134</f>
        <v>539737711.18442833</v>
      </c>
      <c r="I60" s="321">
        <f t="shared" si="9"/>
        <v>-78470116.514428318</v>
      </c>
      <c r="J60" s="324">
        <f t="shared" si="1"/>
        <v>-0.14538564730307513</v>
      </c>
      <c r="K60" s="151">
        <f>SUM('2020'!G60:J60)</f>
        <v>561794545.296</v>
      </c>
      <c r="L60" s="321">
        <f t="shared" si="10"/>
        <v>-100526950.62599999</v>
      </c>
      <c r="M60" s="324">
        <f t="shared" si="2"/>
        <v>-0.17893899374376099</v>
      </c>
      <c r="N60" s="151">
        <f>'2021'!J60</f>
        <v>71478741.729999959</v>
      </c>
      <c r="O60" s="151">
        <f>'2021'!J134</f>
        <v>41871087.030936822</v>
      </c>
      <c r="P60" s="321">
        <f t="shared" si="11"/>
        <v>29607654.699063137</v>
      </c>
      <c r="Q60" s="324">
        <f t="shared" si="3"/>
        <v>0.70711454606342694</v>
      </c>
      <c r="R60" s="151">
        <f>'2020'!J60</f>
        <v>62677045.523999989</v>
      </c>
      <c r="S60" s="321">
        <f t="shared" si="12"/>
        <v>8801696.2059999704</v>
      </c>
      <c r="T60" s="324">
        <f t="shared" si="5"/>
        <v>0.14042934111547534</v>
      </c>
    </row>
    <row r="61" spans="1:23">
      <c r="A61" s="144">
        <v>7511</v>
      </c>
      <c r="B61" s="503" t="str">
        <f>+VLOOKUP($A61,Master!$D$29:$G$225,4,FALSE)</f>
        <v>Pozajmice i krediti od domaćih izvora</v>
      </c>
      <c r="C61" s="504"/>
      <c r="D61" s="504"/>
      <c r="E61" s="504"/>
      <c r="F61" s="504"/>
      <c r="G61" s="484">
        <f>'2021'!S61</f>
        <v>0</v>
      </c>
      <c r="H61" s="163">
        <f>'2021'!S135</f>
        <v>0</v>
      </c>
      <c r="I61" s="212">
        <f t="shared" si="9"/>
        <v>0</v>
      </c>
      <c r="J61" s="214" t="str">
        <f t="shared" si="1"/>
        <v>...</v>
      </c>
      <c r="K61" s="163">
        <f>SUM('2020'!G61:J61)</f>
        <v>57832059.129999995</v>
      </c>
      <c r="L61" s="212">
        <f t="shared" si="10"/>
        <v>-57832059.129999995</v>
      </c>
      <c r="M61" s="214">
        <f t="shared" si="2"/>
        <v>-1</v>
      </c>
      <c r="N61" s="163">
        <f>'2021'!J61</f>
        <v>0</v>
      </c>
      <c r="O61" s="163">
        <f>'2021'!J135</f>
        <v>0</v>
      </c>
      <c r="P61" s="212">
        <f t="shared" si="11"/>
        <v>0</v>
      </c>
      <c r="Q61" s="214" t="str">
        <f t="shared" si="3"/>
        <v>...</v>
      </c>
      <c r="R61" s="163">
        <f>'2020'!J61</f>
        <v>19932059.129999999</v>
      </c>
      <c r="S61" s="212">
        <f t="shared" si="12"/>
        <v>-19932059.129999999</v>
      </c>
      <c r="T61" s="214">
        <f t="shared" si="5"/>
        <v>-1</v>
      </c>
    </row>
    <row r="62" spans="1:23">
      <c r="A62" s="144">
        <v>7512</v>
      </c>
      <c r="B62" s="487" t="str">
        <f>+VLOOKUP($A62,Master!$D$29:$G$225,4,FALSE)</f>
        <v>Pozajmice i krediti od inostranih izvora</v>
      </c>
      <c r="C62" s="488"/>
      <c r="D62" s="488"/>
      <c r="E62" s="488"/>
      <c r="F62" s="488"/>
      <c r="G62" s="163">
        <f>'2021'!S62</f>
        <v>21293619.23</v>
      </c>
      <c r="H62" s="163">
        <f>'2021'!S136</f>
        <v>17600000</v>
      </c>
      <c r="I62" s="212">
        <f t="shared" si="9"/>
        <v>3693619.2300000004</v>
      </c>
      <c r="J62" s="214">
        <f t="shared" si="1"/>
        <v>0.20986472897727282</v>
      </c>
      <c r="K62" s="163">
        <f>SUM('2020'!G62:J62)</f>
        <v>10155566.710000001</v>
      </c>
      <c r="L62" s="212">
        <f t="shared" si="10"/>
        <v>11138052.52</v>
      </c>
      <c r="M62" s="214">
        <f t="shared" si="2"/>
        <v>1.0967435730625019</v>
      </c>
      <c r="N62" s="163">
        <f>'2021'!J62</f>
        <v>10718316.23</v>
      </c>
      <c r="O62" s="163">
        <f>'2021'!J136</f>
        <v>10000000</v>
      </c>
      <c r="P62" s="212">
        <f t="shared" si="11"/>
        <v>718316.23000000045</v>
      </c>
      <c r="Q62" s="214">
        <f t="shared" si="3"/>
        <v>7.1831623000000011E-2</v>
      </c>
      <c r="R62" s="163">
        <f>'2020'!J62</f>
        <v>4493810.3600000003</v>
      </c>
      <c r="S62" s="212">
        <f t="shared" si="12"/>
        <v>6224505.8700000001</v>
      </c>
      <c r="T62" s="214">
        <f t="shared" si="5"/>
        <v>1.3851287373862391</v>
      </c>
    </row>
    <row r="63" spans="1:23">
      <c r="A63" s="144">
        <v>72</v>
      </c>
      <c r="B63" s="487" t="str">
        <f>+VLOOKUP($A63,Master!$D$29:$G$225,4,FALSE)</f>
        <v>Primici od prodaje imovine</v>
      </c>
      <c r="C63" s="488"/>
      <c r="D63" s="488"/>
      <c r="E63" s="488"/>
      <c r="F63" s="488"/>
      <c r="G63" s="163">
        <f>'2021'!S63</f>
        <v>155733.29999999999</v>
      </c>
      <c r="H63" s="163">
        <f>'2021'!S137</f>
        <v>202782.51</v>
      </c>
      <c r="I63" s="212">
        <f t="shared" si="9"/>
        <v>-47049.210000000021</v>
      </c>
      <c r="J63" s="214">
        <f t="shared" si="1"/>
        <v>-0.23201808676695057</v>
      </c>
      <c r="K63" s="163">
        <f>SUM('2020'!G63:J63)</f>
        <v>1302567.33</v>
      </c>
      <c r="L63" s="212">
        <f t="shared" si="10"/>
        <v>-1146834.03</v>
      </c>
      <c r="M63" s="214">
        <f t="shared" si="2"/>
        <v>-0.88044126670979839</v>
      </c>
      <c r="N63" s="163">
        <f>'2021'!J63</f>
        <v>39251.97</v>
      </c>
      <c r="O63" s="163">
        <f>'2021'!J137</f>
        <v>40000</v>
      </c>
      <c r="P63" s="212">
        <f t="shared" si="11"/>
        <v>-748.02999999999884</v>
      </c>
      <c r="Q63" s="214">
        <f t="shared" si="3"/>
        <v>-1.8700749999999933E-2</v>
      </c>
      <c r="R63" s="163">
        <f>'2020'!J63</f>
        <v>198578.39</v>
      </c>
      <c r="S63" s="212">
        <f t="shared" si="12"/>
        <v>-159326.42000000001</v>
      </c>
      <c r="T63" s="214">
        <f t="shared" si="5"/>
        <v>-0.80233513827964864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439818242.13999999</v>
      </c>
      <c r="H64" s="318">
        <f>'2021'!S138</f>
        <v>521934928.67442834</v>
      </c>
      <c r="I64" s="226">
        <f t="shared" si="9"/>
        <v>-82116686.534428358</v>
      </c>
      <c r="J64" s="228">
        <f t="shared" si="1"/>
        <v>-0.15733127258407908</v>
      </c>
      <c r="K64" s="318">
        <f>SUM('2020'!G64:J64)</f>
        <v>492504352.12599999</v>
      </c>
      <c r="L64" s="226">
        <f t="shared" si="10"/>
        <v>-52686109.986000001</v>
      </c>
      <c r="M64" s="228">
        <f t="shared" si="2"/>
        <v>-0.10697592774270759</v>
      </c>
      <c r="N64" s="318">
        <f>'2021'!J64</f>
        <v>60721173.529999956</v>
      </c>
      <c r="O64" s="318">
        <f>'2021'!J138</f>
        <v>31831087.030936822</v>
      </c>
      <c r="P64" s="226">
        <f t="shared" si="11"/>
        <v>28890086.499063134</v>
      </c>
      <c r="Q64" s="228">
        <f t="shared" si="3"/>
        <v>0.90760602900506315</v>
      </c>
      <c r="R64" s="318">
        <f>'2020'!J64</f>
        <v>38052597.643999994</v>
      </c>
      <c r="S64" s="226">
        <f t="shared" si="12"/>
        <v>22668575.885999963</v>
      </c>
      <c r="T64" s="228">
        <f t="shared" si="5"/>
        <v>0.59571691000113014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R8zRuZaWweOqsCAzVNGre6QkcrspEjiAhyXn8NlwrJIcnHuggT6e7bApxHaycSyoQCaWFCWndouXrWzBIHqtBg==" saltValue="os0Q3+NwcIFU04ieovrIw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8"/>
  <sheetViews>
    <sheetView zoomScaleNormal="100" workbookViewId="0">
      <pane ySplit="1" topLeftCell="A2" activePane="bottomLeft" state="frozen"/>
      <selection pane="bottomLeft" activeCell="H10" sqref="H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90" t="str">
        <f>+Master!G251</f>
        <v>Ostvarenje budžeta</v>
      </c>
      <c r="C7" s="490"/>
      <c r="D7" s="490"/>
      <c r="E7" s="490"/>
      <c r="F7" s="490"/>
      <c r="G7" s="498">
        <v>2021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tr">
        <f>+Master!G248</f>
        <v>BDP</v>
      </c>
      <c r="T7" s="236">
        <v>4636600000</v>
      </c>
    </row>
    <row r="8" spans="1:20" ht="16.5" customHeight="1">
      <c r="A8" s="144"/>
      <c r="B8" s="491"/>
      <c r="C8" s="492"/>
      <c r="D8" s="492"/>
      <c r="E8" s="492"/>
      <c r="F8" s="49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498" t="str">
        <f>+Master!G246</f>
        <v>Jan - Dec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31" t="str">
        <f>+VLOOKUP($A10,Master!$D$29:$G$225,4,FALSE)</f>
        <v>Prihodi budžeta</v>
      </c>
      <c r="C10" s="532"/>
      <c r="D10" s="532"/>
      <c r="E10" s="532"/>
      <c r="F10" s="532"/>
      <c r="G10" s="151">
        <f>+G11+G19+SUM(G24:G28)</f>
        <v>88645432.13000001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143397342.51000002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491822262.61000001</v>
      </c>
      <c r="T10" s="463">
        <f>+S10/$T$7*100</f>
        <v>10.607390385411724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321253401.16000003</v>
      </c>
      <c r="T11" s="464">
        <f t="shared" ref="T11:T64" si="3">+S11/$T$7*100</f>
        <v>6.9286417021093047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31997644.600000001</v>
      </c>
      <c r="T12" s="465">
        <f t="shared" si="3"/>
        <v>0.6901100936030713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48642282.089999996</v>
      </c>
      <c r="T13" s="465">
        <f t="shared" si="3"/>
        <v>1.0490937775525169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449543.81999999995</v>
      </c>
      <c r="T14" s="465">
        <f t="shared" si="3"/>
        <v>9.6955488935858165E-3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171805579.81</v>
      </c>
      <c r="T15" s="465">
        <f t="shared" si="3"/>
        <v>3.7054216410732006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57939694.609999999</v>
      </c>
      <c r="T16" s="465">
        <f t="shared" si="3"/>
        <v>1.2496159817538715</v>
      </c>
    </row>
    <row r="17" spans="1:23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7175474.5800000001</v>
      </c>
      <c r="T17" s="465">
        <f t="shared" si="3"/>
        <v>0.15475724841478672</v>
      </c>
    </row>
    <row r="18" spans="1:23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3243181.6500000004</v>
      </c>
      <c r="T18" s="465">
        <f t="shared" si="3"/>
        <v>6.9947410818272021E-2</v>
      </c>
    </row>
    <row r="19" spans="1:23">
      <c r="A19" s="150">
        <v>712</v>
      </c>
      <c r="B19" s="529" t="str">
        <f>+VLOOKUP($A19,Master!$D$29:$G$225,4,FALSE)</f>
        <v>Doprinosi</v>
      </c>
      <c r="C19" s="530"/>
      <c r="D19" s="530"/>
      <c r="E19" s="530"/>
      <c r="F19" s="53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143788136.77000001</v>
      </c>
      <c r="T19" s="466">
        <f t="shared" si="3"/>
        <v>3.1011546557822545</v>
      </c>
    </row>
    <row r="20" spans="1:23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88440862.120000005</v>
      </c>
      <c r="T20" s="465">
        <f t="shared" si="3"/>
        <v>1.9074507639218394</v>
      </c>
    </row>
    <row r="21" spans="1:23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47576082.960000001</v>
      </c>
      <c r="T21" s="465">
        <f t="shared" si="3"/>
        <v>1.0260984980373551</v>
      </c>
    </row>
    <row r="22" spans="1:23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4307119.62</v>
      </c>
      <c r="T22" s="465">
        <f t="shared" si="3"/>
        <v>9.2893922701979909E-2</v>
      </c>
    </row>
    <row r="23" spans="1:23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3464072.0700000003</v>
      </c>
      <c r="T23" s="465">
        <f t="shared" si="3"/>
        <v>7.4711471121080106E-2</v>
      </c>
      <c r="W23" s="305"/>
    </row>
    <row r="24" spans="1:23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2871308.4700000007</v>
      </c>
      <c r="T24" s="466">
        <f t="shared" si="3"/>
        <v>6.1927025622223193E-2</v>
      </c>
      <c r="W24" s="305"/>
    </row>
    <row r="25" spans="1:23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11165523.75</v>
      </c>
      <c r="T25" s="466">
        <f t="shared" si="3"/>
        <v>0.24081274533063021</v>
      </c>
    </row>
    <row r="26" spans="1:23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v>1525774.85</v>
      </c>
      <c r="H26" s="175">
        <v>1791757.35</v>
      </c>
      <c r="I26" s="175">
        <v>1695243.19</v>
      </c>
      <c r="J26" s="175">
        <v>1359110.1400000001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6371885.5300000012</v>
      </c>
      <c r="T26" s="466">
        <f t="shared" si="3"/>
        <v>0.1374258191347108</v>
      </c>
    </row>
    <row r="27" spans="1:23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v>110781.34</v>
      </c>
      <c r="H27" s="175">
        <v>820681.81</v>
      </c>
      <c r="I27" s="175">
        <v>648742.61</v>
      </c>
      <c r="J27" s="175">
        <v>178904.78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1759110.54</v>
      </c>
      <c r="T27" s="466">
        <f t="shared" si="3"/>
        <v>3.7939665703317089E-2</v>
      </c>
    </row>
    <row r="28" spans="1:23" ht="13.5" thickBot="1">
      <c r="A28" s="150">
        <v>74</v>
      </c>
      <c r="B28" s="523" t="str">
        <f>+VLOOKUP($A28,Master!$D$29:$G$225,4,FALSE)</f>
        <v>Donacije i transferi</v>
      </c>
      <c r="C28" s="524"/>
      <c r="D28" s="524"/>
      <c r="E28" s="524"/>
      <c r="F28" s="524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4612896.3900000006</v>
      </c>
      <c r="T28" s="467">
        <f t="shared" si="3"/>
        <v>9.9488771729284414E-2</v>
      </c>
    </row>
    <row r="29" spans="1:23" ht="13.5" thickBot="1">
      <c r="A29" s="150">
        <v>4</v>
      </c>
      <c r="B29" s="509" t="str">
        <f>+VLOOKUP($A29,Master!$D$29:$G$225,4,FALSE)</f>
        <v>Izdaci budžeta</v>
      </c>
      <c r="C29" s="510"/>
      <c r="D29" s="510"/>
      <c r="E29" s="510"/>
      <c r="F29" s="510"/>
      <c r="G29" s="151">
        <f>+G30+G40+G46+SUM(G47:G51)</f>
        <v>127396828.25</v>
      </c>
      <c r="H29" s="151">
        <f t="shared" ref="H29:R29" si="6">+H30+H40+H46+SUM(H47:H51)</f>
        <v>159900252.53</v>
      </c>
      <c r="I29" s="151">
        <f t="shared" si="6"/>
        <v>164547130.84999999</v>
      </c>
      <c r="J29" s="151">
        <f t="shared" si="6"/>
        <v>182022620.97999999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633866832.61000001</v>
      </c>
      <c r="T29" s="468">
        <f t="shared" si="3"/>
        <v>13.670940616184273</v>
      </c>
    </row>
    <row r="30" spans="1:23">
      <c r="A30" s="150">
        <v>41</v>
      </c>
      <c r="B30" s="527" t="str">
        <f>+VLOOKUP($A30,Master!$D$29:$G$225,4,FALSE)</f>
        <v>Tekući izdaci</v>
      </c>
      <c r="C30" s="528"/>
      <c r="D30" s="528"/>
      <c r="E30" s="528"/>
      <c r="F30" s="528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74936551.299999997</v>
      </c>
      <c r="J30" s="187">
        <f t="shared" si="7"/>
        <v>90501387.170000002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279616445.75</v>
      </c>
      <c r="T30" s="464">
        <f t="shared" si="3"/>
        <v>6.0306355033861019</v>
      </c>
      <c r="U30" s="242"/>
    </row>
    <row r="31" spans="1:23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180681888.81</v>
      </c>
      <c r="T31" s="465">
        <f t="shared" si="3"/>
        <v>3.8968616833455552</v>
      </c>
    </row>
    <row r="32" spans="1:23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v>108603.95</v>
      </c>
      <c r="H32" s="163">
        <v>889477.21</v>
      </c>
      <c r="I32" s="163">
        <v>864572.5</v>
      </c>
      <c r="J32" s="163">
        <v>1093748.1599999999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2956401.82</v>
      </c>
      <c r="T32" s="465">
        <f t="shared" si="3"/>
        <v>6.3762278825001073E-2</v>
      </c>
      <c r="U32" s="458"/>
    </row>
    <row r="33" spans="1:21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7402399.96</v>
      </c>
      <c r="T33" s="465">
        <f t="shared" si="3"/>
        <v>0.15965146788595092</v>
      </c>
      <c r="U33" s="458"/>
    </row>
    <row r="34" spans="1:21" s="362" customFormat="1">
      <c r="A34" s="361">
        <v>414</v>
      </c>
      <c r="B34" s="588" t="str">
        <f>+VLOOKUP($A34,Master!$D$29:$G$225,4,FALSE)</f>
        <v>Rashodi za usluge</v>
      </c>
      <c r="C34" s="589"/>
      <c r="D34" s="589"/>
      <c r="E34" s="589"/>
      <c r="F34" s="589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13188036.49</v>
      </c>
      <c r="T34" s="465">
        <f t="shared" si="3"/>
        <v>0.28443334533925724</v>
      </c>
      <c r="U34" s="458"/>
    </row>
    <row r="35" spans="1:21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5229515.1500000004</v>
      </c>
      <c r="T35" s="465">
        <f t="shared" si="3"/>
        <v>0.11278771405771472</v>
      </c>
      <c r="U35" s="458"/>
    </row>
    <row r="36" spans="1:21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47098169.980000004</v>
      </c>
      <c r="T36" s="465">
        <f t="shared" si="3"/>
        <v>1.01579109649312</v>
      </c>
      <c r="U36" s="458"/>
    </row>
    <row r="37" spans="1:21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2598339.62</v>
      </c>
      <c r="T37" s="465">
        <f t="shared" si="3"/>
        <v>5.6039762325842207E-2</v>
      </c>
      <c r="U37" s="458"/>
    </row>
    <row r="38" spans="1:21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11211087.18</v>
      </c>
      <c r="T38" s="465">
        <f t="shared" si="3"/>
        <v>0.24179543587973945</v>
      </c>
      <c r="U38" s="458"/>
    </row>
    <row r="39" spans="1:21" s="362" customFormat="1">
      <c r="A39" s="361">
        <v>419</v>
      </c>
      <c r="B39" s="588" t="str">
        <f>+VLOOKUP($A39,Master!$D$29:$G$225,4,FALSE)</f>
        <v>Ostali izdaci</v>
      </c>
      <c r="C39" s="589"/>
      <c r="D39" s="589"/>
      <c r="E39" s="589"/>
      <c r="F39" s="589"/>
      <c r="G39" s="163">
        <v>792964.83</v>
      </c>
      <c r="H39" s="163">
        <v>2319889.5099999998</v>
      </c>
      <c r="I39" s="163">
        <v>3429558.98</v>
      </c>
      <c r="J39" s="163">
        <v>2708193.42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9250606.7400000002</v>
      </c>
      <c r="T39" s="465">
        <f t="shared" si="3"/>
        <v>0.19951271923392142</v>
      </c>
      <c r="U39" s="458"/>
    </row>
    <row r="40" spans="1:21">
      <c r="A40" s="150">
        <v>42</v>
      </c>
      <c r="B40" s="515" t="str">
        <f>+VLOOKUP($A40,Master!$D$29:$G$225,4,FALSE)</f>
        <v>Transferi za socijalnu zaštitu</v>
      </c>
      <c r="C40" s="516"/>
      <c r="D40" s="516"/>
      <c r="E40" s="516"/>
      <c r="F40" s="51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75">
        <f t="shared" si="8"/>
        <v>47454391.899999991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243">
        <f t="shared" si="4"/>
        <v>184678602.47999996</v>
      </c>
      <c r="T40" s="466">
        <f t="shared" si="3"/>
        <v>3.9830609170512865</v>
      </c>
      <c r="U40" s="242"/>
    </row>
    <row r="41" spans="1:21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26556579.059999999</v>
      </c>
      <c r="T41" s="465">
        <f t="shared" si="3"/>
        <v>0.57275976060043998</v>
      </c>
      <c r="U41" s="458"/>
    </row>
    <row r="42" spans="1:21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5282918.5399999991</v>
      </c>
      <c r="T42" s="465">
        <f t="shared" si="3"/>
        <v>0.11393949316309362</v>
      </c>
      <c r="U42" s="458"/>
    </row>
    <row r="43" spans="1:21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144585096.34</v>
      </c>
      <c r="T43" s="465">
        <f t="shared" si="3"/>
        <v>3.1183431035672693</v>
      </c>
      <c r="U43" s="458"/>
    </row>
    <row r="44" spans="1:21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5161828.5</v>
      </c>
      <c r="T44" s="465">
        <f t="shared" si="3"/>
        <v>0.11132788034335504</v>
      </c>
      <c r="U44" s="458"/>
    </row>
    <row r="45" spans="1:21" s="362" customFormat="1">
      <c r="A45" s="361">
        <v>425</v>
      </c>
      <c r="B45" s="584" t="str">
        <f>+VLOOKUP($A45,Master!$D$29:$G$225,4,FALSE)</f>
        <v>Ostala prava iz zdravstvenog osiguranja</v>
      </c>
      <c r="C45" s="585"/>
      <c r="D45" s="585"/>
      <c r="E45" s="585"/>
      <c r="F45" s="585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3092180.04</v>
      </c>
      <c r="T45" s="465">
        <f t="shared" si="3"/>
        <v>6.6690679377129788E-2</v>
      </c>
      <c r="U45" s="458"/>
    </row>
    <row r="46" spans="1:21">
      <c r="A46" s="150">
        <v>43</v>
      </c>
      <c r="B46" s="517" t="str">
        <f>+VLOOKUP($A46,Master!$D$29:$G$225,4,FALSE)</f>
        <v xml:space="preserve">Transferi institucijama, pojedincima, nevladinom i javnom sektoru </v>
      </c>
      <c r="C46" s="518"/>
      <c r="D46" s="518"/>
      <c r="E46" s="518"/>
      <c r="F46" s="518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74774168.549999997</v>
      </c>
      <c r="T46" s="466">
        <f t="shared" si="3"/>
        <v>1.6126939686408142</v>
      </c>
      <c r="U46" s="482"/>
    </row>
    <row r="47" spans="1:21">
      <c r="A47" s="150">
        <v>44</v>
      </c>
      <c r="B47" s="517" t="str">
        <f>+VLOOKUP($A47,Master!$D$29:$G$225,4,FALSE)</f>
        <v>Kapitalni izdaci</v>
      </c>
      <c r="C47" s="518"/>
      <c r="D47" s="518"/>
      <c r="E47" s="518"/>
      <c r="F47" s="518"/>
      <c r="G47" s="175">
        <v>11603510.130000001</v>
      </c>
      <c r="H47" s="175">
        <v>7242535.6100000003</v>
      </c>
      <c r="I47" s="175">
        <v>8279888.46</v>
      </c>
      <c r="J47" s="175">
        <v>14713319.380000001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41839253.580000006</v>
      </c>
      <c r="T47" s="466">
        <f t="shared" si="3"/>
        <v>0.90236927015485502</v>
      </c>
      <c r="U47" s="482"/>
    </row>
    <row r="48" spans="1:21">
      <c r="A48" s="150">
        <v>451</v>
      </c>
      <c r="B48" s="586" t="str">
        <f>+VLOOKUP($A48,Master!$D$29:$G$225,4,FALSE)</f>
        <v>Pozajmice i krediti</v>
      </c>
      <c r="C48" s="587"/>
      <c r="D48" s="587"/>
      <c r="E48" s="587"/>
      <c r="F48" s="587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552118</v>
      </c>
      <c r="T48" s="465">
        <f t="shared" si="3"/>
        <v>1.1907820385627399E-2</v>
      </c>
      <c r="U48" s="482"/>
    </row>
    <row r="49" spans="1:21" s="362" customFormat="1">
      <c r="A49" s="361">
        <v>47</v>
      </c>
      <c r="B49" s="578" t="str">
        <f>+VLOOKUP($A49,Master!$D$29:$G$225,4,FALSE)</f>
        <v>Rezerve</v>
      </c>
      <c r="C49" s="579"/>
      <c r="D49" s="579"/>
      <c r="E49" s="579"/>
      <c r="F49" s="579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42938484.699999996</v>
      </c>
      <c r="T49" s="465">
        <f t="shared" si="3"/>
        <v>0.92607696803692352</v>
      </c>
      <c r="U49" s="482"/>
    </row>
    <row r="50" spans="1:21" ht="13.5" thickBot="1">
      <c r="A50" s="150">
        <v>462</v>
      </c>
      <c r="B50" s="505" t="str">
        <f>+VLOOKUP($A50,Master!$D$29:$G$225,4,FALSE)</f>
        <v>Otplata garancija</v>
      </c>
      <c r="C50" s="506"/>
      <c r="D50" s="506"/>
      <c r="E50" s="506"/>
      <c r="F50" s="50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3831496.4</v>
      </c>
      <c r="T50" s="465">
        <f t="shared" si="3"/>
        <v>8.2635905620497774E-2</v>
      </c>
      <c r="U50" s="482"/>
    </row>
    <row r="51" spans="1:21" ht="13.5" thickBot="1">
      <c r="A51" s="144">
        <v>4630</v>
      </c>
      <c r="B51" s="580" t="str">
        <f>+VLOOKUP($A51,Master!$D$29:$G$225,4,TRUE)</f>
        <v>Otplata obaveza iz prethodnog perioda</v>
      </c>
      <c r="C51" s="581"/>
      <c r="D51" s="581"/>
      <c r="E51" s="581"/>
      <c r="F51" s="581"/>
      <c r="G51" s="459">
        <v>1018944.7</v>
      </c>
      <c r="H51" s="459">
        <v>1642283.23</v>
      </c>
      <c r="I51" s="459">
        <v>1594695.57</v>
      </c>
      <c r="J51" s="459">
        <v>1380339.65</v>
      </c>
      <c r="K51" s="459">
        <v>0</v>
      </c>
      <c r="L51" s="459">
        <v>0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5636263.1500000004</v>
      </c>
      <c r="T51" s="469">
        <f t="shared" si="3"/>
        <v>0.12156026290816548</v>
      </c>
      <c r="U51" s="482"/>
    </row>
    <row r="52" spans="1:21" ht="13.5" thickBot="1">
      <c r="A52" s="70">
        <v>1005</v>
      </c>
      <c r="B52" s="582" t="str">
        <f>+VLOOKUP($A52,Master!$D$29:$G$227,4,FALSE)</f>
        <v>Neto povećanje obaveza</v>
      </c>
      <c r="C52" s="583"/>
      <c r="D52" s="583"/>
      <c r="E52" s="583"/>
      <c r="F52" s="583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9">+G10-G29</f>
        <v>-38751396.11999999</v>
      </c>
      <c r="H53" s="151">
        <f t="shared" si="9"/>
        <v>-54298199.260000005</v>
      </c>
      <c r="I53" s="151">
        <f t="shared" si="9"/>
        <v>-10369696.150000006</v>
      </c>
      <c r="J53" s="151">
        <f t="shared" si="9"/>
        <v>-38625278.469999969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-142044569.99999997</v>
      </c>
      <c r="T53" s="471">
        <f t="shared" si="3"/>
        <v>-3.0635502307725484</v>
      </c>
    </row>
    <row r="54" spans="1:21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10">+G53+G36</f>
        <v>-31173911.04999999</v>
      </c>
      <c r="H54" s="205">
        <f t="shared" si="10"/>
        <v>-52334008.880000003</v>
      </c>
      <c r="I54" s="205">
        <f t="shared" si="10"/>
        <v>4418286.4199999943</v>
      </c>
      <c r="J54" s="205">
        <f t="shared" si="10"/>
        <v>-15856766.509999968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-94946400.019999951</v>
      </c>
      <c r="T54" s="471">
        <f t="shared" si="3"/>
        <v>-2.0477591342794277</v>
      </c>
    </row>
    <row r="55" spans="1:21">
      <c r="A55" s="144">
        <v>46</v>
      </c>
      <c r="B55" s="576" t="str">
        <f>+VLOOKUP($A55,Master!$D$29:$G$225,4,FALSE)</f>
        <v>Otplata dugova</v>
      </c>
      <c r="C55" s="577"/>
      <c r="D55" s="577"/>
      <c r="E55" s="577"/>
      <c r="F55" s="577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319223024.67000002</v>
      </c>
      <c r="T55" s="472">
        <f t="shared" si="3"/>
        <v>6.8848515004529185</v>
      </c>
    </row>
    <row r="56" spans="1:21">
      <c r="A56" s="144">
        <v>4611</v>
      </c>
      <c r="B56" s="503" t="str">
        <f>+VLOOKUP($A56,Master!$D$29:$G$225,4,FALSE)</f>
        <v>Otplata hartija od vrijednosti i kredita rezidentima</v>
      </c>
      <c r="C56" s="504"/>
      <c r="D56" s="504"/>
      <c r="E56" s="504"/>
      <c r="F56" s="504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54995506.770000003</v>
      </c>
      <c r="T56" s="473">
        <f t="shared" si="3"/>
        <v>1.1861171282836562</v>
      </c>
    </row>
    <row r="57" spans="1:21" ht="13.5" thickBot="1">
      <c r="A57" s="144">
        <v>4612</v>
      </c>
      <c r="B57" s="487" t="str">
        <f>+VLOOKUP($A57,Master!$D$29:$G$225,4,FALSE)</f>
        <v>Otplata hartija od vrijednosti i kredita nerezidentima</v>
      </c>
      <c r="C57" s="488"/>
      <c r="D57" s="488"/>
      <c r="E57" s="488"/>
      <c r="F57" s="488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264227517.89999998</v>
      </c>
      <c r="T57" s="473">
        <f t="shared" si="3"/>
        <v>5.6987343721692607</v>
      </c>
    </row>
    <row r="58" spans="1:21" ht="13.5" thickBot="1">
      <c r="A58" s="144">
        <v>4418</v>
      </c>
      <c r="B58" s="525" t="str">
        <f>+VLOOKUP($A58,Master!$D$29:$G$225,4,FALSE)</f>
        <v>Izdaci za kupovinu hartija od vrijednosti</v>
      </c>
      <c r="C58" s="526"/>
      <c r="D58" s="526"/>
      <c r="E58" s="526"/>
      <c r="F58" s="526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07" t="str">
        <f>+VLOOKUP($A59,Master!$D$29:$G$225,4,FALSE)</f>
        <v>Nedostajuća sredstva</v>
      </c>
      <c r="C59" s="508"/>
      <c r="D59" s="508"/>
      <c r="E59" s="508"/>
      <c r="F59" s="508"/>
      <c r="G59" s="217">
        <f>+G53-G55-G58</f>
        <v>-62082164.93999999</v>
      </c>
      <c r="H59" s="217">
        <f t="shared" ref="H59:R59" si="12">+H53-H55-H58</f>
        <v>-78553220.610000014</v>
      </c>
      <c r="I59" s="217">
        <f t="shared" si="12"/>
        <v>-249153467.39000002</v>
      </c>
      <c r="J59" s="217">
        <f t="shared" si="12"/>
        <v>-71478741.729999959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-461267594.67000002</v>
      </c>
      <c r="T59" s="475">
        <f t="shared" si="3"/>
        <v>-9.9484017312254682</v>
      </c>
    </row>
    <row r="60" spans="1:21" ht="13.5" thickBot="1">
      <c r="A60" s="144">
        <v>1003</v>
      </c>
      <c r="B60" s="509" t="str">
        <f>+VLOOKUP($A60,Master!$D$29:$G$225,4,FALSE)</f>
        <v>Finansiranje</v>
      </c>
      <c r="C60" s="510"/>
      <c r="D60" s="510"/>
      <c r="E60" s="510"/>
      <c r="F60" s="510"/>
      <c r="G60" s="151">
        <f>+SUM(G61:G64)</f>
        <v>62082164.93999999</v>
      </c>
      <c r="H60" s="151">
        <f t="shared" ref="H60:R60" si="13">+SUM(H61:H64)</f>
        <v>78553220.610000014</v>
      </c>
      <c r="I60" s="151">
        <f t="shared" si="13"/>
        <v>249153467.39000002</v>
      </c>
      <c r="J60" s="151">
        <f t="shared" si="13"/>
        <v>71478741.729999959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461267594.67000002</v>
      </c>
      <c r="T60" s="476">
        <f t="shared" si="3"/>
        <v>9.9484017312254682</v>
      </c>
    </row>
    <row r="61" spans="1:21">
      <c r="A61" s="144">
        <v>7511</v>
      </c>
      <c r="B61" s="503" t="str">
        <f>+VLOOKUP($A61,Master!$D$29:$G$225,4,FALSE)</f>
        <v>Pozajmice i krediti od domaćih izvora</v>
      </c>
      <c r="C61" s="504"/>
      <c r="D61" s="504"/>
      <c r="E61" s="504"/>
      <c r="F61" s="50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487" t="str">
        <f>+VLOOKUP($A62,Master!$D$29:$G$225,4,FALSE)</f>
        <v>Pozajmice i krediti od inostranih izvora</v>
      </c>
      <c r="C62" s="488"/>
      <c r="D62" s="488"/>
      <c r="E62" s="488"/>
      <c r="F62" s="488"/>
      <c r="G62" s="211">
        <v>7388647.9800000004</v>
      </c>
      <c r="H62" s="211">
        <v>2794027.91</v>
      </c>
      <c r="I62" s="211">
        <v>392627.11</v>
      </c>
      <c r="J62" s="211">
        <v>10718316.23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21293619.23</v>
      </c>
      <c r="T62" s="473">
        <f t="shared" si="3"/>
        <v>0.45925072747271706</v>
      </c>
    </row>
    <row r="63" spans="1:21">
      <c r="A63" s="144">
        <v>72</v>
      </c>
      <c r="B63" s="487" t="str">
        <f>+VLOOKUP($A63,Master!$D$29:$G$225,4,FALSE)</f>
        <v>Primici od prodaje imovine</v>
      </c>
      <c r="C63" s="488"/>
      <c r="D63" s="488"/>
      <c r="E63" s="488"/>
      <c r="F63" s="488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155733.29999999999</v>
      </c>
      <c r="T63" s="473">
        <f t="shared" si="3"/>
        <v>3.3587822973730752E-3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54658768.349999987</v>
      </c>
      <c r="H64" s="225">
        <f t="shared" ref="H64:R64" si="14">-H59-SUM(H61:H63)</f>
        <v>75729624.37000002</v>
      </c>
      <c r="I64" s="225">
        <f t="shared" si="14"/>
        <v>248708675.89000002</v>
      </c>
      <c r="J64" s="225">
        <f t="shared" si="14"/>
        <v>60721173.529999956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439818242.13999999</v>
      </c>
      <c r="T64" s="477">
        <f t="shared" si="3"/>
        <v>9.4857922214553767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65" t="str">
        <f>+Master!G252</f>
        <v>Plan ostvarenja budžeta</v>
      </c>
      <c r="C81" s="566"/>
      <c r="D81" s="566"/>
      <c r="E81" s="566"/>
      <c r="F81" s="566"/>
      <c r="G81" s="573">
        <v>2021</v>
      </c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5"/>
      <c r="S81" s="107" t="str">
        <f>+S7</f>
        <v>BDP</v>
      </c>
      <c r="T81" s="108">
        <v>4636600000</v>
      </c>
    </row>
    <row r="82" spans="1:21" ht="15.75" customHeight="1">
      <c r="B82" s="567"/>
      <c r="C82" s="568"/>
      <c r="D82" s="568"/>
      <c r="E82" s="568"/>
      <c r="F82" s="569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73" t="str">
        <f>+Master!G246</f>
        <v>Jan - Dec</v>
      </c>
      <c r="T82" s="575">
        <f>+T8</f>
        <v>0</v>
      </c>
    </row>
    <row r="83" spans="1:21" ht="13.5" thickBot="1">
      <c r="B83" s="570"/>
      <c r="C83" s="571"/>
      <c r="D83" s="571"/>
      <c r="E83" s="571"/>
      <c r="F83" s="57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61" t="str">
        <f>+VLOOKUP(LEFT($A84,LEN(A84)-1)*1,Master!$D$29:$G$225,4,FALSE)</f>
        <v>Prihodi budžeta</v>
      </c>
      <c r="C84" s="562"/>
      <c r="D84" s="562"/>
      <c r="E84" s="562"/>
      <c r="F84" s="562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0</v>
      </c>
      <c r="L84" s="93">
        <f t="shared" si="18"/>
        <v>0</v>
      </c>
      <c r="M84" s="93">
        <f t="shared" si="18"/>
        <v>0</v>
      </c>
      <c r="N84" s="93">
        <f t="shared" si="18"/>
        <v>0</v>
      </c>
      <c r="O84" s="93">
        <f t="shared" si="18"/>
        <v>0</v>
      </c>
      <c r="P84" s="93">
        <f t="shared" si="18"/>
        <v>0</v>
      </c>
      <c r="Q84" s="93">
        <f t="shared" si="18"/>
        <v>0</v>
      </c>
      <c r="R84" s="93">
        <f t="shared" si="18"/>
        <v>0</v>
      </c>
      <c r="S84" s="454">
        <f>+SUM(G84:R84)</f>
        <v>488306879.80237174</v>
      </c>
      <c r="T84" s="478">
        <f>+S84/$T$81*100</f>
        <v>10.531572268523741</v>
      </c>
    </row>
    <row r="85" spans="1:21">
      <c r="A85" s="116" t="str">
        <f t="shared" si="17"/>
        <v>711p</v>
      </c>
      <c r="B85" s="563" t="str">
        <f>+VLOOKUP(LEFT($A85,LEN(A85)-1)*1,Master!$D$29:$G$225,4,FALSE)</f>
        <v>Porezi</v>
      </c>
      <c r="C85" s="564"/>
      <c r="D85" s="564"/>
      <c r="E85" s="564"/>
      <c r="F85" s="564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0</v>
      </c>
      <c r="L85" s="79">
        <f t="shared" si="19"/>
        <v>0</v>
      </c>
      <c r="M85" s="79">
        <f t="shared" si="19"/>
        <v>0</v>
      </c>
      <c r="N85" s="79">
        <f t="shared" si="19"/>
        <v>0</v>
      </c>
      <c r="O85" s="79">
        <f t="shared" si="19"/>
        <v>0</v>
      </c>
      <c r="P85" s="79">
        <f t="shared" si="19"/>
        <v>0</v>
      </c>
      <c r="Q85" s="79">
        <f t="shared" si="19"/>
        <v>0</v>
      </c>
      <c r="R85" s="80">
        <f t="shared" si="19"/>
        <v>0</v>
      </c>
      <c r="S85" s="111">
        <f t="shared" ref="S85:S138" si="20">+SUM(G85:R85)</f>
        <v>305002949.73717892</v>
      </c>
      <c r="T85" s="464">
        <f t="shared" ref="T85:T138" si="21">+S85/$T$81*100</f>
        <v>6.5781596371733366</v>
      </c>
      <c r="U85" s="257"/>
    </row>
    <row r="86" spans="1:21">
      <c r="A86" s="116" t="str">
        <f t="shared" si="17"/>
        <v>7111p</v>
      </c>
      <c r="B86" s="551" t="str">
        <f>+VLOOKUP(LEFT($A86,LEN(A86)-1)*1,Master!$D$29:$G$228,4,FALSE)</f>
        <v>Porez na dohodak fizičkih lica</v>
      </c>
      <c r="C86" s="552"/>
      <c r="D86" s="552"/>
      <c r="E86" s="552"/>
      <c r="F86" s="552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12">
        <f t="shared" si="20"/>
        <v>33683624.612185195</v>
      </c>
      <c r="T86" s="465">
        <f t="shared" si="21"/>
        <v>0.72647251460521056</v>
      </c>
    </row>
    <row r="87" spans="1:21">
      <c r="A87" s="116" t="str">
        <f t="shared" si="17"/>
        <v>7112p</v>
      </c>
      <c r="B87" s="551" t="str">
        <f>+VLOOKUP(LEFT($A87,LEN(A87)-1)*1,Master!$D$29:$G$228,4,FALSE)</f>
        <v>Porez na dobit pravnih lica</v>
      </c>
      <c r="C87" s="552"/>
      <c r="D87" s="552"/>
      <c r="E87" s="552"/>
      <c r="F87" s="552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12">
        <f t="shared" si="20"/>
        <v>35255616.177433416</v>
      </c>
      <c r="T87" s="465">
        <f t="shared" si="21"/>
        <v>0.76037648659434531</v>
      </c>
    </row>
    <row r="88" spans="1:21">
      <c r="A88" s="116" t="str">
        <f t="shared" si="17"/>
        <v>7113p</v>
      </c>
      <c r="B88" s="551" t="str">
        <f>+VLOOKUP(LEFT($A88,LEN(A88)-1)*1,Master!$D$29:$G$228,4,FALSE)</f>
        <v>Porez na promet nepokretnosti</v>
      </c>
      <c r="C88" s="552"/>
      <c r="D88" s="552"/>
      <c r="E88" s="552"/>
      <c r="F88" s="552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0"/>
        <v>551487.46156231314</v>
      </c>
      <c r="T88" s="465">
        <f t="shared" si="21"/>
        <v>1.1894221230261681E-2</v>
      </c>
    </row>
    <row r="89" spans="1:21">
      <c r="A89" s="116" t="str">
        <f t="shared" si="17"/>
        <v>7114p</v>
      </c>
      <c r="B89" s="551" t="str">
        <f>+VLOOKUP(LEFT($A89,LEN(A89)-1)*1,Master!$D$29:$G$228,4,FALSE)</f>
        <v>Porez na dodatu vrijednost</v>
      </c>
      <c r="C89" s="552"/>
      <c r="D89" s="552"/>
      <c r="E89" s="552"/>
      <c r="F89" s="552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12">
        <f t="shared" si="20"/>
        <v>169550920.77432829</v>
      </c>
      <c r="T89" s="465">
        <f t="shared" si="21"/>
        <v>3.6567942193488396</v>
      </c>
    </row>
    <row r="90" spans="1:21">
      <c r="A90" s="116" t="str">
        <f t="shared" si="17"/>
        <v>7115p</v>
      </c>
      <c r="B90" s="551" t="str">
        <f>+VLOOKUP(LEFT($A90,LEN(A90)-1)*1,Master!$D$29:$G$228,4,FALSE)</f>
        <v>Akcize</v>
      </c>
      <c r="C90" s="552"/>
      <c r="D90" s="552"/>
      <c r="E90" s="552"/>
      <c r="F90" s="552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0"/>
        <v>55372299.433471315</v>
      </c>
      <c r="T90" s="465">
        <f t="shared" si="21"/>
        <v>1.1942436145768736</v>
      </c>
    </row>
    <row r="91" spans="1:21">
      <c r="A91" s="116" t="str">
        <f t="shared" si="17"/>
        <v>7116p</v>
      </c>
      <c r="B91" s="551" t="str">
        <f>+VLOOKUP(LEFT($A91,LEN(A91)-1)*1,Master!$D$29:$G$228,4,FALSE)</f>
        <v>Porez na međunarodnu trgovinu i transakcije</v>
      </c>
      <c r="C91" s="552"/>
      <c r="D91" s="552"/>
      <c r="E91" s="552"/>
      <c r="F91" s="552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12">
        <f t="shared" si="20"/>
        <v>7331531.1654932853</v>
      </c>
      <c r="T91" s="465">
        <f t="shared" si="21"/>
        <v>0.15812300318106556</v>
      </c>
    </row>
    <row r="92" spans="1:21">
      <c r="A92" s="116" t="str">
        <f t="shared" si="17"/>
        <v>7118p</v>
      </c>
      <c r="B92" s="551" t="str">
        <f>+VLOOKUP(LEFT($A92,LEN(A92)-1)*1,Master!$D$29:$G$228,4,FALSE)</f>
        <v>Ostali državni porezi</v>
      </c>
      <c r="C92" s="552"/>
      <c r="D92" s="552"/>
      <c r="E92" s="552"/>
      <c r="F92" s="552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12">
        <f t="shared" si="20"/>
        <v>3257470.1127051101</v>
      </c>
      <c r="T92" s="465">
        <f t="shared" si="21"/>
        <v>7.0255577636740507E-2</v>
      </c>
    </row>
    <row r="93" spans="1:21">
      <c r="A93" s="116" t="str">
        <f t="shared" si="17"/>
        <v>712p</v>
      </c>
      <c r="B93" s="559" t="str">
        <f>+VLOOKUP(LEFT($A93,LEN(A93)-1)*1,Master!$D$29:$G$228,4,FALSE)</f>
        <v>Doprinosi</v>
      </c>
      <c r="C93" s="560"/>
      <c r="D93" s="560"/>
      <c r="E93" s="560"/>
      <c r="F93" s="560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0</v>
      </c>
      <c r="L93" s="81">
        <f t="shared" si="22"/>
        <v>0</v>
      </c>
      <c r="M93" s="81">
        <f t="shared" si="22"/>
        <v>0</v>
      </c>
      <c r="N93" s="81">
        <f t="shared" si="22"/>
        <v>0</v>
      </c>
      <c r="O93" s="81">
        <f t="shared" si="22"/>
        <v>0</v>
      </c>
      <c r="P93" s="81">
        <f t="shared" si="22"/>
        <v>0</v>
      </c>
      <c r="Q93" s="81">
        <f t="shared" si="22"/>
        <v>0</v>
      </c>
      <c r="R93" s="82">
        <f t="shared" si="22"/>
        <v>0</v>
      </c>
      <c r="S93" s="113">
        <f t="shared" si="20"/>
        <v>151555782.92127171</v>
      </c>
      <c r="T93" s="466">
        <f t="shared" si="21"/>
        <v>3.268683581099765</v>
      </c>
    </row>
    <row r="94" spans="1:21">
      <c r="A94" s="116" t="str">
        <f t="shared" si="17"/>
        <v>7121p</v>
      </c>
      <c r="B94" s="551" t="str">
        <f>+VLOOKUP(LEFT($A94,LEN(A94)-1)*1,Master!$D$29:$G$228,4,FALSE)</f>
        <v>Doprinosi za penzijsko i invalidsko osiguranje</v>
      </c>
      <c r="C94" s="552"/>
      <c r="D94" s="552"/>
      <c r="E94" s="552"/>
      <c r="F94" s="552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12">
        <f t="shared" si="20"/>
        <v>92020888.314715877</v>
      </c>
      <c r="T94" s="465">
        <f t="shared" si="21"/>
        <v>1.9846630788663218</v>
      </c>
    </row>
    <row r="95" spans="1:21">
      <c r="A95" s="116" t="str">
        <f t="shared" si="17"/>
        <v>7122p</v>
      </c>
      <c r="B95" s="551" t="str">
        <f>+VLOOKUP(LEFT($A95,LEN(A95)-1)*1,Master!$D$29:$G$228,4,FALSE)</f>
        <v>Doprinosi za zdravstveno osiguranje</v>
      </c>
      <c r="C95" s="552"/>
      <c r="D95" s="552"/>
      <c r="E95" s="552"/>
      <c r="F95" s="552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12">
        <f t="shared" si="20"/>
        <v>50968513.329562128</v>
      </c>
      <c r="T95" s="465">
        <f t="shared" si="21"/>
        <v>1.0992648347832923</v>
      </c>
    </row>
    <row r="96" spans="1:21">
      <c r="A96" s="116" t="str">
        <f t="shared" si="17"/>
        <v>7123p</v>
      </c>
      <c r="B96" s="551" t="str">
        <f>+VLOOKUP(LEFT($A96,LEN(A96)-1)*1,Master!$D$29:$G$228,4,FALSE)</f>
        <v>Doprinosi za osiguranje od nezaposlenosti</v>
      </c>
      <c r="C96" s="552"/>
      <c r="D96" s="552"/>
      <c r="E96" s="552"/>
      <c r="F96" s="552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12">
        <f t="shared" si="20"/>
        <v>4528978.8718346935</v>
      </c>
      <c r="T96" s="465">
        <f t="shared" si="21"/>
        <v>9.7678878312442152E-2</v>
      </c>
    </row>
    <row r="97" spans="1:20">
      <c r="A97" s="116" t="str">
        <f t="shared" si="17"/>
        <v>7124p</v>
      </c>
      <c r="B97" s="551" t="str">
        <f>+VLOOKUP(LEFT($A97,LEN(A97)-1)*1,Master!$D$29:$G$228,4,FALSE)</f>
        <v>Ostali doprinosi</v>
      </c>
      <c r="C97" s="552"/>
      <c r="D97" s="552"/>
      <c r="E97" s="552"/>
      <c r="F97" s="552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12">
        <f t="shared" si="20"/>
        <v>4037402.4051590292</v>
      </c>
      <c r="T97" s="465">
        <f t="shared" si="21"/>
        <v>8.707678913770929E-2</v>
      </c>
    </row>
    <row r="98" spans="1:20">
      <c r="A98" s="116" t="str">
        <f t="shared" si="17"/>
        <v>713p</v>
      </c>
      <c r="B98" s="557" t="str">
        <f>+VLOOKUP(LEFT($A98,LEN(A98)-1)*1,Master!$D$29:$G$228,4,FALSE)</f>
        <v>Takse</v>
      </c>
      <c r="C98" s="558"/>
      <c r="D98" s="558"/>
      <c r="E98" s="558"/>
      <c r="F98" s="558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113">
        <f t="shared" si="20"/>
        <v>3596233.8790861866</v>
      </c>
      <c r="T98" s="466">
        <f t="shared" si="21"/>
        <v>7.7561874629818978E-2</v>
      </c>
    </row>
    <row r="99" spans="1:20">
      <c r="A99" s="116" t="str">
        <f t="shared" si="17"/>
        <v>714p</v>
      </c>
      <c r="B99" s="557" t="str">
        <f>+VLOOKUP(LEFT($A99,LEN(A99)-1)*1,Master!$D$29:$G$228,4,FALSE)</f>
        <v>Naknade</v>
      </c>
      <c r="C99" s="558"/>
      <c r="D99" s="558"/>
      <c r="E99" s="558"/>
      <c r="F99" s="558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113">
        <f t="shared" si="20"/>
        <v>9956417.3125786446</v>
      </c>
      <c r="T99" s="466">
        <f t="shared" si="21"/>
        <v>0.21473530847126437</v>
      </c>
    </row>
    <row r="100" spans="1:20">
      <c r="A100" s="116" t="str">
        <f t="shared" si="17"/>
        <v>715p</v>
      </c>
      <c r="B100" s="557" t="str">
        <f>+VLOOKUP(LEFT($A100,LEN(A100)-1)*1,Master!$D$29:$G$228,4,FALSE)</f>
        <v>Ostali prihodi</v>
      </c>
      <c r="C100" s="558"/>
      <c r="D100" s="558"/>
      <c r="E100" s="558"/>
      <c r="F100" s="558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113">
        <f t="shared" si="20"/>
        <v>7598946.9539259644</v>
      </c>
      <c r="T100" s="466">
        <f t="shared" si="21"/>
        <v>0.16389050066699659</v>
      </c>
    </row>
    <row r="101" spans="1:20">
      <c r="A101" s="116" t="str">
        <f t="shared" si="17"/>
        <v>73p</v>
      </c>
      <c r="B101" s="557" t="str">
        <f>+VLOOKUP(LEFT($A101,LEN(A101)-1)*1,Master!$D$29:$G$228,4,FALSE)</f>
        <v>Primici od otplate kredita i sredstva prenesena iz prethodne godine</v>
      </c>
      <c r="C101" s="558"/>
      <c r="D101" s="558"/>
      <c r="E101" s="558"/>
      <c r="F101" s="558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113">
        <f t="shared" si="20"/>
        <v>1098257.770399641</v>
      </c>
      <c r="T101" s="466">
        <f t="shared" si="21"/>
        <v>2.368670513737741E-2</v>
      </c>
    </row>
    <row r="102" spans="1:20" ht="13.5" thickBot="1">
      <c r="A102" s="116" t="str">
        <f t="shared" si="17"/>
        <v>74p</v>
      </c>
      <c r="B102" s="553" t="str">
        <f>+VLOOKUP(LEFT($A102,LEN(A102)-1)*1,Master!$D$29:$G$228,4,FALSE)</f>
        <v>Donacije i transferi</v>
      </c>
      <c r="C102" s="554"/>
      <c r="D102" s="554"/>
      <c r="E102" s="554"/>
      <c r="F102" s="554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114">
        <f t="shared" si="20"/>
        <v>9498291.2279306129</v>
      </c>
      <c r="T102" s="467">
        <f t="shared" si="21"/>
        <v>0.20485466134517993</v>
      </c>
    </row>
    <row r="103" spans="1:20" ht="13.5" thickBot="1">
      <c r="A103" s="116" t="str">
        <f t="shared" si="17"/>
        <v>4p</v>
      </c>
      <c r="B103" s="535" t="str">
        <f>+VLOOKUP(LEFT($A103,LEN(A103)-1)*1,Master!$D$29:$G$228,4,FALSE)</f>
        <v>Izdaci budžeta</v>
      </c>
      <c r="C103" s="536"/>
      <c r="D103" s="536"/>
      <c r="E103" s="536"/>
      <c r="F103" s="536"/>
      <c r="G103" s="93">
        <f t="shared" ref="G103:R103" si="23">+G104+G114+G120+SUM(G121:G125)</f>
        <v>187305793.07270002</v>
      </c>
      <c r="H103" s="93">
        <f t="shared" si="23"/>
        <v>171688751.44849998</v>
      </c>
      <c r="I103" s="93">
        <f t="shared" si="23"/>
        <v>170392955.61309999</v>
      </c>
      <c r="J103" s="93">
        <f t="shared" si="23"/>
        <v>164798207.99250004</v>
      </c>
      <c r="K103" s="93">
        <f t="shared" si="23"/>
        <v>0</v>
      </c>
      <c r="L103" s="93">
        <f t="shared" si="23"/>
        <v>0</v>
      </c>
      <c r="M103" s="93">
        <f t="shared" si="23"/>
        <v>0</v>
      </c>
      <c r="N103" s="93">
        <f t="shared" si="23"/>
        <v>0</v>
      </c>
      <c r="O103" s="93">
        <f t="shared" si="23"/>
        <v>0</v>
      </c>
      <c r="P103" s="93">
        <f t="shared" si="23"/>
        <v>0</v>
      </c>
      <c r="Q103" s="93">
        <f t="shared" si="23"/>
        <v>0</v>
      </c>
      <c r="R103" s="93">
        <f t="shared" si="23"/>
        <v>0</v>
      </c>
      <c r="S103" s="452">
        <f>+SUM(G103:R103)</f>
        <v>694185708.12680006</v>
      </c>
      <c r="T103" s="479">
        <f t="shared" si="21"/>
        <v>14.971869648595955</v>
      </c>
    </row>
    <row r="104" spans="1:20">
      <c r="A104" s="116" t="str">
        <f t="shared" si="17"/>
        <v>41p</v>
      </c>
      <c r="B104" s="555" t="str">
        <f>+VLOOKUP(LEFT($A104,LEN(A104)-1)*1,Master!$D$29:$G$228,4,FALSE)</f>
        <v>Tekući izdaci</v>
      </c>
      <c r="C104" s="556"/>
      <c r="D104" s="556"/>
      <c r="E104" s="556"/>
      <c r="F104" s="556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0</v>
      </c>
      <c r="L104" s="85">
        <f t="shared" si="24"/>
        <v>0</v>
      </c>
      <c r="M104" s="85">
        <f t="shared" si="24"/>
        <v>0</v>
      </c>
      <c r="N104" s="85">
        <f t="shared" si="24"/>
        <v>0</v>
      </c>
      <c r="O104" s="85">
        <f t="shared" si="24"/>
        <v>0</v>
      </c>
      <c r="P104" s="85">
        <f t="shared" si="24"/>
        <v>0</v>
      </c>
      <c r="Q104" s="85">
        <f t="shared" si="24"/>
        <v>0</v>
      </c>
      <c r="R104" s="86">
        <f t="shared" si="24"/>
        <v>0</v>
      </c>
      <c r="S104" s="111">
        <f t="shared" si="20"/>
        <v>305611607.15340006</v>
      </c>
      <c r="T104" s="464">
        <f t="shared" si="21"/>
        <v>6.5912868729974567</v>
      </c>
    </row>
    <row r="105" spans="1:20">
      <c r="A105" s="116" t="str">
        <f t="shared" si="17"/>
        <v>411p</v>
      </c>
      <c r="B105" s="551" t="str">
        <f>+VLOOKUP(LEFT($A105,LEN(A105)-1)*1,Master!$D$29:$G$228,4,FALSE)</f>
        <v>Bruto zarade i doprinosi na teret poslodavca</v>
      </c>
      <c r="C105" s="552"/>
      <c r="D105" s="552"/>
      <c r="E105" s="552"/>
      <c r="F105" s="552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12">
        <f t="shared" si="20"/>
        <v>179823463.34920001</v>
      </c>
      <c r="T105" s="465">
        <f t="shared" si="21"/>
        <v>3.8783475682439721</v>
      </c>
    </row>
    <row r="106" spans="1:20">
      <c r="A106" s="116" t="str">
        <f t="shared" si="17"/>
        <v>412p</v>
      </c>
      <c r="B106" s="551" t="str">
        <f>+VLOOKUP(LEFT($A106,LEN(A106)-1)*1,Master!$D$29:$G$228,4,FALSE)</f>
        <v>Ostala lična primanja</v>
      </c>
      <c r="C106" s="552"/>
      <c r="D106" s="552"/>
      <c r="E106" s="552"/>
      <c r="F106" s="552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12">
        <f t="shared" si="20"/>
        <v>4169457.7691999981</v>
      </c>
      <c r="T106" s="465">
        <f t="shared" si="21"/>
        <v>8.9924896889962427E-2</v>
      </c>
    </row>
    <row r="107" spans="1:20">
      <c r="A107" s="116" t="str">
        <f t="shared" si="17"/>
        <v>413p</v>
      </c>
      <c r="B107" s="551" t="str">
        <f>+VLOOKUP(LEFT($A107,LEN(A107)-1)*1,Master!$D$29:$G$228,4,FALSE)</f>
        <v>Rashodi za materijal</v>
      </c>
      <c r="C107" s="552"/>
      <c r="D107" s="552"/>
      <c r="E107" s="552"/>
      <c r="F107" s="552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12">
        <f t="shared" si="20"/>
        <v>10611604.708099997</v>
      </c>
      <c r="T107" s="465">
        <f t="shared" si="21"/>
        <v>0.22886608092352151</v>
      </c>
    </row>
    <row r="108" spans="1:20">
      <c r="A108" s="116" t="str">
        <f t="shared" si="17"/>
        <v>414p</v>
      </c>
      <c r="B108" s="551" t="str">
        <f>+VLOOKUP(LEFT($A108,LEN(A108)-1)*1,Master!$D$29:$G$228,4,FALSE)</f>
        <v>Rashodi za usluge</v>
      </c>
      <c r="C108" s="552"/>
      <c r="D108" s="552"/>
      <c r="E108" s="552"/>
      <c r="F108" s="552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12">
        <f t="shared" si="20"/>
        <v>24879725.0374</v>
      </c>
      <c r="T108" s="465">
        <f t="shared" si="21"/>
        <v>0.53659416463356768</v>
      </c>
    </row>
    <row r="109" spans="1:20">
      <c r="A109" s="116" t="str">
        <f t="shared" si="17"/>
        <v>415p</v>
      </c>
      <c r="B109" s="551" t="str">
        <f>+VLOOKUP(LEFT($A109,LEN(A109)-1)*1,Master!$D$29:$G$228,4,FALSE)</f>
        <v>Rashodi za tekuće održavanje</v>
      </c>
      <c r="C109" s="552"/>
      <c r="D109" s="552"/>
      <c r="E109" s="552"/>
      <c r="F109" s="552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12">
        <f t="shared" si="20"/>
        <v>6734928.8579000002</v>
      </c>
      <c r="T109" s="465">
        <f t="shared" si="21"/>
        <v>0.14525576624897554</v>
      </c>
    </row>
    <row r="110" spans="1:20">
      <c r="A110" s="116" t="str">
        <f t="shared" si="17"/>
        <v>416p</v>
      </c>
      <c r="B110" s="551" t="str">
        <f>+VLOOKUP(LEFT($A110,LEN(A110)-1)*1,Master!$D$29:$G$228,4,FALSE)</f>
        <v>Kamate</v>
      </c>
      <c r="C110" s="552"/>
      <c r="D110" s="552"/>
      <c r="E110" s="552"/>
      <c r="F110" s="552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12">
        <f t="shared" si="20"/>
        <v>47153676.783500016</v>
      </c>
      <c r="T110" s="465">
        <f t="shared" si="21"/>
        <v>1.0169882410279087</v>
      </c>
    </row>
    <row r="111" spans="1:20">
      <c r="A111" s="116" t="str">
        <f t="shared" si="17"/>
        <v>417p</v>
      </c>
      <c r="B111" s="551" t="str">
        <f>+VLOOKUP(LEFT($A111,LEN(A111)-1)*1,Master!$D$29:$G$228,4,FALSE)</f>
        <v>Renta</v>
      </c>
      <c r="C111" s="552"/>
      <c r="D111" s="552"/>
      <c r="E111" s="552"/>
      <c r="F111" s="552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12">
        <f t="shared" si="20"/>
        <v>2945142.8158999998</v>
      </c>
      <c r="T111" s="465">
        <f t="shared" si="21"/>
        <v>6.3519449939610922E-2</v>
      </c>
    </row>
    <row r="112" spans="1:20">
      <c r="A112" s="116" t="str">
        <f t="shared" si="17"/>
        <v>418p</v>
      </c>
      <c r="B112" s="551" t="str">
        <f>+VLOOKUP(LEFT($A112,LEN(A112)-1)*1,Master!$D$29:$G$228,4,FALSE)</f>
        <v>Subvencije</v>
      </c>
      <c r="C112" s="552"/>
      <c r="D112" s="552"/>
      <c r="E112" s="552"/>
      <c r="F112" s="552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12">
        <f t="shared" si="20"/>
        <v>15251109.621100001</v>
      </c>
      <c r="T112" s="465">
        <f t="shared" si="21"/>
        <v>0.32892873271578316</v>
      </c>
    </row>
    <row r="113" spans="1:20">
      <c r="A113" s="116" t="str">
        <f t="shared" si="17"/>
        <v>419p</v>
      </c>
      <c r="B113" s="551" t="str">
        <f>+VLOOKUP(LEFT($A113,LEN(A113)-1)*1,Master!$D$29:$G$228,4,FALSE)</f>
        <v>Ostali izdaci</v>
      </c>
      <c r="C113" s="552"/>
      <c r="D113" s="552"/>
      <c r="E113" s="552"/>
      <c r="F113" s="552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12">
        <f t="shared" si="20"/>
        <v>14042498.211099997</v>
      </c>
      <c r="T113" s="465">
        <f t="shared" si="21"/>
        <v>0.30286197237415341</v>
      </c>
    </row>
    <row r="114" spans="1:20">
      <c r="A114" s="116" t="str">
        <f t="shared" si="17"/>
        <v>42p</v>
      </c>
      <c r="B114" s="547" t="str">
        <f>+VLOOKUP(LEFT($A114,LEN(A114)-1)*1,Master!$D$29:$G$228,4,FALSE)</f>
        <v>Transferi za socijalnu zaštitu</v>
      </c>
      <c r="C114" s="548"/>
      <c r="D114" s="548"/>
      <c r="E114" s="548"/>
      <c r="F114" s="54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0</v>
      </c>
      <c r="L114" s="84">
        <f t="shared" si="25"/>
        <v>0</v>
      </c>
      <c r="M114" s="84">
        <f t="shared" si="25"/>
        <v>0</v>
      </c>
      <c r="N114" s="84">
        <f t="shared" si="25"/>
        <v>0</v>
      </c>
      <c r="O114" s="84">
        <f t="shared" si="25"/>
        <v>0</v>
      </c>
      <c r="P114" s="84">
        <f t="shared" si="25"/>
        <v>0</v>
      </c>
      <c r="Q114" s="84">
        <f t="shared" si="25"/>
        <v>0</v>
      </c>
      <c r="R114" s="84">
        <f t="shared" si="25"/>
        <v>0</v>
      </c>
      <c r="S114" s="113">
        <f t="shared" si="20"/>
        <v>186035538.45730001</v>
      </c>
      <c r="T114" s="466">
        <f t="shared" si="21"/>
        <v>4.0123266716408574</v>
      </c>
    </row>
    <row r="115" spans="1:20">
      <c r="A115" s="116" t="str">
        <f t="shared" si="17"/>
        <v>421p</v>
      </c>
      <c r="B115" s="551" t="str">
        <f>+VLOOKUP(LEFT($A115,LEN(A115)-1)*1,Master!$D$29:$G$228,4,FALSE)</f>
        <v>Prava iz oblasti socijalne zaštite</v>
      </c>
      <c r="C115" s="552"/>
      <c r="D115" s="552"/>
      <c r="E115" s="552"/>
      <c r="F115" s="552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12">
        <f t="shared" si="20"/>
        <v>26808003.640000001</v>
      </c>
      <c r="T115" s="465">
        <f t="shared" si="21"/>
        <v>0.57818236725186567</v>
      </c>
    </row>
    <row r="116" spans="1:20">
      <c r="A116" s="116" t="str">
        <f t="shared" ref="A116:A138" si="26">+CONCATENATE(A42,"p")</f>
        <v>422p</v>
      </c>
      <c r="B116" s="551" t="str">
        <f>+VLOOKUP(LEFT($A116,LEN(A116)-1)*1,Master!$D$29:$G$228,4,FALSE)</f>
        <v>Sredstva za tehnološke viškove</v>
      </c>
      <c r="C116" s="552"/>
      <c r="D116" s="552"/>
      <c r="E116" s="552"/>
      <c r="F116" s="552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0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12">
        <f t="shared" si="20"/>
        <v>5737384.7245999994</v>
      </c>
      <c r="T116" s="465">
        <f t="shared" si="21"/>
        <v>0.12374120529267134</v>
      </c>
    </row>
    <row r="117" spans="1:20">
      <c r="A117" s="116" t="str">
        <f t="shared" si="26"/>
        <v>423p</v>
      </c>
      <c r="B117" s="551" t="str">
        <f>+VLOOKUP(LEFT($A117,LEN(A117)-1)*1,Master!$D$29:$G$228,4,FALSE)</f>
        <v>Prava iz oblasti penzijskog i invalidskog osiguranja</v>
      </c>
      <c r="C117" s="552"/>
      <c r="D117" s="552"/>
      <c r="E117" s="552"/>
      <c r="F117" s="552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12">
        <f t="shared" si="20"/>
        <v>144669476.64789999</v>
      </c>
      <c r="T117" s="465">
        <f t="shared" si="21"/>
        <v>3.1201629782146396</v>
      </c>
    </row>
    <row r="118" spans="1:20">
      <c r="A118" s="116" t="str">
        <f t="shared" si="26"/>
        <v>424p</v>
      </c>
      <c r="B118" s="551" t="str">
        <f>+VLOOKUP(LEFT($A118,LEN(A118)-1)*1,Master!$D$29:$G$228,4,FALSE)</f>
        <v>Ostala prava iz oblasti zdravstvene zaštite</v>
      </c>
      <c r="C118" s="552"/>
      <c r="D118" s="552"/>
      <c r="E118" s="552"/>
      <c r="F118" s="552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12">
        <f t="shared" si="20"/>
        <v>5570829.6173999999</v>
      </c>
      <c r="T118" s="465">
        <f t="shared" si="21"/>
        <v>0.12014902336625977</v>
      </c>
    </row>
    <row r="119" spans="1:20">
      <c r="A119" s="116" t="str">
        <f t="shared" si="26"/>
        <v>425p</v>
      </c>
      <c r="B119" s="551" t="str">
        <f>+VLOOKUP(LEFT($A119,LEN(A119)-1)*1,Master!$D$29:$G$228,4,FALSE)</f>
        <v>Ostala prava iz zdravstvenog osiguranja</v>
      </c>
      <c r="C119" s="552"/>
      <c r="D119" s="552"/>
      <c r="E119" s="552"/>
      <c r="F119" s="552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12">
        <f t="shared" si="20"/>
        <v>3249843.8273999998</v>
      </c>
      <c r="T119" s="465">
        <f t="shared" si="21"/>
        <v>7.009109751542078E-2</v>
      </c>
    </row>
    <row r="120" spans="1:20">
      <c r="A120" s="116" t="str">
        <f t="shared" si="26"/>
        <v>43p</v>
      </c>
      <c r="B120" s="549" t="str">
        <f>+VLOOKUP(LEFT($A120,LEN(A120)-1)*1,Master!$D$29:$G$228,4,FALSE)</f>
        <v xml:space="preserve">Transferi institucijama, pojedincima, nevladinom i javnom sektoru </v>
      </c>
      <c r="C120" s="550"/>
      <c r="D120" s="550"/>
      <c r="E120" s="550"/>
      <c r="F120" s="550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113">
        <f>+SUM(G120:R120)</f>
        <v>86411549.831400007</v>
      </c>
      <c r="T120" s="466">
        <f t="shared" si="21"/>
        <v>1.863683514458871</v>
      </c>
    </row>
    <row r="121" spans="1:20">
      <c r="A121" s="116" t="str">
        <f t="shared" si="26"/>
        <v>44p</v>
      </c>
      <c r="B121" s="549" t="str">
        <f>+VLOOKUP(LEFT($A121,LEN(A121)-1)*1,Master!$D$29:$G$228,4,FALSE)</f>
        <v>Kapitalni izdaci</v>
      </c>
      <c r="C121" s="550"/>
      <c r="D121" s="550"/>
      <c r="E121" s="550"/>
      <c r="F121" s="550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113">
        <f t="shared" si="20"/>
        <v>58943000.745699987</v>
      </c>
      <c r="T121" s="466">
        <f t="shared" si="21"/>
        <v>1.2712548148578697</v>
      </c>
    </row>
    <row r="122" spans="1:20">
      <c r="A122" s="116" t="str">
        <f t="shared" si="26"/>
        <v>451p</v>
      </c>
      <c r="B122" s="541" t="str">
        <f>+VLOOKUP(LEFT($A122,LEN(A122)-1)*1,Master!$D$29:$G$228,4,FALSE)</f>
        <v>Pozajmice i krediti</v>
      </c>
      <c r="C122" s="542"/>
      <c r="D122" s="542"/>
      <c r="E122" s="542"/>
      <c r="F122" s="542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12">
        <f t="shared" si="20"/>
        <v>624519.33480000007</v>
      </c>
      <c r="T122" s="465">
        <f t="shared" si="21"/>
        <v>1.3469338196091965E-2</v>
      </c>
    </row>
    <row r="123" spans="1:20">
      <c r="A123" s="116" t="str">
        <f t="shared" si="26"/>
        <v>47p</v>
      </c>
      <c r="B123" s="541" t="str">
        <f>+VLOOKUP(LEFT($A123,LEN(A123)-1)*1,Master!$D$29:$G$228,4,FALSE)</f>
        <v>Rezerve</v>
      </c>
      <c r="C123" s="542"/>
      <c r="D123" s="542"/>
      <c r="E123" s="542"/>
      <c r="F123" s="542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12">
        <f t="shared" si="20"/>
        <v>43094030.82</v>
      </c>
      <c r="T123" s="465">
        <f t="shared" si="21"/>
        <v>0.92943171332441876</v>
      </c>
    </row>
    <row r="124" spans="1:20">
      <c r="A124" s="116" t="str">
        <f t="shared" si="26"/>
        <v>462p</v>
      </c>
      <c r="B124" s="541" t="str">
        <f>+VLOOKUP(LEFT($A124,LEN(A124)-1)*1,Master!$D$29:$G$228,4,FALSE)</f>
        <v>Otplata garancija</v>
      </c>
      <c r="C124" s="542"/>
      <c r="D124" s="542"/>
      <c r="E124" s="542"/>
      <c r="F124" s="542"/>
      <c r="G124" s="87">
        <v>3836366.14</v>
      </c>
      <c r="H124" s="87">
        <v>20000</v>
      </c>
      <c r="I124" s="87">
        <v>20000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3876366.14</v>
      </c>
      <c r="T124" s="465">
        <f t="shared" si="21"/>
        <v>8.3603634991157319E-2</v>
      </c>
    </row>
    <row r="125" spans="1:20">
      <c r="A125" s="117" t="str">
        <f t="shared" si="26"/>
        <v>4630p</v>
      </c>
      <c r="B125" s="541" t="str">
        <f>+VLOOKUP(LEFT($A125,LEN(A125)-1)*1,Master!$D$29:$G$228,4,FALSE)</f>
        <v>Otplata obaveza iz prethodnog perioda</v>
      </c>
      <c r="C125" s="542"/>
      <c r="D125" s="542"/>
      <c r="E125" s="542"/>
      <c r="F125" s="542"/>
      <c r="G125" s="96">
        <v>1590076.06</v>
      </c>
      <c r="H125" s="87">
        <v>2656778.3092999929</v>
      </c>
      <c r="I125" s="87">
        <v>2677062.2602999979</v>
      </c>
      <c r="J125" s="87">
        <v>2665179.0145999948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03">
        <f>+SUM(G125:R125)</f>
        <v>9589095.644199986</v>
      </c>
      <c r="T125" s="473">
        <f t="shared" si="21"/>
        <v>0.20681308812923235</v>
      </c>
    </row>
    <row r="126" spans="1:20" ht="13.5" thickBot="1">
      <c r="A126" s="116" t="str">
        <f t="shared" si="26"/>
        <v>1005p</v>
      </c>
      <c r="B126" s="541" t="str">
        <f>+VLOOKUP(LEFT($A126,LEN(A126)-1)*1,Master!$D$29:$G$228,4,FALSE)</f>
        <v>Neto povećanje obaveza</v>
      </c>
      <c r="C126" s="542"/>
      <c r="D126" s="542"/>
      <c r="E126" s="542"/>
      <c r="F126" s="542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0" ht="13.5" thickBot="1">
      <c r="A127" s="117" t="str">
        <f t="shared" si="26"/>
        <v>1000p</v>
      </c>
      <c r="B127" s="543" t="str">
        <f>+VLOOKUP(LEFT($A127,LEN(A127)-1)*1,Master!$D$29:$G$225,4,FALSE)</f>
        <v>Suficit / deficit</v>
      </c>
      <c r="C127" s="544"/>
      <c r="D127" s="544"/>
      <c r="E127" s="544"/>
      <c r="F127" s="544"/>
      <c r="G127" s="93">
        <f t="shared" ref="G127:R127" si="27">+G84-G103</f>
        <v>-98727574.791282132</v>
      </c>
      <c r="H127" s="93">
        <f t="shared" si="27"/>
        <v>-62778309.733188093</v>
      </c>
      <c r="I127" s="93">
        <f t="shared" si="27"/>
        <v>-35412575.629021287</v>
      </c>
      <c r="J127" s="93">
        <f t="shared" si="27"/>
        <v>-8960368.1709368229</v>
      </c>
      <c r="K127" s="93">
        <f t="shared" si="27"/>
        <v>0</v>
      </c>
      <c r="L127" s="93">
        <f t="shared" si="27"/>
        <v>0</v>
      </c>
      <c r="M127" s="93">
        <f t="shared" si="27"/>
        <v>0</v>
      </c>
      <c r="N127" s="93">
        <f t="shared" si="27"/>
        <v>0</v>
      </c>
      <c r="O127" s="93">
        <f t="shared" si="27"/>
        <v>0</v>
      </c>
      <c r="P127" s="93">
        <f t="shared" si="27"/>
        <v>0</v>
      </c>
      <c r="Q127" s="93">
        <f t="shared" si="27"/>
        <v>0</v>
      </c>
      <c r="R127" s="93">
        <f t="shared" si="27"/>
        <v>0</v>
      </c>
      <c r="S127" s="106">
        <f t="shared" si="20"/>
        <v>-205878828.32442832</v>
      </c>
      <c r="T127" s="471">
        <f t="shared" si="21"/>
        <v>-4.4402973800722148</v>
      </c>
    </row>
    <row r="128" spans="1:20" ht="13.5" thickBot="1">
      <c r="A128" s="117" t="str">
        <f t="shared" si="26"/>
        <v>1001p</v>
      </c>
      <c r="B128" s="545" t="str">
        <f>+VLOOKUP(LEFT($A128,LEN(A128)-1)*1,Master!$D$29:$G$225,4,FALSE)</f>
        <v>Primarni suficit/deficit</v>
      </c>
      <c r="C128" s="546"/>
      <c r="D128" s="546"/>
      <c r="E128" s="546"/>
      <c r="F128" s="546"/>
      <c r="G128" s="94">
        <f>+G127+G110</f>
        <v>-90839170.986682132</v>
      </c>
      <c r="H128" s="94">
        <f t="shared" ref="H128:R128" si="28">+H127+H110</f>
        <v>-61599552.579688095</v>
      </c>
      <c r="I128" s="94">
        <f t="shared" si="28"/>
        <v>-19813957.642021287</v>
      </c>
      <c r="J128" s="94">
        <f t="shared" si="28"/>
        <v>13527529.667463187</v>
      </c>
      <c r="K128" s="94">
        <f t="shared" si="28"/>
        <v>0</v>
      </c>
      <c r="L128" s="94">
        <f t="shared" si="28"/>
        <v>0</v>
      </c>
      <c r="M128" s="94">
        <f t="shared" si="28"/>
        <v>0</v>
      </c>
      <c r="N128" s="94">
        <f t="shared" si="28"/>
        <v>0</v>
      </c>
      <c r="O128" s="94">
        <f t="shared" si="28"/>
        <v>0</v>
      </c>
      <c r="P128" s="94">
        <f t="shared" si="28"/>
        <v>0</v>
      </c>
      <c r="Q128" s="94">
        <f t="shared" si="28"/>
        <v>0</v>
      </c>
      <c r="R128" s="94">
        <f t="shared" si="28"/>
        <v>0</v>
      </c>
      <c r="S128" s="106">
        <f t="shared" si="20"/>
        <v>-158725151.54092833</v>
      </c>
      <c r="T128" s="471">
        <f t="shared" si="21"/>
        <v>-3.4233091390443069</v>
      </c>
    </row>
    <row r="129" spans="1:20">
      <c r="A129" s="117" t="str">
        <f t="shared" si="26"/>
        <v>46p</v>
      </c>
      <c r="B129" s="547" t="str">
        <f>+VLOOKUP(LEFT($A129,LEN(A129)-1)*1,Master!$D$29:$G$225,4,FALSE)</f>
        <v>Otplata dugova</v>
      </c>
      <c r="C129" s="548"/>
      <c r="D129" s="548"/>
      <c r="E129" s="548"/>
      <c r="F129" s="54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0</v>
      </c>
      <c r="L129" s="84">
        <f t="shared" si="29"/>
        <v>0</v>
      </c>
      <c r="M129" s="84">
        <f t="shared" si="29"/>
        <v>0</v>
      </c>
      <c r="N129" s="84">
        <f t="shared" si="29"/>
        <v>0</v>
      </c>
      <c r="O129" s="84">
        <f t="shared" si="29"/>
        <v>0</v>
      </c>
      <c r="P129" s="84">
        <f t="shared" si="29"/>
        <v>0</v>
      </c>
      <c r="Q129" s="84">
        <f t="shared" si="29"/>
        <v>0</v>
      </c>
      <c r="R129" s="84">
        <f t="shared" si="29"/>
        <v>0</v>
      </c>
      <c r="S129" s="104">
        <f t="shared" si="20"/>
        <v>333322098.86000001</v>
      </c>
      <c r="T129" s="472">
        <f t="shared" si="21"/>
        <v>7.1889336768321614</v>
      </c>
    </row>
    <row r="130" spans="1:20">
      <c r="A130" s="117" t="str">
        <f t="shared" si="26"/>
        <v>4611p</v>
      </c>
      <c r="B130" s="539" t="str">
        <f>+VLOOKUP(LEFT($A130,LEN(A130)-1)*1,Master!$D$29:$G$225,4,FALSE)</f>
        <v>Otplata hartija od vrijednosti i kredita rezidentima</v>
      </c>
      <c r="C130" s="540"/>
      <c r="D130" s="540"/>
      <c r="E130" s="540"/>
      <c r="F130" s="540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103">
        <f t="shared" si="20"/>
        <v>54995506.769999996</v>
      </c>
      <c r="T130" s="473">
        <f t="shared" si="21"/>
        <v>1.186117128283656</v>
      </c>
    </row>
    <row r="131" spans="1:20" ht="13.5" thickBot="1">
      <c r="A131" s="117" t="str">
        <f t="shared" si="26"/>
        <v>4612p</v>
      </c>
      <c r="B131" s="541" t="str">
        <f>+VLOOKUP(LEFT($A131,LEN(A131)-1)*1,Master!$D$29:$G$225,4,FALSE)</f>
        <v>Otplata hartija od vrijednosti i kredita nerezidentima</v>
      </c>
      <c r="C131" s="542"/>
      <c r="D131" s="542"/>
      <c r="E131" s="542"/>
      <c r="F131" s="542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103">
        <f t="shared" si="20"/>
        <v>278326592.08999997</v>
      </c>
      <c r="T131" s="473">
        <f t="shared" si="21"/>
        <v>6.0028165485485045</v>
      </c>
    </row>
    <row r="132" spans="1:20" ht="13.5" thickBot="1">
      <c r="A132" s="117" t="str">
        <f t="shared" si="26"/>
        <v>4418p</v>
      </c>
      <c r="B132" s="535" t="str">
        <f>+VLOOKUP(LEFT($A132,LEN(A132)-1)*1,Master!$D$29:$G$225,4,FALSE)</f>
        <v>Izdaci za kupovinu hartija od vrijednosti</v>
      </c>
      <c r="C132" s="536"/>
      <c r="D132" s="536"/>
      <c r="E132" s="536"/>
      <c r="F132" s="536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450">
        <f t="shared" si="20"/>
        <v>536784</v>
      </c>
      <c r="T132" s="480">
        <f t="shared" si="21"/>
        <v>1.1577103912349566E-2</v>
      </c>
    </row>
    <row r="133" spans="1:20" ht="13.5" thickBot="1">
      <c r="A133" s="117" t="str">
        <f t="shared" si="26"/>
        <v>1002p</v>
      </c>
      <c r="B133" s="537" t="str">
        <f>+VLOOKUP(LEFT($A133,LEN(A133)-1)*1,Master!$D$29:$G$225,4,FALSE)</f>
        <v>Nedostajuća sredstva</v>
      </c>
      <c r="C133" s="538"/>
      <c r="D133" s="538"/>
      <c r="E133" s="538"/>
      <c r="F133" s="538"/>
      <c r="G133" s="77">
        <f t="shared" ref="G133:R133" si="30">+G127-G129-G132</f>
        <v>-116366469.79128213</v>
      </c>
      <c r="H133" s="77">
        <f t="shared" si="30"/>
        <v>-78899134.733188093</v>
      </c>
      <c r="I133" s="77">
        <f t="shared" si="30"/>
        <v>-302601019.62902129</v>
      </c>
      <c r="J133" s="77">
        <f t="shared" si="30"/>
        <v>-41871087.030936822</v>
      </c>
      <c r="K133" s="77">
        <f t="shared" si="30"/>
        <v>0</v>
      </c>
      <c r="L133" s="77">
        <f t="shared" si="30"/>
        <v>0</v>
      </c>
      <c r="M133" s="77">
        <f t="shared" si="30"/>
        <v>0</v>
      </c>
      <c r="N133" s="77">
        <f t="shared" si="30"/>
        <v>0</v>
      </c>
      <c r="O133" s="77">
        <f t="shared" si="30"/>
        <v>0</v>
      </c>
      <c r="P133" s="77">
        <f t="shared" si="30"/>
        <v>0</v>
      </c>
      <c r="Q133" s="77">
        <f t="shared" si="30"/>
        <v>0</v>
      </c>
      <c r="R133" s="77">
        <f t="shared" si="30"/>
        <v>0</v>
      </c>
      <c r="S133" s="109">
        <f t="shared" si="20"/>
        <v>-539737711.18442833</v>
      </c>
      <c r="T133" s="475">
        <f t="shared" si="21"/>
        <v>-11.640808160816727</v>
      </c>
    </row>
    <row r="134" spans="1:20" ht="13.5" thickBot="1">
      <c r="A134" s="117" t="str">
        <f t="shared" si="26"/>
        <v>1003p</v>
      </c>
      <c r="B134" s="535" t="str">
        <f>+VLOOKUP(LEFT($A134,LEN(A134)-1)*1,Master!$D$29:$G$225,4,FALSE)</f>
        <v>Finansiranje</v>
      </c>
      <c r="C134" s="536"/>
      <c r="D134" s="536"/>
      <c r="E134" s="536"/>
      <c r="F134" s="536"/>
      <c r="G134" s="93">
        <f t="shared" ref="G134:R134" si="31">+SUM(G135:G138)</f>
        <v>116366469.79128213</v>
      </c>
      <c r="H134" s="93">
        <f t="shared" si="31"/>
        <v>78899134.733188093</v>
      </c>
      <c r="I134" s="93">
        <f t="shared" si="31"/>
        <v>302601019.62902129</v>
      </c>
      <c r="J134" s="93">
        <f t="shared" si="31"/>
        <v>41871087.030936822</v>
      </c>
      <c r="K134" s="93">
        <f t="shared" si="31"/>
        <v>0</v>
      </c>
      <c r="L134" s="93">
        <f t="shared" si="31"/>
        <v>0</v>
      </c>
      <c r="M134" s="93">
        <f t="shared" si="31"/>
        <v>0</v>
      </c>
      <c r="N134" s="93">
        <f t="shared" si="31"/>
        <v>0</v>
      </c>
      <c r="O134" s="93">
        <f t="shared" si="31"/>
        <v>0</v>
      </c>
      <c r="P134" s="93">
        <f t="shared" si="31"/>
        <v>0</v>
      </c>
      <c r="Q134" s="93">
        <f t="shared" si="31"/>
        <v>0</v>
      </c>
      <c r="R134" s="93">
        <f t="shared" si="31"/>
        <v>0</v>
      </c>
      <c r="S134" s="110">
        <f t="shared" si="20"/>
        <v>539737711.18442833</v>
      </c>
      <c r="T134" s="476">
        <f t="shared" si="21"/>
        <v>11.640808160816727</v>
      </c>
    </row>
    <row r="135" spans="1:20">
      <c r="A135" s="117" t="str">
        <f t="shared" si="26"/>
        <v>7511p</v>
      </c>
      <c r="B135" s="539" t="str">
        <f>+VLOOKUP(LEFT($A135,LEN(A135)-1)*1,Master!$D$29:$G$225,4,FALSE)</f>
        <v>Pozajmice i krediti od domaćih izvora</v>
      </c>
      <c r="C135" s="540"/>
      <c r="D135" s="540"/>
      <c r="E135" s="540"/>
      <c r="F135" s="540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0">
      <c r="A136" s="117" t="str">
        <f t="shared" si="26"/>
        <v>7512p</v>
      </c>
      <c r="B136" s="541" t="str">
        <f>+VLOOKUP(LEFT($A136,LEN(A136)-1)*1,Master!$D$29:$G$225,4,FALSE)</f>
        <v>Pozajmice i krediti od inostranih izvora</v>
      </c>
      <c r="C136" s="542"/>
      <c r="D136" s="542"/>
      <c r="E136" s="542"/>
      <c r="F136" s="542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103">
        <f t="shared" si="20"/>
        <v>17600000</v>
      </c>
      <c r="T136" s="473">
        <f t="shared" si="21"/>
        <v>0.37958849156709662</v>
      </c>
    </row>
    <row r="137" spans="1:20">
      <c r="A137" s="117" t="str">
        <f t="shared" si="26"/>
        <v>72p</v>
      </c>
      <c r="B137" s="541" t="str">
        <f>+VLOOKUP(LEFT($A137,LEN(A137)-1)*1,Master!$D$29:$G$225,4,FALSE)</f>
        <v>Primici od prodaje imovine</v>
      </c>
      <c r="C137" s="542"/>
      <c r="D137" s="542"/>
      <c r="E137" s="542"/>
      <c r="F137" s="542"/>
      <c r="G137" s="96">
        <v>62782.51</v>
      </c>
      <c r="H137" s="96">
        <v>30000</v>
      </c>
      <c r="I137" s="96">
        <v>70000</v>
      </c>
      <c r="J137" s="96">
        <v>40000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0"/>
        <v>202782.51</v>
      </c>
      <c r="T137" s="473">
        <f t="shared" si="21"/>
        <v>4.3735174481300959E-3</v>
      </c>
    </row>
    <row r="138" spans="1:20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109303687.28128213</v>
      </c>
      <c r="H138" s="97">
        <f t="shared" si="32"/>
        <v>78669134.733188093</v>
      </c>
      <c r="I138" s="97">
        <f t="shared" si="32"/>
        <v>302131019.62902129</v>
      </c>
      <c r="J138" s="97">
        <f t="shared" si="32"/>
        <v>31831087.030936822</v>
      </c>
      <c r="K138" s="97">
        <f t="shared" si="32"/>
        <v>0</v>
      </c>
      <c r="L138" s="97">
        <f t="shared" si="32"/>
        <v>0</v>
      </c>
      <c r="M138" s="97">
        <f t="shared" si="32"/>
        <v>0</v>
      </c>
      <c r="N138" s="97">
        <f t="shared" si="32"/>
        <v>0</v>
      </c>
      <c r="O138" s="97">
        <f t="shared" si="32"/>
        <v>0</v>
      </c>
      <c r="P138" s="97">
        <f t="shared" si="32"/>
        <v>0</v>
      </c>
      <c r="Q138" s="97">
        <f t="shared" si="32"/>
        <v>0</v>
      </c>
      <c r="R138" s="97">
        <f t="shared" si="32"/>
        <v>0</v>
      </c>
      <c r="S138" s="105">
        <f t="shared" si="20"/>
        <v>521934928.67442834</v>
      </c>
      <c r="T138" s="477">
        <f t="shared" si="21"/>
        <v>11.256846151801501</v>
      </c>
    </row>
  </sheetData>
  <sheetProtection algorithmName="SHA-512" hashValue="brMD9n0VKQAtyZNBi0rhanIC05VvVKQDNKsYsCoE+hyBWTWTWM8o2EFSa88Fb3cWpFZRfmlCzoOWHrQ2ijJJCg==" saltValue="RNTYuTMrIVeK5ZoUXE09Ug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2" activePane="bottomLeft" state="frozen"/>
      <selection pane="bottomLeft" activeCell="S29" sqref="S29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90" t="str">
        <f>+Master!G251</f>
        <v>Ostvarenje budžeta</v>
      </c>
      <c r="C7" s="490"/>
      <c r="D7" s="490"/>
      <c r="E7" s="490"/>
      <c r="F7" s="490"/>
      <c r="G7" s="498">
        <v>2020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tr">
        <f>+Master!G248</f>
        <v>BDP</v>
      </c>
      <c r="T7" s="236">
        <v>4193200000</v>
      </c>
    </row>
    <row r="8" spans="1:20" ht="16.5" customHeight="1">
      <c r="A8" s="144"/>
      <c r="B8" s="491"/>
      <c r="C8" s="492"/>
      <c r="D8" s="492"/>
      <c r="E8" s="492"/>
      <c r="F8" s="49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498" t="str">
        <f>+Master!G246</f>
        <v>Jan - Dec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31" t="str">
        <f>+VLOOKUP($A10,Master!$D$29:$G$225,4,FALSE)</f>
        <v>Prihodi budžeta</v>
      </c>
      <c r="C10" s="532"/>
      <c r="D10" s="532"/>
      <c r="E10" s="532"/>
      <c r="F10" s="53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29" t="str">
        <f>+VLOOKUP($A19,Master!$D$29:$G$225,4,FALSE)</f>
        <v>Doprinosi</v>
      </c>
      <c r="C19" s="530"/>
      <c r="D19" s="530"/>
      <c r="E19" s="530"/>
      <c r="F19" s="53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23" t="str">
        <f>+VLOOKUP($A28,Master!$D$29:$G$225,4,FALSE)</f>
        <v>Donacije i transferi</v>
      </c>
      <c r="C28" s="524"/>
      <c r="D28" s="524"/>
      <c r="E28" s="524"/>
      <c r="F28" s="524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09" t="str">
        <f>+VLOOKUP($A29,Master!$D$29:$G$225,4,FALSE)</f>
        <v>Izdaci budžeta</v>
      </c>
      <c r="C29" s="510"/>
      <c r="D29" s="510"/>
      <c r="E29" s="510"/>
      <c r="F29" s="510"/>
      <c r="G29" s="151">
        <f t="shared" ref="G29:R29" si="5">+G30+G40+G46+SUM(G47:G51)</f>
        <v>128597238.24400002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164193652.48000002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2064687266.0799997</v>
      </c>
      <c r="T29" s="440">
        <f t="shared" si="4"/>
        <v>49.238940810836581</v>
      </c>
    </row>
    <row r="30" spans="1:25">
      <c r="A30" s="150">
        <v>41</v>
      </c>
      <c r="B30" s="527" t="str">
        <f>+VLOOKUP($A30,Master!$D$29:$G$225,4,FALSE)</f>
        <v>Tekući izdaci</v>
      </c>
      <c r="C30" s="528"/>
      <c r="D30" s="528"/>
      <c r="E30" s="528"/>
      <c r="F30" s="528"/>
      <c r="G30" s="187">
        <f t="shared" ref="G30:R30" si="6">+SUM(G31:G39)</f>
        <v>53655716.330000006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858021278.61999989</v>
      </c>
      <c r="T30" s="436">
        <f t="shared" si="4"/>
        <v>20.462207350472188</v>
      </c>
    </row>
    <row r="31" spans="1:25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f>+INDEX(DataEx!$1:$1048576,MATCH('2020'!$A31,DataEx!$D:$D,0),MATCH('2020'!G$6,DataEx!$7:$7,0))</f>
        <v>40884832.280000001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499152382.91000003</v>
      </c>
      <c r="T31" s="437">
        <f t="shared" si="4"/>
        <v>11.903853451063627</v>
      </c>
    </row>
    <row r="32" spans="1:25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588" t="str">
        <f>+VLOOKUP($A34,Master!$D$29:$G$225,4,FALSE)</f>
        <v>Rashodi za usluge</v>
      </c>
      <c r="C34" s="589"/>
      <c r="D34" s="589"/>
      <c r="E34" s="589"/>
      <c r="F34" s="589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88" t="str">
        <f>+VLOOKUP($A39,Master!$D$29:$G$225,4,FALSE)</f>
        <v>Ostali izdaci</v>
      </c>
      <c r="C39" s="589"/>
      <c r="D39" s="589"/>
      <c r="E39" s="589"/>
      <c r="F39" s="589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15" t="str">
        <f>+VLOOKUP($A40,Master!$D$29:$G$225,4,FALSE)</f>
        <v>Transferi za socijalnu zaštitu</v>
      </c>
      <c r="C40" s="516"/>
      <c r="D40" s="516"/>
      <c r="E40" s="516"/>
      <c r="F40" s="51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84" t="str">
        <f>+VLOOKUP($A45,Master!$D$29:$G$225,4,FALSE)</f>
        <v>Ostala prava iz zdravstvenog osiguranja</v>
      </c>
      <c r="C45" s="585"/>
      <c r="D45" s="585"/>
      <c r="E45" s="585"/>
      <c r="F45" s="585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17" t="str">
        <f>+VLOOKUP($A46,Master!$D$29:$G$225,4,FALSE)</f>
        <v xml:space="preserve">Transferi institucijama, pojedincima, nevladinom i javnom sektoru </v>
      </c>
      <c r="C46" s="518"/>
      <c r="D46" s="518"/>
      <c r="E46" s="518"/>
      <c r="F46" s="518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17" t="str">
        <f>+VLOOKUP($A47,Master!$D$29:$G$225,4,FALSE)</f>
        <v>Kapitalni izdaci</v>
      </c>
      <c r="C47" s="518"/>
      <c r="D47" s="518"/>
      <c r="E47" s="518"/>
      <c r="F47" s="518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19124293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229937455.56</v>
      </c>
      <c r="T47" s="438">
        <f t="shared" si="4"/>
        <v>5.4835794991891635</v>
      </c>
      <c r="U47" s="242"/>
    </row>
    <row r="48" spans="1:23">
      <c r="A48" s="150">
        <v>451</v>
      </c>
      <c r="B48" s="586" t="str">
        <f>+VLOOKUP($A48,Master!$D$29:$G$225,4,FALSE)</f>
        <v>Pozajmice i krediti</v>
      </c>
      <c r="C48" s="587"/>
      <c r="D48" s="587"/>
      <c r="E48" s="587"/>
      <c r="F48" s="587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78" t="str">
        <f>+VLOOKUP($A49,Master!$D$29:$G$225,4,FALSE)</f>
        <v>Rezerve</v>
      </c>
      <c r="C49" s="579"/>
      <c r="D49" s="579"/>
      <c r="E49" s="579"/>
      <c r="F49" s="579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05" t="str">
        <f>+VLOOKUP($A50,Master!$D$29:$G$225,4,FALSE)</f>
        <v>Otplata garancija</v>
      </c>
      <c r="C50" s="506"/>
      <c r="D50" s="506"/>
      <c r="E50" s="506"/>
      <c r="F50" s="50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80" t="str">
        <f>+VLOOKUP($A51,Master!$D$29:$G$225,4,TRUE)</f>
        <v>Otplata obaveza iz prethodnog perioda</v>
      </c>
      <c r="C51" s="581"/>
      <c r="D51" s="581"/>
      <c r="E51" s="581"/>
      <c r="F51" s="581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82" t="str">
        <f>+VLOOKUP($A52,Master!$D$29:$G$227,4,FALSE)</f>
        <v>Neto povećanje obaveza</v>
      </c>
      <c r="C52" s="583"/>
      <c r="D52" s="583"/>
      <c r="E52" s="583"/>
      <c r="F52" s="583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8">+G10-G29</f>
        <v>-34274992.30400002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-21620426.810000032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-426158225.49000001</v>
      </c>
      <c r="T53" s="443">
        <f t="shared" si="4"/>
        <v>-10.163078925164552</v>
      </c>
    </row>
    <row r="54" spans="1:22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9">+G53+G36</f>
        <v>-26620146.914000019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-20067991.520000033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-315049317.13999999</v>
      </c>
      <c r="T54" s="443">
        <f t="shared" si="4"/>
        <v>-7.5133386707049503</v>
      </c>
    </row>
    <row r="55" spans="1:22">
      <c r="A55" s="144">
        <v>46</v>
      </c>
      <c r="B55" s="576" t="str">
        <f>+VLOOKUP($A55,Master!$D$29:$G$225,4,FALSE)</f>
        <v>Otplata dugova</v>
      </c>
      <c r="C55" s="577"/>
      <c r="D55" s="577"/>
      <c r="E55" s="577"/>
      <c r="F55" s="577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03" t="str">
        <f>+VLOOKUP($A56,Master!$D$29:$G$225,4,FALSE)</f>
        <v>Otplata hartija od vrijednosti i kredita rezidentima</v>
      </c>
      <c r="C56" s="504"/>
      <c r="D56" s="504"/>
      <c r="E56" s="504"/>
      <c r="F56" s="504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487" t="str">
        <f>+VLOOKUP($A57,Master!$D$29:$G$225,4,FALSE)</f>
        <v>Otplata hartija od vrijednosti i kredita nerezidentima</v>
      </c>
      <c r="C57" s="488"/>
      <c r="D57" s="488"/>
      <c r="E57" s="488"/>
      <c r="F57" s="48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76" t="str">
        <f>+VLOOKUP($A58,Master!$D$29:$G$225,4,FALSE)</f>
        <v>Izdaci za kupovinu hartija od vrijednosti</v>
      </c>
      <c r="C58" s="577"/>
      <c r="D58" s="577"/>
      <c r="E58" s="577"/>
      <c r="F58" s="577"/>
      <c r="G58" s="193">
        <f>+INDEX(DataEx!$1:$1048576,MATCH('2020'!$A58,DataEx!$D:$D,0),MATCH('2020'!G$6,DataEx!$7:$7,0))</f>
        <v>0</v>
      </c>
      <c r="H58" s="193">
        <f>+INDEX(DataEx!$1:$1048576,MATCH('2020'!$A58,DataEx!$D:$D,0),MATCH('2020'!H$6,DataEx!$7:$7,0))</f>
        <v>0</v>
      </c>
      <c r="I58" s="193">
        <f>+INDEX(DataEx!$1:$1048576,MATCH('2020'!$A58,DataEx!$D:$D,0),MATCH('2020'!I$6,DataEx!$7:$7,0))</f>
        <v>0</v>
      </c>
      <c r="J58" s="193">
        <f>+INDEX(DataEx!$1:$1048576,MATCH('2020'!$A58,DataEx!$D:$D,0),MATCH('2020'!J$6,DataEx!$7:$7,0))</f>
        <v>0</v>
      </c>
      <c r="K58" s="193">
        <f>+INDEX(DataEx!$1:$1048576,MATCH('2020'!$A58,DataEx!$D:$D,0),MATCH('2020'!K$6,DataEx!$7:$7,0))</f>
        <v>0</v>
      </c>
      <c r="L58" s="193">
        <f>+INDEX(DataEx!$1:$1048576,MATCH('2020'!$A58,DataEx!$D:$D,0),MATCH('2020'!L$6,DataEx!$7:$7,0))</f>
        <v>0</v>
      </c>
      <c r="M58" s="193">
        <f>+INDEX(DataEx!$1:$1048576,MATCH('2020'!$A58,DataEx!$D:$D,0),MATCH('2020'!M$6,DataEx!$7:$7,0))</f>
        <v>0</v>
      </c>
      <c r="N58" s="193">
        <f>+INDEX(DataEx!$1:$1048576,MATCH('2020'!$A58,DataEx!$D:$D,0),MATCH('2020'!N$6,DataEx!$7:$7,0))</f>
        <v>0</v>
      </c>
      <c r="O58" s="193">
        <f>+INDEX(DataEx!$1:$1048576,MATCH('2020'!$A58,DataEx!$D:$D,0),MATCH('2020'!O$6,DataEx!$7:$7,0))</f>
        <v>940769.61</v>
      </c>
      <c r="P58" s="193">
        <f>+INDEX(DataEx!$1:$1048576,MATCH('2020'!$A58,DataEx!$D:$D,0),MATCH('2020'!P$6,DataEx!$7:$7,0))</f>
        <v>0</v>
      </c>
      <c r="Q58" s="193">
        <f>+INDEX(DataEx!$1:$1048576,MATCH('2020'!$A58,DataEx!$D:$D,0),MATCH('2020'!Q$6,DataEx!$7:$7,0))</f>
        <v>0</v>
      </c>
      <c r="R58" s="193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07" t="str">
        <f>+VLOOKUP($A59,Master!$D$29:$G$225,4,FALSE)</f>
        <v>Nedostajuća sredstva</v>
      </c>
      <c r="C59" s="508"/>
      <c r="D59" s="508"/>
      <c r="E59" s="508"/>
      <c r="F59" s="508"/>
      <c r="G59" s="217">
        <f>+G53-G55-G58</f>
        <v>-58801185.584000021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-32382261.980000034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-1092945024.73</v>
      </c>
      <c r="T59" s="447">
        <f t="shared" si="4"/>
        <v>-26.064700580225125</v>
      </c>
    </row>
    <row r="60" spans="1:22" ht="13.5" thickBot="1">
      <c r="A60" s="144">
        <v>1003</v>
      </c>
      <c r="B60" s="509" t="str">
        <f>+VLOOKUP($A60,Master!$D$29:$G$225,4,FALSE)</f>
        <v>Finansiranje</v>
      </c>
      <c r="C60" s="510"/>
      <c r="D60" s="510"/>
      <c r="E60" s="510"/>
      <c r="F60" s="510"/>
      <c r="G60" s="151">
        <f>+SUM(G61:G64)</f>
        <v>58801185.584000021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32382261.980000034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1092945024.73</v>
      </c>
      <c r="T60" s="448">
        <f t="shared" si="4"/>
        <v>26.064700580225125</v>
      </c>
    </row>
    <row r="61" spans="1:22">
      <c r="A61" s="144">
        <v>7511</v>
      </c>
      <c r="B61" s="503" t="str">
        <f>+VLOOKUP($A61,Master!$D$29:$G$225,4,FALSE)</f>
        <v>Pozajmice i krediti od domaćih izvora</v>
      </c>
      <c r="C61" s="504"/>
      <c r="D61" s="504"/>
      <c r="E61" s="504"/>
      <c r="F61" s="504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487" t="str">
        <f>+VLOOKUP($A62,Master!$D$29:$G$225,4,FALSE)</f>
        <v>Pozajmice i krediti od inostranih izvora</v>
      </c>
      <c r="C62" s="488"/>
      <c r="D62" s="488"/>
      <c r="E62" s="488"/>
      <c r="F62" s="48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487" t="str">
        <f>+VLOOKUP($A63,Master!$D$29:$G$225,4,FALSE)</f>
        <v>Primici od prodaje imovine</v>
      </c>
      <c r="C63" s="488"/>
      <c r="D63" s="488"/>
      <c r="E63" s="488"/>
      <c r="F63" s="48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43521838.23400002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28257134.440000035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-268879139.17999995</v>
      </c>
      <c r="T64" s="449">
        <f t="shared" si="4"/>
        <v>-6.4122660302394348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65" t="str">
        <f>+Master!G252</f>
        <v>Plan ostvarenja budžeta</v>
      </c>
      <c r="C100" s="566"/>
      <c r="D100" s="566"/>
      <c r="E100" s="566"/>
      <c r="F100" s="566"/>
      <c r="G100" s="573">
        <v>2020</v>
      </c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5"/>
      <c r="S100" s="107" t="str">
        <f>+S7</f>
        <v>BDP</v>
      </c>
      <c r="T100" s="108">
        <v>4607300000</v>
      </c>
    </row>
    <row r="101" spans="1:21" ht="15.75" customHeight="1">
      <c r="B101" s="567"/>
      <c r="C101" s="568"/>
      <c r="D101" s="568"/>
      <c r="E101" s="568"/>
      <c r="F101" s="56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3" t="str">
        <f>+Master!G246</f>
        <v>Jan - Dec</v>
      </c>
      <c r="T101" s="575">
        <f>+T8</f>
        <v>0</v>
      </c>
    </row>
    <row r="102" spans="1:21" ht="13.5" thickBot="1">
      <c r="B102" s="570"/>
      <c r="C102" s="571"/>
      <c r="D102" s="571"/>
      <c r="E102" s="571"/>
      <c r="F102" s="57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61" t="str">
        <f>+VLOOKUP(LEFT($A103,LEN(A103)-1)*1,Master!$D$29:$G$225,4,FALSE)</f>
        <v>Prihodi budžeta</v>
      </c>
      <c r="C103" s="562"/>
      <c r="D103" s="562"/>
      <c r="E103" s="562"/>
      <c r="F103" s="562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63" t="str">
        <f>+VLOOKUP(LEFT($A104,LEN(A104)-1)*1,Master!$D$29:$G$225,4,FALSE)</f>
        <v>Porezi</v>
      </c>
      <c r="C104" s="564"/>
      <c r="D104" s="564"/>
      <c r="E104" s="564"/>
      <c r="F104" s="564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51" t="str">
        <f>+VLOOKUP(LEFT($A105,LEN(A105)-1)*1,Master!$D$29:$G$228,4,FALSE)</f>
        <v>Porez na dohodak fizičkih lica</v>
      </c>
      <c r="C105" s="552"/>
      <c r="D105" s="552"/>
      <c r="E105" s="552"/>
      <c r="F105" s="552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51" t="str">
        <f>+VLOOKUP(LEFT($A106,LEN(A106)-1)*1,Master!$D$29:$G$228,4,FALSE)</f>
        <v>Porez na dobit pravnih lica</v>
      </c>
      <c r="C106" s="552"/>
      <c r="D106" s="552"/>
      <c r="E106" s="552"/>
      <c r="F106" s="552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51" t="str">
        <f>+VLOOKUP(LEFT($A107,LEN(A107)-1)*1,Master!$D$29:$G$228,4,FALSE)</f>
        <v>Porez na promet nepokretnosti</v>
      </c>
      <c r="C107" s="552"/>
      <c r="D107" s="552"/>
      <c r="E107" s="552"/>
      <c r="F107" s="552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51" t="str">
        <f>+VLOOKUP(LEFT($A108,LEN(A108)-1)*1,Master!$D$29:$G$228,4,FALSE)</f>
        <v>Porez na dodatu vrijednost</v>
      </c>
      <c r="C108" s="552"/>
      <c r="D108" s="552"/>
      <c r="E108" s="552"/>
      <c r="F108" s="552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51" t="str">
        <f>+VLOOKUP(LEFT($A109,LEN(A109)-1)*1,Master!$D$29:$G$228,4,FALSE)</f>
        <v>Akcize</v>
      </c>
      <c r="C109" s="552"/>
      <c r="D109" s="552"/>
      <c r="E109" s="552"/>
      <c r="F109" s="552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51" t="str">
        <f>+VLOOKUP(LEFT($A110,LEN(A110)-1)*1,Master!$D$29:$G$228,4,FALSE)</f>
        <v>Porez na međunarodnu trgovinu i transakcije</v>
      </c>
      <c r="C110" s="552"/>
      <c r="D110" s="552"/>
      <c r="E110" s="552"/>
      <c r="F110" s="552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51" t="str">
        <f>+VLOOKUP(LEFT($A111,LEN(A111)-1)*1,Master!$D$29:$G$228,4,FALSE)</f>
        <v>Ostali državni porezi</v>
      </c>
      <c r="C111" s="552"/>
      <c r="D111" s="552"/>
      <c r="E111" s="552"/>
      <c r="F111" s="552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59" t="str">
        <f>+VLOOKUP(LEFT($A112,LEN(A112)-1)*1,Master!$D$29:$G$228,4,FALSE)</f>
        <v>Doprinosi</v>
      </c>
      <c r="C112" s="560"/>
      <c r="D112" s="560"/>
      <c r="E112" s="560"/>
      <c r="F112" s="56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51" t="str">
        <f>+VLOOKUP(LEFT($A113,LEN(A113)-1)*1,Master!$D$29:$G$228,4,FALSE)</f>
        <v>Doprinosi za penzijsko i invalidsko osiguranje</v>
      </c>
      <c r="C113" s="552"/>
      <c r="D113" s="552"/>
      <c r="E113" s="552"/>
      <c r="F113" s="552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51" t="str">
        <f>+VLOOKUP(LEFT($A114,LEN(A114)-1)*1,Master!$D$29:$G$228,4,FALSE)</f>
        <v>Doprinosi za zdravstveno osiguranje</v>
      </c>
      <c r="C114" s="552"/>
      <c r="D114" s="552"/>
      <c r="E114" s="552"/>
      <c r="F114" s="552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51" t="str">
        <f>+VLOOKUP(LEFT($A115,LEN(A115)-1)*1,Master!$D$29:$G$228,4,FALSE)</f>
        <v>Doprinosi za osiguranje od nezaposlenosti</v>
      </c>
      <c r="C115" s="552"/>
      <c r="D115" s="552"/>
      <c r="E115" s="552"/>
      <c r="F115" s="552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51" t="str">
        <f>+VLOOKUP(LEFT($A116,LEN(A116)-1)*1,Master!$D$29:$G$228,4,FALSE)</f>
        <v>Ostali doprinosi</v>
      </c>
      <c r="C116" s="552"/>
      <c r="D116" s="552"/>
      <c r="E116" s="552"/>
      <c r="F116" s="552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57" t="str">
        <f>+VLOOKUP(LEFT($A117,LEN(A117)-1)*1,Master!$D$29:$G$228,4,FALSE)</f>
        <v>Takse</v>
      </c>
      <c r="C117" s="558"/>
      <c r="D117" s="558"/>
      <c r="E117" s="558"/>
      <c r="F117" s="55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57" t="str">
        <f>+VLOOKUP(LEFT($A118,LEN(A118)-1)*1,Master!$D$29:$G$228,4,FALSE)</f>
        <v>Naknade</v>
      </c>
      <c r="C118" s="558"/>
      <c r="D118" s="558"/>
      <c r="E118" s="558"/>
      <c r="F118" s="55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57" t="str">
        <f>+VLOOKUP(LEFT($A119,LEN(A119)-1)*1,Master!$D$29:$G$228,4,FALSE)</f>
        <v>Ostali prihodi</v>
      </c>
      <c r="C119" s="558"/>
      <c r="D119" s="558"/>
      <c r="E119" s="558"/>
      <c r="F119" s="55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57" t="str">
        <f>+VLOOKUP(LEFT($A120,LEN(A120)-1)*1,Master!$D$29:$G$228,4,FALSE)</f>
        <v>Primici od otplate kredita i sredstva prenesena iz prethodne godine</v>
      </c>
      <c r="C120" s="558"/>
      <c r="D120" s="558"/>
      <c r="E120" s="558"/>
      <c r="F120" s="55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53" t="str">
        <f>+VLOOKUP(LEFT($A121,LEN(A121)-1)*1,Master!$D$29:$G$228,4,FALSE)</f>
        <v>Donacije i transferi</v>
      </c>
      <c r="C121" s="554"/>
      <c r="D121" s="554"/>
      <c r="E121" s="554"/>
      <c r="F121" s="554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35" t="str">
        <f>+VLOOKUP(LEFT($A122,LEN(A122)-1)*1,Master!$D$29:$G$228,4,FALSE)</f>
        <v>Izdaci budžeta</v>
      </c>
      <c r="C122" s="536"/>
      <c r="D122" s="536"/>
      <c r="E122" s="536"/>
      <c r="F122" s="536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55" t="str">
        <f>+VLOOKUP(LEFT($A123,LEN(A123)-1)*1,Master!$D$29:$G$228,4,FALSE)</f>
        <v>Tekući izdaci</v>
      </c>
      <c r="C123" s="556"/>
      <c r="D123" s="556"/>
      <c r="E123" s="556"/>
      <c r="F123" s="556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51" t="str">
        <f>+VLOOKUP(LEFT($A124,LEN(A124)-1)*1,Master!$D$29:$G$228,4,FALSE)</f>
        <v>Bruto zarade i doprinosi na teret poslodavca</v>
      </c>
      <c r="C124" s="552"/>
      <c r="D124" s="552"/>
      <c r="E124" s="552"/>
      <c r="F124" s="552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51" t="str">
        <f>+VLOOKUP(LEFT($A125,LEN(A125)-1)*1,Master!$D$29:$G$228,4,FALSE)</f>
        <v>Ostala lična primanja</v>
      </c>
      <c r="C125" s="552"/>
      <c r="D125" s="552"/>
      <c r="E125" s="552"/>
      <c r="F125" s="552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51" t="str">
        <f>+VLOOKUP(LEFT($A126,LEN(A126)-1)*1,Master!$D$29:$G$228,4,FALSE)</f>
        <v>Rashodi za materijal</v>
      </c>
      <c r="C126" s="552"/>
      <c r="D126" s="552"/>
      <c r="E126" s="552"/>
      <c r="F126" s="552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51" t="str">
        <f>+VLOOKUP(LEFT($A127,LEN(A127)-1)*1,Master!$D$29:$G$228,4,FALSE)</f>
        <v>Rashodi za usluge</v>
      </c>
      <c r="C127" s="552"/>
      <c r="D127" s="552"/>
      <c r="E127" s="552"/>
      <c r="F127" s="552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51" t="str">
        <f>+VLOOKUP(LEFT($A128,LEN(A128)-1)*1,Master!$D$29:$G$228,4,FALSE)</f>
        <v>Rashodi za tekuće održavanje</v>
      </c>
      <c r="C128" s="552"/>
      <c r="D128" s="552"/>
      <c r="E128" s="552"/>
      <c r="F128" s="552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51" t="str">
        <f>+VLOOKUP(LEFT($A129,LEN(A129)-1)*1,Master!$D$29:$G$228,4,FALSE)</f>
        <v>Kamate</v>
      </c>
      <c r="C129" s="552"/>
      <c r="D129" s="552"/>
      <c r="E129" s="552"/>
      <c r="F129" s="552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51" t="str">
        <f>+VLOOKUP(LEFT($A130,LEN(A130)-1)*1,Master!$D$29:$G$228,4,FALSE)</f>
        <v>Renta</v>
      </c>
      <c r="C130" s="552"/>
      <c r="D130" s="552"/>
      <c r="E130" s="552"/>
      <c r="F130" s="552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51" t="str">
        <f>+VLOOKUP(LEFT($A131,LEN(A131)-1)*1,Master!$D$29:$G$228,4,FALSE)</f>
        <v>Subvencije</v>
      </c>
      <c r="C131" s="552"/>
      <c r="D131" s="552"/>
      <c r="E131" s="552"/>
      <c r="F131" s="552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51" t="str">
        <f>+VLOOKUP(LEFT($A132,LEN(A132)-1)*1,Master!$D$29:$G$228,4,FALSE)</f>
        <v>Ostali izdaci</v>
      </c>
      <c r="C132" s="552"/>
      <c r="D132" s="552"/>
      <c r="E132" s="552"/>
      <c r="F132" s="552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47" t="str">
        <f>+VLOOKUP(LEFT($A133,LEN(A133)-1)*1,Master!$D$29:$G$228,4,FALSE)</f>
        <v>Transferi za socijalnu zaštitu</v>
      </c>
      <c r="C133" s="548"/>
      <c r="D133" s="548"/>
      <c r="E133" s="548"/>
      <c r="F133" s="54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51" t="str">
        <f>+VLOOKUP(LEFT($A134,LEN(A134)-1)*1,Master!$D$29:$G$228,4,FALSE)</f>
        <v>Prava iz oblasti socijalne zaštite</v>
      </c>
      <c r="C134" s="552"/>
      <c r="D134" s="552"/>
      <c r="E134" s="552"/>
      <c r="F134" s="552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51" t="str">
        <f>+VLOOKUP(LEFT($A135,LEN(A135)-1)*1,Master!$D$29:$G$228,4,FALSE)</f>
        <v>Sredstva za tehnološke viškove</v>
      </c>
      <c r="C135" s="552"/>
      <c r="D135" s="552"/>
      <c r="E135" s="552"/>
      <c r="F135" s="552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51" t="str">
        <f>+VLOOKUP(LEFT($A136,LEN(A136)-1)*1,Master!$D$29:$G$228,4,FALSE)</f>
        <v>Prava iz oblasti penzijskog i invalidskog osiguranja</v>
      </c>
      <c r="C136" s="552"/>
      <c r="D136" s="552"/>
      <c r="E136" s="552"/>
      <c r="F136" s="552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51" t="str">
        <f>+VLOOKUP(LEFT($A137,LEN(A137)-1)*1,Master!$D$29:$G$228,4,FALSE)</f>
        <v>Ostala prava iz oblasti zdravstvene zaštite</v>
      </c>
      <c r="C137" s="552"/>
      <c r="D137" s="552"/>
      <c r="E137" s="552"/>
      <c r="F137" s="552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51" t="str">
        <f>+VLOOKUP(LEFT($A138,LEN(A138)-1)*1,Master!$D$29:$G$228,4,FALSE)</f>
        <v>Ostala prava iz zdravstvenog osiguranja</v>
      </c>
      <c r="C138" s="552"/>
      <c r="D138" s="552"/>
      <c r="E138" s="552"/>
      <c r="F138" s="552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49" t="str">
        <f>+VLOOKUP(LEFT($A139,LEN(A139)-1)*1,Master!$D$29:$G$228,4,FALSE)</f>
        <v xml:space="preserve">Transferi institucijama, pojedincima, nevladinom i javnom sektoru </v>
      </c>
      <c r="C139" s="550"/>
      <c r="D139" s="550"/>
      <c r="E139" s="550"/>
      <c r="F139" s="550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49" t="str">
        <f>+VLOOKUP(LEFT($A140,LEN(A140)-1)*1,Master!$D$29:$G$228,4,FALSE)</f>
        <v>Kapitalni izdaci</v>
      </c>
      <c r="C140" s="550"/>
      <c r="D140" s="550"/>
      <c r="E140" s="550"/>
      <c r="F140" s="550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41" t="str">
        <f>+VLOOKUP(LEFT($A141,LEN(A141)-1)*1,Master!$D$29:$G$228,4,FALSE)</f>
        <v>Pozajmice i krediti</v>
      </c>
      <c r="C141" s="542"/>
      <c r="D141" s="542"/>
      <c r="E141" s="542"/>
      <c r="F141" s="542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41" t="str">
        <f>+VLOOKUP(LEFT($A142,LEN(A142)-1)*1,Master!$D$29:$G$228,4,FALSE)</f>
        <v>Rezerve</v>
      </c>
      <c r="C142" s="542"/>
      <c r="D142" s="542"/>
      <c r="E142" s="542"/>
      <c r="F142" s="542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41" t="str">
        <f>+VLOOKUP(LEFT($A143,LEN(A143)-1)*1,Master!$D$29:$G$228,4,FALSE)</f>
        <v>Otplata garancija</v>
      </c>
      <c r="C143" s="542"/>
      <c r="D143" s="542"/>
      <c r="E143" s="542"/>
      <c r="F143" s="542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41" t="str">
        <f>+VLOOKUP(LEFT($A144,LEN(A144)-1)*1,Master!$D$29:$G$228,4,FALSE)</f>
        <v>Otplata obaveza iz prethodnog perioda</v>
      </c>
      <c r="C144" s="542"/>
      <c r="D144" s="542"/>
      <c r="E144" s="542"/>
      <c r="F144" s="542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41" t="str">
        <f>+VLOOKUP(LEFT($A145,LEN(A145)-1)*1,Master!$D$29:$G$228,4,FALSE)</f>
        <v>Neto povećanje obaveza</v>
      </c>
      <c r="C145" s="542"/>
      <c r="D145" s="542"/>
      <c r="E145" s="542"/>
      <c r="F145" s="542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43" t="str">
        <f>+VLOOKUP(LEFT($A146,LEN(A146)-1)*1,Master!$D$29:$G$225,4,FALSE)</f>
        <v>Suficit / deficit</v>
      </c>
      <c r="C146" s="544"/>
      <c r="D146" s="544"/>
      <c r="E146" s="544"/>
      <c r="F146" s="54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45" t="str">
        <f>+VLOOKUP(LEFT($A147,LEN(A147)-1)*1,Master!$D$29:$G$225,4,FALSE)</f>
        <v>Primarni suficit/deficit</v>
      </c>
      <c r="C147" s="546"/>
      <c r="D147" s="546"/>
      <c r="E147" s="546"/>
      <c r="F147" s="54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47" t="str">
        <f>+VLOOKUP(LEFT($A148,LEN(A148)-1)*1,Master!$D$29:$G$225,4,FALSE)</f>
        <v>Otplata dugova</v>
      </c>
      <c r="C148" s="548"/>
      <c r="D148" s="548"/>
      <c r="E148" s="548"/>
      <c r="F148" s="54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39" t="str">
        <f>+VLOOKUP(LEFT($A149,LEN(A149)-1)*1,Master!$D$29:$G$225,4,FALSE)</f>
        <v>Otplata hartija od vrijednosti i kredita rezidentima</v>
      </c>
      <c r="C149" s="540"/>
      <c r="D149" s="540"/>
      <c r="E149" s="540"/>
      <c r="F149" s="540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41" t="str">
        <f>+VLOOKUP(LEFT($A150,LEN(A150)-1)*1,Master!$D$29:$G$225,4,FALSE)</f>
        <v>Otplata hartija od vrijednosti i kredita nerezidentima</v>
      </c>
      <c r="C150" s="542"/>
      <c r="D150" s="542"/>
      <c r="E150" s="542"/>
      <c r="F150" s="542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35" t="str">
        <f>+VLOOKUP(LEFT($A151,LEN(A151)-1)*1,Master!$D$29:$G$225,4,FALSE)</f>
        <v>Izdaci za kupovinu hartija od vrijednosti</v>
      </c>
      <c r="C151" s="536"/>
      <c r="D151" s="536"/>
      <c r="E151" s="536"/>
      <c r="F151" s="536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37" t="str">
        <f>+VLOOKUP(LEFT($A152,LEN(A152)-1)*1,Master!$D$29:$G$225,4,FALSE)</f>
        <v>Nedostajuća sredstva</v>
      </c>
      <c r="C152" s="538"/>
      <c r="D152" s="538"/>
      <c r="E152" s="538"/>
      <c r="F152" s="538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35" t="str">
        <f>+VLOOKUP(LEFT($A153,LEN(A153)-1)*1,Master!$D$29:$G$225,4,FALSE)</f>
        <v>Finansiranje</v>
      </c>
      <c r="C153" s="536"/>
      <c r="D153" s="536"/>
      <c r="E153" s="536"/>
      <c r="F153" s="536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39" t="str">
        <f>+VLOOKUP(LEFT($A154,LEN(A154)-1)*1,Master!$D$29:$G$225,4,FALSE)</f>
        <v>Pozajmice i krediti od domaćih izvora</v>
      </c>
      <c r="C154" s="540"/>
      <c r="D154" s="540"/>
      <c r="E154" s="540"/>
      <c r="F154" s="540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41" t="str">
        <f>+VLOOKUP(LEFT($A155,LEN(A155)-1)*1,Master!$D$29:$G$225,4,FALSE)</f>
        <v>Pozajmice i krediti od inostranih izvora</v>
      </c>
      <c r="C155" s="542"/>
      <c r="D155" s="542"/>
      <c r="E155" s="542"/>
      <c r="F155" s="542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41" t="str">
        <f>+VLOOKUP(LEFT($A156,LEN(A156)-1)*1,Master!$D$29:$G$225,4,FALSE)</f>
        <v>Primici od prodaje imovine</v>
      </c>
      <c r="C156" s="542"/>
      <c r="D156" s="542"/>
      <c r="E156" s="542"/>
      <c r="F156" s="542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29" activePane="bottomLeft" state="frozen"/>
      <selection pane="bottomLeft" activeCell="R53" sqref="R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90" t="s">
        <v>554</v>
      </c>
      <c r="C7" s="490"/>
      <c r="D7" s="490"/>
      <c r="E7" s="490"/>
      <c r="F7" s="490"/>
      <c r="G7" s="498">
        <v>2019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">
        <v>419</v>
      </c>
      <c r="T7" s="236">
        <v>4951000000</v>
      </c>
    </row>
    <row r="8" spans="1:20" ht="16.5" customHeight="1">
      <c r="A8" s="144"/>
      <c r="B8" s="491"/>
      <c r="C8" s="492"/>
      <c r="D8" s="492"/>
      <c r="E8" s="492"/>
      <c r="F8" s="49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498" t="s">
        <v>809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9" t="s">
        <v>681</v>
      </c>
      <c r="C10" s="510"/>
      <c r="D10" s="510"/>
      <c r="E10" s="510"/>
      <c r="F10" s="510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33" t="s">
        <v>21</v>
      </c>
      <c r="C11" s="534"/>
      <c r="D11" s="534"/>
      <c r="E11" s="534"/>
      <c r="F11" s="53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29" t="s">
        <v>37</v>
      </c>
      <c r="C19" s="530"/>
      <c r="D19" s="530"/>
      <c r="E19" s="530"/>
      <c r="F19" s="53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23" t="s">
        <v>105</v>
      </c>
      <c r="C28" s="524"/>
      <c r="D28" s="524"/>
      <c r="E28" s="524"/>
      <c r="F28" s="524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09" t="s">
        <v>802</v>
      </c>
      <c r="C29" s="510"/>
      <c r="D29" s="510"/>
      <c r="E29" s="510"/>
      <c r="F29" s="510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25" t="s">
        <v>120</v>
      </c>
      <c r="C30" s="526"/>
      <c r="D30" s="526"/>
      <c r="E30" s="526"/>
      <c r="F30" s="526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19" t="s">
        <v>122</v>
      </c>
      <c r="C31" s="520"/>
      <c r="D31" s="520"/>
      <c r="E31" s="520"/>
      <c r="F31" s="52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19" t="s">
        <v>133</v>
      </c>
      <c r="C32" s="520"/>
      <c r="D32" s="520"/>
      <c r="E32" s="520"/>
      <c r="F32" s="52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19" t="s">
        <v>148</v>
      </c>
      <c r="C33" s="520"/>
      <c r="D33" s="520"/>
      <c r="E33" s="520"/>
      <c r="F33" s="52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19" t="s">
        <v>162</v>
      </c>
      <c r="C34" s="520"/>
      <c r="D34" s="520"/>
      <c r="E34" s="520"/>
      <c r="F34" s="52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88" t="s">
        <v>182</v>
      </c>
      <c r="C35" s="589"/>
      <c r="D35" s="589"/>
      <c r="E35" s="589"/>
      <c r="F35" s="589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19" t="s">
        <v>190</v>
      </c>
      <c r="C36" s="520"/>
      <c r="D36" s="520"/>
      <c r="E36" s="520"/>
      <c r="F36" s="52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19" t="s">
        <v>196</v>
      </c>
      <c r="C37" s="520"/>
      <c r="D37" s="520"/>
      <c r="E37" s="520"/>
      <c r="F37" s="52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19" t="s">
        <v>204</v>
      </c>
      <c r="C38" s="520"/>
      <c r="D38" s="520"/>
      <c r="E38" s="520"/>
      <c r="F38" s="52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19" t="s">
        <v>212</v>
      </c>
      <c r="C39" s="520"/>
      <c r="D39" s="520"/>
      <c r="E39" s="520"/>
      <c r="F39" s="52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15" t="s">
        <v>230</v>
      </c>
      <c r="C40" s="516"/>
      <c r="D40" s="516"/>
      <c r="E40" s="516"/>
      <c r="F40" s="516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19" t="s">
        <v>232</v>
      </c>
      <c r="C41" s="520"/>
      <c r="D41" s="520"/>
      <c r="E41" s="520"/>
      <c r="F41" s="52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19" t="s">
        <v>248</v>
      </c>
      <c r="C42" s="520"/>
      <c r="D42" s="520"/>
      <c r="E42" s="520"/>
      <c r="F42" s="52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19" t="s">
        <v>259</v>
      </c>
      <c r="C43" s="520"/>
      <c r="D43" s="520"/>
      <c r="E43" s="520"/>
      <c r="F43" s="52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19" t="s">
        <v>274</v>
      </c>
      <c r="C44" s="520"/>
      <c r="D44" s="520"/>
      <c r="E44" s="520"/>
      <c r="F44" s="52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19" t="s">
        <v>278</v>
      </c>
      <c r="C45" s="520"/>
      <c r="D45" s="520"/>
      <c r="E45" s="520"/>
      <c r="F45" s="52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17" t="s">
        <v>286</v>
      </c>
      <c r="C46" s="518"/>
      <c r="D46" s="518"/>
      <c r="E46" s="518"/>
      <c r="F46" s="518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17" t="s">
        <v>320</v>
      </c>
      <c r="C47" s="518"/>
      <c r="D47" s="518"/>
      <c r="E47" s="518"/>
      <c r="F47" s="518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86" t="s">
        <v>113</v>
      </c>
      <c r="C48" s="587"/>
      <c r="D48" s="587"/>
      <c r="E48" s="587"/>
      <c r="F48" s="587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78" t="s">
        <v>366</v>
      </c>
      <c r="C49" s="579"/>
      <c r="D49" s="579"/>
      <c r="E49" s="579"/>
      <c r="F49" s="579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05" t="s">
        <v>359</v>
      </c>
      <c r="C50" s="506"/>
      <c r="D50" s="506"/>
      <c r="E50" s="506"/>
      <c r="F50" s="50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80" t="s">
        <v>795</v>
      </c>
      <c r="C51" s="581"/>
      <c r="D51" s="581"/>
      <c r="E51" s="581"/>
      <c r="F51" s="581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82" t="s">
        <v>685</v>
      </c>
      <c r="C52" s="583"/>
      <c r="D52" s="583"/>
      <c r="E52" s="583"/>
      <c r="F52" s="583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11" t="s">
        <v>545</v>
      </c>
      <c r="C53" s="512"/>
      <c r="D53" s="512"/>
      <c r="E53" s="512"/>
      <c r="F53" s="512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13" t="s">
        <v>793</v>
      </c>
      <c r="C54" s="514"/>
      <c r="D54" s="514"/>
      <c r="E54" s="514"/>
      <c r="F54" s="514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76" t="s">
        <v>352</v>
      </c>
      <c r="C55" s="577"/>
      <c r="D55" s="577"/>
      <c r="E55" s="577"/>
      <c r="F55" s="577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03" t="s">
        <v>355</v>
      </c>
      <c r="C56" s="504"/>
      <c r="D56" s="504"/>
      <c r="E56" s="504"/>
      <c r="F56" s="504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 ht="13.5" thickBot="1">
      <c r="A57" s="144">
        <v>4612</v>
      </c>
      <c r="B57" s="487" t="s">
        <v>357</v>
      </c>
      <c r="C57" s="488"/>
      <c r="D57" s="488"/>
      <c r="E57" s="488"/>
      <c r="F57" s="48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595" t="s">
        <v>336</v>
      </c>
      <c r="C58" s="596"/>
      <c r="D58" s="596"/>
      <c r="E58" s="596"/>
      <c r="F58" s="596"/>
      <c r="G58" s="193">
        <f>DataEx!FF167</f>
        <v>0</v>
      </c>
      <c r="H58" s="193">
        <f>DataEx!FG167</f>
        <v>35272.089999999997</v>
      </c>
      <c r="I58" s="193">
        <f>DataEx!FH167</f>
        <v>0</v>
      </c>
      <c r="J58" s="193">
        <f>DataEx!FI167</f>
        <v>39948396.369999997</v>
      </c>
      <c r="K58" s="193">
        <f>DataEx!FJ167</f>
        <v>0</v>
      </c>
      <c r="L58" s="193">
        <f>DataEx!FK167</f>
        <v>0</v>
      </c>
      <c r="M58" s="193">
        <f>DataEx!FL167</f>
        <v>0</v>
      </c>
      <c r="N58" s="193">
        <f>DataEx!FM167</f>
        <v>0</v>
      </c>
      <c r="O58" s="193">
        <f>DataEx!FN167</f>
        <v>0</v>
      </c>
      <c r="P58" s="193">
        <f>DataEx!FO167</f>
        <v>0</v>
      </c>
      <c r="Q58" s="193">
        <f>DataEx!FP167</f>
        <v>14495201.140000001</v>
      </c>
      <c r="R58" s="193">
        <f>DataEx!FQ167</f>
        <v>2849828.78</v>
      </c>
      <c r="S58" s="394">
        <f>SUM(G58:R58)</f>
        <v>57328698.380000003</v>
      </c>
      <c r="T58" s="379">
        <f>+S58/$T$7</f>
        <v>1.1579215992728742E-2</v>
      </c>
      <c r="V58" s="319"/>
    </row>
    <row r="59" spans="1:22" ht="13.5" thickBot="1">
      <c r="A59" s="144">
        <v>1002</v>
      </c>
      <c r="B59" s="507" t="s">
        <v>543</v>
      </c>
      <c r="C59" s="508"/>
      <c r="D59" s="508"/>
      <c r="E59" s="508"/>
      <c r="F59" s="508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09" t="s">
        <v>544</v>
      </c>
      <c r="C60" s="510"/>
      <c r="D60" s="510"/>
      <c r="E60" s="510"/>
      <c r="F60" s="510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03" t="s">
        <v>114</v>
      </c>
      <c r="C61" s="504"/>
      <c r="D61" s="504"/>
      <c r="E61" s="504"/>
      <c r="F61" s="504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487" t="s">
        <v>116</v>
      </c>
      <c r="C62" s="488"/>
      <c r="D62" s="488"/>
      <c r="E62" s="488"/>
      <c r="F62" s="48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487" t="s">
        <v>93</v>
      </c>
      <c r="C63" s="488"/>
      <c r="D63" s="488"/>
      <c r="E63" s="488"/>
      <c r="F63" s="48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65" t="s">
        <v>552</v>
      </c>
      <c r="C100" s="566"/>
      <c r="D100" s="566"/>
      <c r="E100" s="566"/>
      <c r="F100" s="566"/>
      <c r="G100" s="573">
        <v>2019</v>
      </c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5"/>
      <c r="S100" s="107" t="str">
        <f>+S7</f>
        <v>BDP</v>
      </c>
      <c r="T100" s="108">
        <f>+T7</f>
        <v>4951000000</v>
      </c>
    </row>
    <row r="101" spans="1:21" ht="15.75" customHeight="1">
      <c r="B101" s="567"/>
      <c r="C101" s="568"/>
      <c r="D101" s="568"/>
      <c r="E101" s="568"/>
      <c r="F101" s="56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3" t="s">
        <v>809</v>
      </c>
      <c r="T101" s="575">
        <f>+T8</f>
        <v>0</v>
      </c>
    </row>
    <row r="102" spans="1:21" ht="13.5" thickBot="1">
      <c r="B102" s="570"/>
      <c r="C102" s="571"/>
      <c r="D102" s="571"/>
      <c r="E102" s="571"/>
      <c r="F102" s="57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61" t="s">
        <v>681</v>
      </c>
      <c r="C103" s="562"/>
      <c r="D103" s="562"/>
      <c r="E103" s="562"/>
      <c r="F103" s="562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63" t="s">
        <v>21</v>
      </c>
      <c r="C104" s="564"/>
      <c r="D104" s="564"/>
      <c r="E104" s="564"/>
      <c r="F104" s="564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51" t="s">
        <v>23</v>
      </c>
      <c r="C105" s="552"/>
      <c r="D105" s="552"/>
      <c r="E105" s="552"/>
      <c r="F105" s="552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51" t="s">
        <v>25</v>
      </c>
      <c r="C106" s="552"/>
      <c r="D106" s="552"/>
      <c r="E106" s="552"/>
      <c r="F106" s="552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51" t="s">
        <v>27</v>
      </c>
      <c r="C107" s="552"/>
      <c r="D107" s="552"/>
      <c r="E107" s="552"/>
      <c r="F107" s="552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51" t="s">
        <v>29</v>
      </c>
      <c r="C108" s="552"/>
      <c r="D108" s="552"/>
      <c r="E108" s="552"/>
      <c r="F108" s="552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51" t="s">
        <v>31</v>
      </c>
      <c r="C109" s="552"/>
      <c r="D109" s="552"/>
      <c r="E109" s="552"/>
      <c r="F109" s="552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51" t="s">
        <v>33</v>
      </c>
      <c r="C110" s="552"/>
      <c r="D110" s="552"/>
      <c r="E110" s="552"/>
      <c r="F110" s="552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51" t="s">
        <v>722</v>
      </c>
      <c r="C111" s="552"/>
      <c r="D111" s="552"/>
      <c r="E111" s="552"/>
      <c r="F111" s="552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59" t="s">
        <v>37</v>
      </c>
      <c r="C112" s="560"/>
      <c r="D112" s="560"/>
      <c r="E112" s="560"/>
      <c r="F112" s="560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51" t="s">
        <v>39</v>
      </c>
      <c r="C113" s="552"/>
      <c r="D113" s="552"/>
      <c r="E113" s="552"/>
      <c r="F113" s="552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51" t="s">
        <v>41</v>
      </c>
      <c r="C114" s="552"/>
      <c r="D114" s="552"/>
      <c r="E114" s="552"/>
      <c r="F114" s="552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51" t="s">
        <v>43</v>
      </c>
      <c r="C115" s="552"/>
      <c r="D115" s="552"/>
      <c r="E115" s="552"/>
      <c r="F115" s="552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51" t="s">
        <v>45</v>
      </c>
      <c r="C116" s="552"/>
      <c r="D116" s="552"/>
      <c r="E116" s="552"/>
      <c r="F116" s="552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57" t="s">
        <v>47</v>
      </c>
      <c r="C117" s="558"/>
      <c r="D117" s="558"/>
      <c r="E117" s="558"/>
      <c r="F117" s="55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57" t="s">
        <v>61</v>
      </c>
      <c r="C118" s="558"/>
      <c r="D118" s="558"/>
      <c r="E118" s="558"/>
      <c r="F118" s="55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57" t="s">
        <v>81</v>
      </c>
      <c r="C119" s="558"/>
      <c r="D119" s="558"/>
      <c r="E119" s="558"/>
      <c r="F119" s="55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57" t="s">
        <v>99</v>
      </c>
      <c r="C120" s="558"/>
      <c r="D120" s="558"/>
      <c r="E120" s="558"/>
      <c r="F120" s="55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53" t="s">
        <v>105</v>
      </c>
      <c r="C121" s="554"/>
      <c r="D121" s="554"/>
      <c r="E121" s="554"/>
      <c r="F121" s="554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35" t="s">
        <v>811</v>
      </c>
      <c r="C122" s="536"/>
      <c r="D122" s="536"/>
      <c r="E122" s="536"/>
      <c r="F122" s="536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593" t="s">
        <v>774</v>
      </c>
      <c r="C123" s="594"/>
      <c r="D123" s="594"/>
      <c r="E123" s="594"/>
      <c r="F123" s="594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55" t="e">
        <v>#REF!</v>
      </c>
      <c r="C124" s="556"/>
      <c r="D124" s="556"/>
      <c r="E124" s="556"/>
      <c r="F124" s="556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51" t="s">
        <v>122</v>
      </c>
      <c r="C125" s="552"/>
      <c r="D125" s="552"/>
      <c r="E125" s="552"/>
      <c r="F125" s="552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51" t="s">
        <v>133</v>
      </c>
      <c r="C126" s="552"/>
      <c r="D126" s="552"/>
      <c r="E126" s="552"/>
      <c r="F126" s="552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51" t="s">
        <v>148</v>
      </c>
      <c r="C127" s="552"/>
      <c r="D127" s="552"/>
      <c r="E127" s="552"/>
      <c r="F127" s="552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51" t="s">
        <v>162</v>
      </c>
      <c r="C128" s="552"/>
      <c r="D128" s="552"/>
      <c r="E128" s="552"/>
      <c r="F128" s="552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51" t="s">
        <v>182</v>
      </c>
      <c r="C129" s="552"/>
      <c r="D129" s="552"/>
      <c r="E129" s="552"/>
      <c r="F129" s="552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51" t="s">
        <v>190</v>
      </c>
      <c r="C130" s="552"/>
      <c r="D130" s="552"/>
      <c r="E130" s="552"/>
      <c r="F130" s="552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51" t="s">
        <v>196</v>
      </c>
      <c r="C131" s="552"/>
      <c r="D131" s="552"/>
      <c r="E131" s="552"/>
      <c r="F131" s="552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51" t="s">
        <v>204</v>
      </c>
      <c r="C132" s="552"/>
      <c r="D132" s="552"/>
      <c r="E132" s="552"/>
      <c r="F132" s="552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51" t="s">
        <v>212</v>
      </c>
      <c r="C133" s="552"/>
      <c r="D133" s="552"/>
      <c r="E133" s="552"/>
      <c r="F133" s="552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51" t="e">
        <v>#REF!</v>
      </c>
      <c r="C134" s="552"/>
      <c r="D134" s="552"/>
      <c r="E134" s="552"/>
      <c r="F134" s="552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47" t="s">
        <v>230</v>
      </c>
      <c r="C135" s="548"/>
      <c r="D135" s="548"/>
      <c r="E135" s="548"/>
      <c r="F135" s="54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51" t="s">
        <v>232</v>
      </c>
      <c r="C136" s="552"/>
      <c r="D136" s="552"/>
      <c r="E136" s="552"/>
      <c r="F136" s="552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51" t="s">
        <v>248</v>
      </c>
      <c r="C137" s="552"/>
      <c r="D137" s="552"/>
      <c r="E137" s="552"/>
      <c r="F137" s="552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51" t="s">
        <v>259</v>
      </c>
      <c r="C138" s="552"/>
      <c r="D138" s="552"/>
      <c r="E138" s="552"/>
      <c r="F138" s="552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51" t="s">
        <v>274</v>
      </c>
      <c r="C139" s="552"/>
      <c r="D139" s="552"/>
      <c r="E139" s="552"/>
      <c r="F139" s="552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51" t="s">
        <v>278</v>
      </c>
      <c r="C140" s="552"/>
      <c r="D140" s="552"/>
      <c r="E140" s="552"/>
      <c r="F140" s="552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49" t="s">
        <v>286</v>
      </c>
      <c r="C141" s="550"/>
      <c r="D141" s="550"/>
      <c r="E141" s="550"/>
      <c r="F141" s="550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49" t="s">
        <v>812</v>
      </c>
      <c r="C142" s="550"/>
      <c r="D142" s="550"/>
      <c r="E142" s="550"/>
      <c r="F142" s="550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41" t="s">
        <v>113</v>
      </c>
      <c r="C143" s="542"/>
      <c r="D143" s="542"/>
      <c r="E143" s="542"/>
      <c r="F143" s="542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41" t="s">
        <v>366</v>
      </c>
      <c r="C144" s="542"/>
      <c r="D144" s="542"/>
      <c r="E144" s="542"/>
      <c r="F144" s="542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41" t="s">
        <v>359</v>
      </c>
      <c r="C145" s="542"/>
      <c r="D145" s="542"/>
      <c r="E145" s="542"/>
      <c r="F145" s="542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41" t="s">
        <v>365</v>
      </c>
      <c r="C146" s="542"/>
      <c r="D146" s="542"/>
      <c r="E146" s="542"/>
      <c r="F146" s="542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591" t="s">
        <v>686</v>
      </c>
      <c r="C147" s="592"/>
      <c r="D147" s="592"/>
      <c r="E147" s="592"/>
      <c r="F147" s="59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43" t="s">
        <v>545</v>
      </c>
      <c r="C148" s="544"/>
      <c r="D148" s="544"/>
      <c r="E148" s="544"/>
      <c r="F148" s="54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45" t="s">
        <v>813</v>
      </c>
      <c r="C149" s="546"/>
      <c r="D149" s="546"/>
      <c r="E149" s="546"/>
      <c r="F149" s="54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47" t="s">
        <v>352</v>
      </c>
      <c r="C150" s="548"/>
      <c r="D150" s="548"/>
      <c r="E150" s="548"/>
      <c r="F150" s="54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39" t="s">
        <v>355</v>
      </c>
      <c r="C151" s="540"/>
      <c r="D151" s="540"/>
      <c r="E151" s="540"/>
      <c r="F151" s="540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 ht="13.5" thickBot="1">
      <c r="A152" s="117" t="str">
        <f>+CONCATENATE(A57,"p")</f>
        <v>4612p</v>
      </c>
      <c r="B152" s="541" t="s">
        <v>357</v>
      </c>
      <c r="C152" s="542"/>
      <c r="D152" s="542"/>
      <c r="E152" s="542"/>
      <c r="F152" s="542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523" t="s">
        <v>770</v>
      </c>
      <c r="C153" s="524"/>
      <c r="D153" s="524"/>
      <c r="E153" s="524"/>
      <c r="F153" s="524"/>
      <c r="G153" s="94">
        <v>26666.67</v>
      </c>
      <c r="H153" s="94">
        <v>26666.67</v>
      </c>
      <c r="I153" s="94">
        <v>26666.67</v>
      </c>
      <c r="J153" s="94">
        <v>39926666.670000002</v>
      </c>
      <c r="K153" s="94">
        <v>26666.67</v>
      </c>
      <c r="L153" s="94">
        <v>26666.67</v>
      </c>
      <c r="M153" s="94">
        <v>26666.67</v>
      </c>
      <c r="N153" s="94">
        <v>26666.67</v>
      </c>
      <c r="O153" s="94">
        <v>26666.67</v>
      </c>
      <c r="P153" s="94">
        <v>26666.67</v>
      </c>
      <c r="Q153" s="94">
        <v>26666.67</v>
      </c>
      <c r="R153" s="94">
        <v>26666.63</v>
      </c>
      <c r="S153" s="407">
        <f t="shared" si="19"/>
        <v>40220000.000000015</v>
      </c>
      <c r="T153" s="420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37" t="s">
        <v>543</v>
      </c>
      <c r="C154" s="538"/>
      <c r="D154" s="538"/>
      <c r="E154" s="538"/>
      <c r="F154" s="538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35" t="s">
        <v>544</v>
      </c>
      <c r="C155" s="536"/>
      <c r="D155" s="536"/>
      <c r="E155" s="536"/>
      <c r="F155" s="536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39" t="s">
        <v>114</v>
      </c>
      <c r="C156" s="540"/>
      <c r="D156" s="540"/>
      <c r="E156" s="540"/>
      <c r="F156" s="540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41" t="s">
        <v>116</v>
      </c>
      <c r="C157" s="542"/>
      <c r="D157" s="542"/>
      <c r="E157" s="542"/>
      <c r="F157" s="542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41" t="s">
        <v>93</v>
      </c>
      <c r="C158" s="542"/>
      <c r="D158" s="542"/>
      <c r="E158" s="542"/>
      <c r="F158" s="542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8" activePane="bottomLeft" state="frozen"/>
      <selection pane="bottomLeft" activeCell="R32" sqref="R32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90" t="s">
        <v>554</v>
      </c>
      <c r="C7" s="490"/>
      <c r="D7" s="490"/>
      <c r="E7" s="490"/>
      <c r="F7" s="490"/>
      <c r="G7" s="498">
        <v>2018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">
        <v>419</v>
      </c>
      <c r="T7" s="236">
        <v>4663130000</v>
      </c>
    </row>
    <row r="8" spans="1:20" ht="16.5" customHeight="1">
      <c r="A8" s="144"/>
      <c r="B8" s="491"/>
      <c r="C8" s="492"/>
      <c r="D8" s="492"/>
      <c r="E8" s="492"/>
      <c r="F8" s="49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498" t="s">
        <v>809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31" t="s">
        <v>681</v>
      </c>
      <c r="C10" s="532"/>
      <c r="D10" s="532"/>
      <c r="E10" s="532"/>
      <c r="F10" s="53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33" t="s">
        <v>21</v>
      </c>
      <c r="C11" s="534"/>
      <c r="D11" s="534"/>
      <c r="E11" s="534"/>
      <c r="F11" s="53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29" t="s">
        <v>37</v>
      </c>
      <c r="C19" s="530"/>
      <c r="D19" s="530"/>
      <c r="E19" s="530"/>
      <c r="F19" s="53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23" t="s">
        <v>105</v>
      </c>
      <c r="C28" s="524"/>
      <c r="D28" s="524"/>
      <c r="E28" s="524"/>
      <c r="F28" s="524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09" t="s">
        <v>802</v>
      </c>
      <c r="C29" s="510"/>
      <c r="D29" s="510"/>
      <c r="E29" s="510"/>
      <c r="F29" s="510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25" t="s">
        <v>774</v>
      </c>
      <c r="C30" s="526"/>
      <c r="D30" s="526"/>
      <c r="E30" s="526"/>
      <c r="F30" s="52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27" t="s">
        <v>120</v>
      </c>
      <c r="C31" s="528"/>
      <c r="D31" s="528"/>
      <c r="E31" s="528"/>
      <c r="F31" s="52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19" t="s">
        <v>122</v>
      </c>
      <c r="C32" s="520"/>
      <c r="D32" s="520"/>
      <c r="E32" s="520"/>
      <c r="F32" s="52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19" t="s">
        <v>133</v>
      </c>
      <c r="C33" s="520"/>
      <c r="D33" s="520"/>
      <c r="E33" s="520"/>
      <c r="F33" s="52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19" t="s">
        <v>148</v>
      </c>
      <c r="C34" s="520"/>
      <c r="D34" s="520"/>
      <c r="E34" s="520"/>
      <c r="F34" s="52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19" t="s">
        <v>162</v>
      </c>
      <c r="C35" s="520"/>
      <c r="D35" s="520"/>
      <c r="E35" s="520"/>
      <c r="F35" s="52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19" t="s">
        <v>182</v>
      </c>
      <c r="C36" s="520"/>
      <c r="D36" s="520"/>
      <c r="E36" s="520"/>
      <c r="F36" s="52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19" t="s">
        <v>190</v>
      </c>
      <c r="C37" s="520"/>
      <c r="D37" s="520"/>
      <c r="E37" s="520"/>
      <c r="F37" s="52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19" t="s">
        <v>196</v>
      </c>
      <c r="C38" s="520"/>
      <c r="D38" s="520"/>
      <c r="E38" s="520"/>
      <c r="F38" s="52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19" t="s">
        <v>204</v>
      </c>
      <c r="C39" s="520"/>
      <c r="D39" s="520"/>
      <c r="E39" s="520"/>
      <c r="F39" s="52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19" t="s">
        <v>212</v>
      </c>
      <c r="C40" s="520"/>
      <c r="D40" s="520"/>
      <c r="E40" s="520"/>
      <c r="F40" s="52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19" t="s">
        <v>803</v>
      </c>
      <c r="C41" s="520"/>
      <c r="D41" s="520"/>
      <c r="E41" s="520"/>
      <c r="F41" s="52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15" t="s">
        <v>230</v>
      </c>
      <c r="C42" s="516"/>
      <c r="D42" s="516"/>
      <c r="E42" s="516"/>
      <c r="F42" s="51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19" t="s">
        <v>232</v>
      </c>
      <c r="C43" s="520"/>
      <c r="D43" s="520"/>
      <c r="E43" s="520"/>
      <c r="F43" s="52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19" t="s">
        <v>248</v>
      </c>
      <c r="C44" s="520"/>
      <c r="D44" s="520"/>
      <c r="E44" s="520"/>
      <c r="F44" s="52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19" t="s">
        <v>259</v>
      </c>
      <c r="C45" s="520"/>
      <c r="D45" s="520"/>
      <c r="E45" s="520"/>
      <c r="F45" s="52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19" t="s">
        <v>274</v>
      </c>
      <c r="C46" s="520"/>
      <c r="D46" s="520"/>
      <c r="E46" s="520"/>
      <c r="F46" s="52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597" t="s">
        <v>278</v>
      </c>
      <c r="C47" s="598"/>
      <c r="D47" s="598"/>
      <c r="E47" s="598"/>
      <c r="F47" s="59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17" t="s">
        <v>286</v>
      </c>
      <c r="C48" s="518"/>
      <c r="D48" s="518"/>
      <c r="E48" s="518"/>
      <c r="F48" s="518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17" t="s">
        <v>320</v>
      </c>
      <c r="C49" s="518"/>
      <c r="D49" s="518"/>
      <c r="E49" s="518"/>
      <c r="F49" s="518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86" t="s">
        <v>113</v>
      </c>
      <c r="C50" s="587"/>
      <c r="D50" s="587"/>
      <c r="E50" s="587"/>
      <c r="F50" s="587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487" t="s">
        <v>366</v>
      </c>
      <c r="C51" s="488"/>
      <c r="D51" s="488"/>
      <c r="E51" s="488"/>
      <c r="F51" s="48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05" t="s">
        <v>359</v>
      </c>
      <c r="C52" s="506"/>
      <c r="D52" s="506"/>
      <c r="E52" s="506"/>
      <c r="F52" s="50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80" t="s">
        <v>795</v>
      </c>
      <c r="C53" s="581"/>
      <c r="D53" s="581"/>
      <c r="E53" s="581"/>
      <c r="F53" s="581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82" t="s">
        <v>685</v>
      </c>
      <c r="C54" s="583"/>
      <c r="D54" s="583"/>
      <c r="E54" s="583"/>
      <c r="F54" s="583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11" t="s">
        <v>545</v>
      </c>
      <c r="C55" s="512"/>
      <c r="D55" s="512"/>
      <c r="E55" s="512"/>
      <c r="F55" s="51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13" t="s">
        <v>794</v>
      </c>
      <c r="C57" s="514"/>
      <c r="D57" s="514"/>
      <c r="E57" s="514"/>
      <c r="F57" s="51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76" t="s">
        <v>352</v>
      </c>
      <c r="C58" s="577"/>
      <c r="D58" s="577"/>
      <c r="E58" s="577"/>
      <c r="F58" s="577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03" t="s">
        <v>355</v>
      </c>
      <c r="C59" s="504"/>
      <c r="D59" s="504"/>
      <c r="E59" s="504"/>
      <c r="F59" s="504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487" t="s">
        <v>357</v>
      </c>
      <c r="C60" s="488"/>
      <c r="D60" s="488"/>
      <c r="E60" s="488"/>
      <c r="F60" s="48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595" t="s">
        <v>336</v>
      </c>
      <c r="C61" s="596"/>
      <c r="D61" s="596"/>
      <c r="E61" s="596"/>
      <c r="F61" s="59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07" t="s">
        <v>543</v>
      </c>
      <c r="C62" s="508"/>
      <c r="D62" s="508"/>
      <c r="E62" s="508"/>
      <c r="F62" s="508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09" t="s">
        <v>544</v>
      </c>
      <c r="C63" s="510"/>
      <c r="D63" s="510"/>
      <c r="E63" s="510"/>
      <c r="F63" s="510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03" t="s">
        <v>114</v>
      </c>
      <c r="C64" s="504"/>
      <c r="D64" s="504"/>
      <c r="E64" s="504"/>
      <c r="F64" s="504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487" t="s">
        <v>116</v>
      </c>
      <c r="C65" s="488"/>
      <c r="D65" s="488"/>
      <c r="E65" s="488"/>
      <c r="F65" s="48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487" t="s">
        <v>93</v>
      </c>
      <c r="C66" s="488"/>
      <c r="D66" s="488"/>
      <c r="E66" s="488"/>
      <c r="F66" s="48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65" t="s">
        <v>552</v>
      </c>
      <c r="C103" s="566"/>
      <c r="D103" s="566"/>
      <c r="E103" s="566"/>
      <c r="F103" s="566"/>
      <c r="G103" s="573">
        <v>2018</v>
      </c>
      <c r="H103" s="574"/>
      <c r="I103" s="574"/>
      <c r="J103" s="574"/>
      <c r="K103" s="574"/>
      <c r="L103" s="574"/>
      <c r="M103" s="574"/>
      <c r="N103" s="574"/>
      <c r="O103" s="574"/>
      <c r="P103" s="574"/>
      <c r="Q103" s="574"/>
      <c r="R103" s="575"/>
      <c r="S103" s="107" t="str">
        <f>+S7</f>
        <v>BDP</v>
      </c>
      <c r="T103" s="108">
        <f>+T7</f>
        <v>4663130000</v>
      </c>
    </row>
    <row r="104" spans="1:21" ht="15.75" customHeight="1">
      <c r="B104" s="567"/>
      <c r="C104" s="568"/>
      <c r="D104" s="568"/>
      <c r="E104" s="568"/>
      <c r="F104" s="56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73" t="s">
        <v>809</v>
      </c>
      <c r="T104" s="575">
        <f>+T8</f>
        <v>0</v>
      </c>
    </row>
    <row r="105" spans="1:21" ht="13.5" thickBot="1">
      <c r="B105" s="570"/>
      <c r="C105" s="571"/>
      <c r="D105" s="571"/>
      <c r="E105" s="571"/>
      <c r="F105" s="57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61" t="s">
        <v>681</v>
      </c>
      <c r="C106" s="562"/>
      <c r="D106" s="562"/>
      <c r="E106" s="562"/>
      <c r="F106" s="562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63" t="s">
        <v>21</v>
      </c>
      <c r="C107" s="564"/>
      <c r="D107" s="564"/>
      <c r="E107" s="564"/>
      <c r="F107" s="564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51" t="s">
        <v>23</v>
      </c>
      <c r="C108" s="552"/>
      <c r="D108" s="552"/>
      <c r="E108" s="552"/>
      <c r="F108" s="552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51" t="s">
        <v>25</v>
      </c>
      <c r="C109" s="552"/>
      <c r="D109" s="552"/>
      <c r="E109" s="552"/>
      <c r="F109" s="552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51" t="s">
        <v>27</v>
      </c>
      <c r="C110" s="552"/>
      <c r="D110" s="552"/>
      <c r="E110" s="552"/>
      <c r="F110" s="552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51" t="s">
        <v>29</v>
      </c>
      <c r="C111" s="552"/>
      <c r="D111" s="552"/>
      <c r="E111" s="552"/>
      <c r="F111" s="552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51" t="s">
        <v>31</v>
      </c>
      <c r="C112" s="552"/>
      <c r="D112" s="552"/>
      <c r="E112" s="552"/>
      <c r="F112" s="552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51" t="s">
        <v>33</v>
      </c>
      <c r="C113" s="552"/>
      <c r="D113" s="552"/>
      <c r="E113" s="552"/>
      <c r="F113" s="552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51" t="s">
        <v>722</v>
      </c>
      <c r="C114" s="552"/>
      <c r="D114" s="552"/>
      <c r="E114" s="552"/>
      <c r="F114" s="552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59" t="s">
        <v>37</v>
      </c>
      <c r="C115" s="560"/>
      <c r="D115" s="560"/>
      <c r="E115" s="560"/>
      <c r="F115" s="56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51" t="s">
        <v>39</v>
      </c>
      <c r="C116" s="552"/>
      <c r="D116" s="552"/>
      <c r="E116" s="552"/>
      <c r="F116" s="552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51" t="s">
        <v>41</v>
      </c>
      <c r="C117" s="552"/>
      <c r="D117" s="552"/>
      <c r="E117" s="552"/>
      <c r="F117" s="552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51" t="s">
        <v>43</v>
      </c>
      <c r="C118" s="552"/>
      <c r="D118" s="552"/>
      <c r="E118" s="552"/>
      <c r="F118" s="552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51" t="s">
        <v>45</v>
      </c>
      <c r="C119" s="552"/>
      <c r="D119" s="552"/>
      <c r="E119" s="552"/>
      <c r="F119" s="552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57" t="s">
        <v>47</v>
      </c>
      <c r="C120" s="558"/>
      <c r="D120" s="558"/>
      <c r="E120" s="558"/>
      <c r="F120" s="55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57" t="s">
        <v>61</v>
      </c>
      <c r="C121" s="558"/>
      <c r="D121" s="558"/>
      <c r="E121" s="558"/>
      <c r="F121" s="55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57" t="s">
        <v>81</v>
      </c>
      <c r="C122" s="558"/>
      <c r="D122" s="558"/>
      <c r="E122" s="558"/>
      <c r="F122" s="55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57" t="s">
        <v>99</v>
      </c>
      <c r="C123" s="558"/>
      <c r="D123" s="558"/>
      <c r="E123" s="558"/>
      <c r="F123" s="55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53" t="s">
        <v>105</v>
      </c>
      <c r="C124" s="554"/>
      <c r="D124" s="554"/>
      <c r="E124" s="554"/>
      <c r="F124" s="554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35" t="s">
        <v>811</v>
      </c>
      <c r="C125" s="536"/>
      <c r="D125" s="536"/>
      <c r="E125" s="536"/>
      <c r="F125" s="536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593" t="s">
        <v>774</v>
      </c>
      <c r="C126" s="594"/>
      <c r="D126" s="594"/>
      <c r="E126" s="594"/>
      <c r="F126" s="59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55" t="s">
        <v>120</v>
      </c>
      <c r="C127" s="556"/>
      <c r="D127" s="556"/>
      <c r="E127" s="556"/>
      <c r="F127" s="556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51" t="s">
        <v>122</v>
      </c>
      <c r="C128" s="552"/>
      <c r="D128" s="552"/>
      <c r="E128" s="552"/>
      <c r="F128" s="552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51" t="s">
        <v>133</v>
      </c>
      <c r="C129" s="552"/>
      <c r="D129" s="552"/>
      <c r="E129" s="552"/>
      <c r="F129" s="552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51" t="s">
        <v>148</v>
      </c>
      <c r="C130" s="552"/>
      <c r="D130" s="552"/>
      <c r="E130" s="552"/>
      <c r="F130" s="552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51" t="s">
        <v>162</v>
      </c>
      <c r="C131" s="552"/>
      <c r="D131" s="552"/>
      <c r="E131" s="552"/>
      <c r="F131" s="552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51" t="s">
        <v>182</v>
      </c>
      <c r="C132" s="552"/>
      <c r="D132" s="552"/>
      <c r="E132" s="552"/>
      <c r="F132" s="552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51" t="s">
        <v>190</v>
      </c>
      <c r="C133" s="552"/>
      <c r="D133" s="552"/>
      <c r="E133" s="552"/>
      <c r="F133" s="552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51" t="s">
        <v>196</v>
      </c>
      <c r="C134" s="552"/>
      <c r="D134" s="552"/>
      <c r="E134" s="552"/>
      <c r="F134" s="552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51" t="s">
        <v>204</v>
      </c>
      <c r="C135" s="552"/>
      <c r="D135" s="552"/>
      <c r="E135" s="552"/>
      <c r="F135" s="552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51" t="s">
        <v>212</v>
      </c>
      <c r="C136" s="552"/>
      <c r="D136" s="552"/>
      <c r="E136" s="552"/>
      <c r="F136" s="552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51" t="s">
        <v>803</v>
      </c>
      <c r="C137" s="552"/>
      <c r="D137" s="552"/>
      <c r="E137" s="552"/>
      <c r="F137" s="552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47" t="s">
        <v>230</v>
      </c>
      <c r="C138" s="548"/>
      <c r="D138" s="548"/>
      <c r="E138" s="548"/>
      <c r="F138" s="54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51" t="s">
        <v>232</v>
      </c>
      <c r="C139" s="552"/>
      <c r="D139" s="552"/>
      <c r="E139" s="552"/>
      <c r="F139" s="552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51" t="s">
        <v>248</v>
      </c>
      <c r="C140" s="552"/>
      <c r="D140" s="552"/>
      <c r="E140" s="552"/>
      <c r="F140" s="552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51" t="s">
        <v>259</v>
      </c>
      <c r="C141" s="552"/>
      <c r="D141" s="552"/>
      <c r="E141" s="552"/>
      <c r="F141" s="552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51" t="s">
        <v>274</v>
      </c>
      <c r="C142" s="552"/>
      <c r="D142" s="552"/>
      <c r="E142" s="552"/>
      <c r="F142" s="552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51" t="s">
        <v>278</v>
      </c>
      <c r="C143" s="552"/>
      <c r="D143" s="552"/>
      <c r="E143" s="552"/>
      <c r="F143" s="552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49" t="s">
        <v>286</v>
      </c>
      <c r="C144" s="550"/>
      <c r="D144" s="550"/>
      <c r="E144" s="550"/>
      <c r="F144" s="550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49" t="s">
        <v>812</v>
      </c>
      <c r="C145" s="550"/>
      <c r="D145" s="550"/>
      <c r="E145" s="550"/>
      <c r="F145" s="550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41" t="s">
        <v>113</v>
      </c>
      <c r="C146" s="542"/>
      <c r="D146" s="542"/>
      <c r="E146" s="542"/>
      <c r="F146" s="542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41" t="s">
        <v>366</v>
      </c>
      <c r="C147" s="542"/>
      <c r="D147" s="542"/>
      <c r="E147" s="542"/>
      <c r="F147" s="542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41" t="s">
        <v>359</v>
      </c>
      <c r="C148" s="542"/>
      <c r="D148" s="542"/>
      <c r="E148" s="542"/>
      <c r="F148" s="542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43" t="s">
        <v>545</v>
      </c>
      <c r="C150" s="544"/>
      <c r="D150" s="544"/>
      <c r="E150" s="544"/>
      <c r="F150" s="54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45" t="s">
        <v>813</v>
      </c>
      <c r="C151" s="546"/>
      <c r="D151" s="546"/>
      <c r="E151" s="546"/>
      <c r="F151" s="54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47" t="s">
        <v>352</v>
      </c>
      <c r="C152" s="548"/>
      <c r="D152" s="548"/>
      <c r="E152" s="548"/>
      <c r="F152" s="54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39" t="s">
        <v>355</v>
      </c>
      <c r="C153" s="540"/>
      <c r="D153" s="540"/>
      <c r="E153" s="540"/>
      <c r="F153" s="540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41" t="s">
        <v>357</v>
      </c>
      <c r="C154" s="542"/>
      <c r="D154" s="542"/>
      <c r="E154" s="542"/>
      <c r="F154" s="542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41" t="s">
        <v>365</v>
      </c>
      <c r="C155" s="542"/>
      <c r="D155" s="542"/>
      <c r="E155" s="542"/>
      <c r="F155" s="542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37" t="s">
        <v>543</v>
      </c>
      <c r="C157" s="538"/>
      <c r="D157" s="538"/>
      <c r="E157" s="538"/>
      <c r="F157" s="538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35" t="s">
        <v>544</v>
      </c>
      <c r="C158" s="536"/>
      <c r="D158" s="536"/>
      <c r="E158" s="536"/>
      <c r="F158" s="536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39" t="s">
        <v>114</v>
      </c>
      <c r="C159" s="540"/>
      <c r="D159" s="540"/>
      <c r="E159" s="540"/>
      <c r="F159" s="540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41" t="s">
        <v>116</v>
      </c>
      <c r="C160" s="542"/>
      <c r="D160" s="542"/>
      <c r="E160" s="542"/>
      <c r="F160" s="542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41" t="s">
        <v>93</v>
      </c>
      <c r="C161" s="542"/>
      <c r="D161" s="542"/>
      <c r="E161" s="542"/>
      <c r="F161" s="542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48" activePane="bottomRight" state="frozen"/>
      <selection pane="topRight" activeCell="F1" sqref="F1"/>
      <selection pane="bottomLeft" activeCell="A8" sqref="A8"/>
      <selection pane="bottomRight" activeCell="FR55" sqref="FR55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02" t="s">
        <v>555</v>
      </c>
      <c r="F6" s="599">
        <v>2006</v>
      </c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1"/>
      <c r="R6" s="599">
        <v>2007</v>
      </c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1"/>
      <c r="AD6" s="599">
        <v>2008</v>
      </c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1"/>
      <c r="AP6" s="599">
        <v>2009</v>
      </c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1"/>
      <c r="BB6" s="599">
        <v>2010</v>
      </c>
      <c r="BC6" s="600"/>
      <c r="BD6" s="600"/>
      <c r="BE6" s="600"/>
      <c r="BF6" s="600"/>
      <c r="BG6" s="600"/>
      <c r="BH6" s="600"/>
      <c r="BI6" s="600"/>
      <c r="BJ6" s="600"/>
      <c r="BK6" s="600"/>
      <c r="BL6" s="600"/>
      <c r="BM6" s="601"/>
      <c r="BN6" s="599">
        <v>2011</v>
      </c>
      <c r="BO6" s="600"/>
      <c r="BP6" s="600"/>
      <c r="BQ6" s="600"/>
      <c r="BR6" s="600"/>
      <c r="BS6" s="600"/>
      <c r="BT6" s="600"/>
      <c r="BU6" s="600"/>
      <c r="BV6" s="600"/>
      <c r="BW6" s="600"/>
      <c r="BX6" s="600"/>
      <c r="BY6" s="601"/>
      <c r="BZ6" s="600">
        <v>2012</v>
      </c>
      <c r="CA6" s="600"/>
      <c r="CB6" s="600"/>
      <c r="CC6" s="600"/>
      <c r="CD6" s="600"/>
      <c r="CE6" s="600"/>
      <c r="CF6" s="600"/>
      <c r="CG6" s="600"/>
      <c r="CH6" s="600"/>
      <c r="CI6" s="600"/>
      <c r="CJ6" s="600"/>
      <c r="CK6" s="600"/>
      <c r="CL6" s="599">
        <v>2013</v>
      </c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1"/>
      <c r="CX6" s="599">
        <v>2014</v>
      </c>
      <c r="CY6" s="600"/>
      <c r="CZ6" s="600"/>
      <c r="DA6" s="600"/>
      <c r="DB6" s="600"/>
      <c r="DC6" s="600"/>
      <c r="DD6" s="600"/>
      <c r="DE6" s="600"/>
      <c r="DF6" s="600"/>
      <c r="DG6" s="600"/>
      <c r="DH6" s="600"/>
      <c r="DI6" s="601"/>
      <c r="DJ6" s="599">
        <v>2015</v>
      </c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1"/>
    </row>
    <row r="7" spans="1:321">
      <c r="E7" s="602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40884832.280000001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19124293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02" t="s">
        <v>676</v>
      </c>
      <c r="F214" s="599">
        <v>2006</v>
      </c>
      <c r="G214" s="600"/>
      <c r="H214" s="600"/>
      <c r="I214" s="600"/>
      <c r="J214" s="600"/>
      <c r="K214" s="600"/>
      <c r="L214" s="600"/>
      <c r="M214" s="600"/>
      <c r="N214" s="600"/>
      <c r="O214" s="600"/>
      <c r="P214" s="600"/>
      <c r="Q214" s="601"/>
      <c r="R214" s="599">
        <v>2007</v>
      </c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1"/>
      <c r="AD214" s="599">
        <v>2008</v>
      </c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1"/>
      <c r="AP214" s="599">
        <v>2009</v>
      </c>
      <c r="AQ214" s="600"/>
      <c r="AR214" s="600"/>
      <c r="AS214" s="600"/>
      <c r="AT214" s="600"/>
      <c r="AU214" s="600"/>
      <c r="AV214" s="600"/>
      <c r="AW214" s="600"/>
      <c r="AX214" s="600"/>
      <c r="AY214" s="600"/>
      <c r="AZ214" s="600"/>
      <c r="BA214" s="601"/>
      <c r="BB214" s="599">
        <v>2010</v>
      </c>
      <c r="BC214" s="600"/>
      <c r="BD214" s="600"/>
      <c r="BE214" s="600"/>
      <c r="BF214" s="600"/>
      <c r="BG214" s="600"/>
      <c r="BH214" s="600"/>
      <c r="BI214" s="600"/>
      <c r="BJ214" s="600"/>
      <c r="BK214" s="600"/>
      <c r="BL214" s="600"/>
      <c r="BM214" s="601"/>
      <c r="BN214" s="599">
        <v>2011</v>
      </c>
      <c r="BO214" s="600"/>
      <c r="BP214" s="600"/>
      <c r="BQ214" s="600"/>
      <c r="BR214" s="600"/>
      <c r="BS214" s="600"/>
      <c r="BT214" s="600"/>
      <c r="BU214" s="600"/>
      <c r="BV214" s="600"/>
      <c r="BW214" s="600"/>
      <c r="BX214" s="600"/>
      <c r="BY214" s="601"/>
      <c r="BZ214" s="600">
        <v>2012</v>
      </c>
      <c r="CA214" s="600"/>
      <c r="CB214" s="600"/>
      <c r="CC214" s="600"/>
      <c r="CD214" s="600"/>
      <c r="CE214" s="600"/>
      <c r="CF214" s="600"/>
      <c r="CG214" s="600"/>
      <c r="CH214" s="600"/>
      <c r="CI214" s="600"/>
      <c r="CJ214" s="600"/>
      <c r="CK214" s="600"/>
      <c r="CL214" s="599">
        <v>2013</v>
      </c>
      <c r="CM214" s="600"/>
      <c r="CN214" s="600"/>
      <c r="CO214" s="600"/>
      <c r="CP214" s="600"/>
      <c r="CQ214" s="600"/>
      <c r="CR214" s="600"/>
      <c r="CS214" s="600"/>
      <c r="CT214" s="600"/>
      <c r="CU214" s="600"/>
      <c r="CV214" s="600"/>
      <c r="CW214" s="601"/>
      <c r="CX214" s="599">
        <v>2014</v>
      </c>
      <c r="CY214" s="600"/>
      <c r="CZ214" s="600"/>
      <c r="DA214" s="600"/>
      <c r="DB214" s="600"/>
      <c r="DC214" s="600"/>
      <c r="DD214" s="600"/>
      <c r="DE214" s="600"/>
      <c r="DF214" s="600"/>
      <c r="DG214" s="600"/>
      <c r="DH214" s="600"/>
      <c r="DI214" s="601"/>
      <c r="DJ214" s="599">
        <v>2015</v>
      </c>
      <c r="DK214" s="600"/>
      <c r="DL214" s="600"/>
      <c r="DM214" s="600"/>
      <c r="DN214" s="600"/>
      <c r="DO214" s="600"/>
      <c r="DP214" s="600"/>
      <c r="DQ214" s="600"/>
      <c r="DR214" s="600"/>
      <c r="DS214" s="600"/>
      <c r="DT214" s="600"/>
      <c r="DU214" s="601"/>
    </row>
    <row r="215" spans="1:187">
      <c r="E215" s="602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4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April</v>
      </c>
    </row>
    <row r="245" spans="4:7">
      <c r="D245" s="49"/>
      <c r="E245" s="9"/>
      <c r="F245" s="10"/>
      <c r="G245" s="52" t="str">
        <f>+CONCATENATE("Jan - ",LEFT(G244,3))</f>
        <v>Jan - Apr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Apr</v>
      </c>
      <c r="F253" s="10" t="str">
        <f>+CONCATENATE("Analytics for period ",G245)</f>
        <v>Analytics for period Jan - Apr</v>
      </c>
      <c r="G253" s="52" t="str">
        <f>+IF(ISBLANK(IF($B$2=1,E253,F253)),"",IF($B$2=1,E253,F253))</f>
        <v>Analitika za period Jan - Apr</v>
      </c>
    </row>
    <row r="254" spans="4:7">
      <c r="D254" s="46"/>
      <c r="E254" s="9" t="str">
        <f>+CONCATENATE("Analitika za period ",G244)</f>
        <v>Analitika za period April</v>
      </c>
      <c r="F254" s="10" t="str">
        <f>+CONCATENATE("Analytics for period ",G244)</f>
        <v>Analytics for period April</v>
      </c>
      <c r="G254" s="52" t="str">
        <f>+IF(ISBLANK(IF($B$2=1,E254,F254)),"",IF($B$2=1,E254,F254))</f>
        <v>Analitika za period April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April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April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April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April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April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April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2021-03-12T06:45:13Z</cp:lastPrinted>
  <dcterms:created xsi:type="dcterms:W3CDTF">2014-09-15T13:41:17Z</dcterms:created>
  <dcterms:modified xsi:type="dcterms:W3CDTF">2021-06-04T06:01:26Z</dcterms:modified>
</cp:coreProperties>
</file>