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gdds januar\"/>
    </mc:Choice>
  </mc:AlternateContent>
  <workbookProtection workbookAlgorithmName="SHA-512" workbookHashValue="mTyzOEfD1MTEF7/3el7KIArkg0Y2s8+mEHib9K675YT2V33tKJsWDWRQhG34m4F2cDXFbWlcoOc8hJ6T22v1og==" workbookSaltValue="FmycCbEbOqvcNSrRvxCYEg==" workbookSpinCount="100000" lockStructure="1"/>
  <bookViews>
    <workbookView xWindow="0" yWindow="0" windowWidth="19200" windowHeight="7050" tabRatio="587" firstSheet="1" activeTab="1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'2022'!$A$81:$A$138</definedName>
    <definedName name="_2015plan" localSheetId="3">'2023'!$A$81:$A$138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5" i="2" l="1"/>
  <c r="K12" i="11" l="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61" i="11"/>
  <c r="K62" i="11"/>
  <c r="K63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G63" i="11"/>
  <c r="G62" i="11"/>
  <c r="G61" i="11"/>
  <c r="G58" i="11"/>
  <c r="G57" i="11"/>
  <c r="G56" i="11"/>
  <c r="G52" i="11"/>
  <c r="G51" i="11"/>
  <c r="G49" i="11"/>
  <c r="G50" i="11"/>
  <c r="G48" i="11"/>
  <c r="G47" i="11"/>
  <c r="G46" i="11"/>
  <c r="G42" i="11"/>
  <c r="G43" i="11"/>
  <c r="G44" i="11"/>
  <c r="G45" i="11"/>
  <c r="G41" i="11"/>
  <c r="G32" i="11"/>
  <c r="G33" i="11"/>
  <c r="G34" i="11"/>
  <c r="G35" i="11"/>
  <c r="G36" i="11"/>
  <c r="G37" i="11"/>
  <c r="G38" i="11"/>
  <c r="G39" i="11"/>
  <c r="G31" i="11"/>
  <c r="G25" i="11"/>
  <c r="G26" i="11"/>
  <c r="G27" i="11"/>
  <c r="G28" i="11"/>
  <c r="G24" i="11"/>
  <c r="G21" i="11"/>
  <c r="G22" i="11"/>
  <c r="G23" i="11"/>
  <c r="G20" i="11"/>
  <c r="G13" i="11"/>
  <c r="G14" i="11"/>
  <c r="G15" i="11"/>
  <c r="G16" i="11"/>
  <c r="G17" i="11"/>
  <c r="G18" i="11"/>
  <c r="G12" i="11"/>
  <c r="R121" i="26" l="1"/>
  <c r="Q121" i="26"/>
  <c r="P121" i="26"/>
  <c r="O121" i="26"/>
  <c r="N121" i="26"/>
  <c r="M121" i="26"/>
  <c r="L121" i="26"/>
  <c r="K121" i="26"/>
  <c r="J121" i="26"/>
  <c r="I121" i="26"/>
  <c r="H121" i="26"/>
  <c r="G121" i="26"/>
  <c r="R123" i="26"/>
  <c r="R120" i="26"/>
  <c r="R111" i="26"/>
  <c r="R113" i="26"/>
  <c r="R108" i="26"/>
  <c r="R107" i="26"/>
  <c r="R105" i="26"/>
  <c r="R40" i="26" l="1"/>
  <c r="A138" i="26"/>
  <c r="B138" i="26" s="1"/>
  <c r="S137" i="26"/>
  <c r="T137" i="26" s="1"/>
  <c r="A137" i="26"/>
  <c r="B137" i="26" s="1"/>
  <c r="S136" i="26"/>
  <c r="T136" i="26" s="1"/>
  <c r="A136" i="26"/>
  <c r="B136" i="26" s="1"/>
  <c r="S135" i="26"/>
  <c r="T135" i="26" s="1"/>
  <c r="A135" i="26"/>
  <c r="B135" i="26" s="1"/>
  <c r="A134" i="26"/>
  <c r="B134" i="26" s="1"/>
  <c r="A133" i="26"/>
  <c r="B133" i="26" s="1"/>
  <c r="S132" i="26"/>
  <c r="T132" i="26" s="1"/>
  <c r="A132" i="26"/>
  <c r="B132" i="26" s="1"/>
  <c r="S131" i="26"/>
  <c r="T131" i="26" s="1"/>
  <c r="A131" i="26"/>
  <c r="B131" i="26" s="1"/>
  <c r="S130" i="26"/>
  <c r="T130" i="26" s="1"/>
  <c r="A130" i="26"/>
  <c r="B130" i="26" s="1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A129" i="26"/>
  <c r="B129" i="26" s="1"/>
  <c r="A128" i="26"/>
  <c r="B128" i="26" s="1"/>
  <c r="A127" i="26"/>
  <c r="B127" i="26" s="1"/>
  <c r="S126" i="26"/>
  <c r="T126" i="26" s="1"/>
  <c r="A126" i="26"/>
  <c r="B126" i="26" s="1"/>
  <c r="S125" i="26"/>
  <c r="T125" i="26" s="1"/>
  <c r="A125" i="26"/>
  <c r="B125" i="26" s="1"/>
  <c r="S124" i="26"/>
  <c r="T124" i="26" s="1"/>
  <c r="A124" i="26"/>
  <c r="B124" i="26" s="1"/>
  <c r="S123" i="26"/>
  <c r="A123" i="26"/>
  <c r="B123" i="26" s="1"/>
  <c r="S122" i="26"/>
  <c r="T122" i="26" s="1"/>
  <c r="A122" i="26"/>
  <c r="B122" i="26" s="1"/>
  <c r="S121" i="26"/>
  <c r="A121" i="26"/>
  <c r="B121" i="26" s="1"/>
  <c r="S120" i="26"/>
  <c r="A120" i="26"/>
  <c r="B120" i="26" s="1"/>
  <c r="S119" i="26"/>
  <c r="T119" i="26" s="1"/>
  <c r="A119" i="26"/>
  <c r="B119" i="26" s="1"/>
  <c r="S118" i="26"/>
  <c r="T118" i="26" s="1"/>
  <c r="A118" i="26"/>
  <c r="B118" i="26" s="1"/>
  <c r="S117" i="26"/>
  <c r="T117" i="26" s="1"/>
  <c r="A117" i="26"/>
  <c r="B117" i="26" s="1"/>
  <c r="S116" i="26"/>
  <c r="T116" i="26" s="1"/>
  <c r="A116" i="26"/>
  <c r="B116" i="26" s="1"/>
  <c r="S115" i="26"/>
  <c r="T115" i="26" s="1"/>
  <c r="A115" i="26"/>
  <c r="B115" i="26" s="1"/>
  <c r="R114" i="26"/>
  <c r="Q114" i="26"/>
  <c r="P114" i="26"/>
  <c r="O114" i="26"/>
  <c r="N114" i="26"/>
  <c r="N103" i="26" s="1"/>
  <c r="M114" i="26"/>
  <c r="L114" i="26"/>
  <c r="K114" i="26"/>
  <c r="J114" i="26"/>
  <c r="I114" i="26"/>
  <c r="H114" i="26"/>
  <c r="G114" i="26"/>
  <c r="A114" i="26"/>
  <c r="B114" i="26" s="1"/>
  <c r="S113" i="26"/>
  <c r="A113" i="26"/>
  <c r="B113" i="26" s="1"/>
  <c r="S112" i="26"/>
  <c r="T112" i="26" s="1"/>
  <c r="A112" i="26"/>
  <c r="B112" i="26" s="1"/>
  <c r="S111" i="26"/>
  <c r="A111" i="26"/>
  <c r="B111" i="26" s="1"/>
  <c r="S110" i="26"/>
  <c r="T110" i="26" s="1"/>
  <c r="A110" i="26"/>
  <c r="B110" i="26" s="1"/>
  <c r="S109" i="26"/>
  <c r="T109" i="26" s="1"/>
  <c r="A109" i="26"/>
  <c r="B109" i="26" s="1"/>
  <c r="S108" i="26"/>
  <c r="A108" i="26"/>
  <c r="B108" i="26" s="1"/>
  <c r="S107" i="26"/>
  <c r="A107" i="26"/>
  <c r="B107" i="26" s="1"/>
  <c r="S106" i="26"/>
  <c r="T106" i="26" s="1"/>
  <c r="A106" i="26"/>
  <c r="B106" i="26" s="1"/>
  <c r="S105" i="26"/>
  <c r="A105" i="26"/>
  <c r="B105" i="26" s="1"/>
  <c r="R104" i="26"/>
  <c r="R103" i="26" s="1"/>
  <c r="Q104" i="26"/>
  <c r="P104" i="26"/>
  <c r="O104" i="26"/>
  <c r="N104" i="26"/>
  <c r="M104" i="26"/>
  <c r="L104" i="26"/>
  <c r="K104" i="26"/>
  <c r="J104" i="26"/>
  <c r="I104" i="26"/>
  <c r="H104" i="26"/>
  <c r="G104" i="26"/>
  <c r="A104" i="26"/>
  <c r="B104" i="26" s="1"/>
  <c r="A103" i="26"/>
  <c r="B103" i="26" s="1"/>
  <c r="S102" i="26"/>
  <c r="T102" i="26" s="1"/>
  <c r="A102" i="26"/>
  <c r="B102" i="26" s="1"/>
  <c r="S101" i="26"/>
  <c r="T101" i="26" s="1"/>
  <c r="A101" i="26"/>
  <c r="B101" i="26" s="1"/>
  <c r="S100" i="26"/>
  <c r="T100" i="26" s="1"/>
  <c r="A100" i="26"/>
  <c r="B100" i="26" s="1"/>
  <c r="S99" i="26"/>
  <c r="T99" i="26" s="1"/>
  <c r="A99" i="26"/>
  <c r="B99" i="26" s="1"/>
  <c r="S98" i="26"/>
  <c r="T98" i="26" s="1"/>
  <c r="A98" i="26"/>
  <c r="B98" i="26" s="1"/>
  <c r="S97" i="26"/>
  <c r="T97" i="26" s="1"/>
  <c r="A97" i="26"/>
  <c r="B97" i="26" s="1"/>
  <c r="S96" i="26"/>
  <c r="T96" i="26" s="1"/>
  <c r="A96" i="26"/>
  <c r="B96" i="26" s="1"/>
  <c r="S95" i="26"/>
  <c r="T95" i="26" s="1"/>
  <c r="A95" i="26"/>
  <c r="B95" i="26" s="1"/>
  <c r="S94" i="26"/>
  <c r="T94" i="26" s="1"/>
  <c r="A94" i="26"/>
  <c r="B94" i="26" s="1"/>
  <c r="R93" i="26"/>
  <c r="Q93" i="26"/>
  <c r="P93" i="26"/>
  <c r="P84" i="26" s="1"/>
  <c r="O93" i="26"/>
  <c r="N93" i="26"/>
  <c r="M93" i="26"/>
  <c r="L93" i="26"/>
  <c r="K93" i="26"/>
  <c r="J93" i="26"/>
  <c r="I93" i="26"/>
  <c r="H93" i="26"/>
  <c r="H84" i="26" s="1"/>
  <c r="G93" i="26"/>
  <c r="A93" i="26"/>
  <c r="B93" i="26" s="1"/>
  <c r="S92" i="26"/>
  <c r="T92" i="26" s="1"/>
  <c r="A92" i="26"/>
  <c r="B92" i="26" s="1"/>
  <c r="S91" i="26"/>
  <c r="T91" i="26" s="1"/>
  <c r="A91" i="26"/>
  <c r="B91" i="26" s="1"/>
  <c r="S90" i="26"/>
  <c r="T90" i="26" s="1"/>
  <c r="A90" i="26"/>
  <c r="B90" i="26" s="1"/>
  <c r="S89" i="26"/>
  <c r="T89" i="26" s="1"/>
  <c r="A89" i="26"/>
  <c r="B89" i="26" s="1"/>
  <c r="S88" i="26"/>
  <c r="T88" i="26" s="1"/>
  <c r="A88" i="26"/>
  <c r="B88" i="26" s="1"/>
  <c r="S87" i="26"/>
  <c r="T87" i="26" s="1"/>
  <c r="A87" i="26"/>
  <c r="B87" i="26" s="1"/>
  <c r="S86" i="26"/>
  <c r="T86" i="26" s="1"/>
  <c r="A86" i="26"/>
  <c r="B86" i="26" s="1"/>
  <c r="R85" i="26"/>
  <c r="Q85" i="26"/>
  <c r="P85" i="26"/>
  <c r="O85" i="26"/>
  <c r="N85" i="26"/>
  <c r="M85" i="26"/>
  <c r="L85" i="26"/>
  <c r="K85" i="26"/>
  <c r="J85" i="26"/>
  <c r="I85" i="26"/>
  <c r="H85" i="26"/>
  <c r="G85" i="26"/>
  <c r="A85" i="26"/>
  <c r="B85" i="26" s="1"/>
  <c r="A84" i="26"/>
  <c r="B84" i="26" s="1"/>
  <c r="T82" i="26"/>
  <c r="S82" i="26"/>
  <c r="B81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B64" i="26"/>
  <c r="S63" i="26"/>
  <c r="T63" i="26" s="1"/>
  <c r="B63" i="26"/>
  <c r="S62" i="26"/>
  <c r="T62" i="26" s="1"/>
  <c r="B62" i="26"/>
  <c r="S61" i="26"/>
  <c r="T61" i="26" s="1"/>
  <c r="B61" i="26"/>
  <c r="B60" i="26"/>
  <c r="B59" i="26"/>
  <c r="S58" i="26"/>
  <c r="T58" i="26" s="1"/>
  <c r="B58" i="26"/>
  <c r="S57" i="26"/>
  <c r="T57" i="26" s="1"/>
  <c r="B57" i="26"/>
  <c r="S56" i="26"/>
  <c r="T56" i="26" s="1"/>
  <c r="B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G55" i="11" s="1"/>
  <c r="B55" i="26"/>
  <c r="B54" i="26"/>
  <c r="B53" i="26"/>
  <c r="S52" i="26"/>
  <c r="T52" i="26" s="1"/>
  <c r="B52" i="26"/>
  <c r="S51" i="26"/>
  <c r="T51" i="26" s="1"/>
  <c r="B51" i="26"/>
  <c r="S50" i="26"/>
  <c r="T50" i="26" s="1"/>
  <c r="B50" i="26"/>
  <c r="T49" i="26"/>
  <c r="S49" i="26"/>
  <c r="B49" i="26"/>
  <c r="S48" i="26"/>
  <c r="T48" i="26" s="1"/>
  <c r="B48" i="26"/>
  <c r="S47" i="26"/>
  <c r="T47" i="26" s="1"/>
  <c r="B47" i="26"/>
  <c r="S46" i="26"/>
  <c r="T46" i="26" s="1"/>
  <c r="B46" i="26"/>
  <c r="S45" i="26"/>
  <c r="T45" i="26" s="1"/>
  <c r="B45" i="26"/>
  <c r="S44" i="26"/>
  <c r="T44" i="26" s="1"/>
  <c r="B44" i="26"/>
  <c r="S43" i="26"/>
  <c r="T43" i="26" s="1"/>
  <c r="B43" i="26"/>
  <c r="S42" i="26"/>
  <c r="T42" i="26" s="1"/>
  <c r="B42" i="26"/>
  <c r="S41" i="26"/>
  <c r="T41" i="26" s="1"/>
  <c r="B41" i="26"/>
  <c r="Q40" i="26"/>
  <c r="P40" i="26"/>
  <c r="O40" i="26"/>
  <c r="N40" i="26"/>
  <c r="M40" i="26"/>
  <c r="L40" i="26"/>
  <c r="K40" i="26"/>
  <c r="J40" i="26"/>
  <c r="I40" i="26"/>
  <c r="H40" i="26"/>
  <c r="G40" i="26"/>
  <c r="G40" i="11" s="1"/>
  <c r="B40" i="26"/>
  <c r="S39" i="26"/>
  <c r="T39" i="26" s="1"/>
  <c r="B39" i="26"/>
  <c r="S38" i="26"/>
  <c r="T38" i="26" s="1"/>
  <c r="B38" i="26"/>
  <c r="S37" i="26"/>
  <c r="T37" i="26" s="1"/>
  <c r="B37" i="26"/>
  <c r="S36" i="26"/>
  <c r="T36" i="26" s="1"/>
  <c r="B36" i="26"/>
  <c r="S35" i="26"/>
  <c r="T35" i="26" s="1"/>
  <c r="B35" i="26"/>
  <c r="S34" i="26"/>
  <c r="T34" i="26" s="1"/>
  <c r="B34" i="26"/>
  <c r="S33" i="26"/>
  <c r="T33" i="26" s="1"/>
  <c r="B33" i="26"/>
  <c r="S32" i="26"/>
  <c r="T32" i="26" s="1"/>
  <c r="B32" i="26"/>
  <c r="S31" i="26"/>
  <c r="T31" i="26" s="1"/>
  <c r="B31" i="26"/>
  <c r="R30" i="26"/>
  <c r="Q30" i="26"/>
  <c r="Q29" i="26" s="1"/>
  <c r="P30" i="26"/>
  <c r="P29" i="26" s="1"/>
  <c r="O30" i="26"/>
  <c r="O29" i="26" s="1"/>
  <c r="N30" i="26"/>
  <c r="N29" i="26" s="1"/>
  <c r="M30" i="26"/>
  <c r="M29" i="26" s="1"/>
  <c r="L30" i="26"/>
  <c r="K30" i="26"/>
  <c r="K29" i="26" s="1"/>
  <c r="J30" i="26"/>
  <c r="J29" i="26" s="1"/>
  <c r="I30" i="26"/>
  <c r="I29" i="26" s="1"/>
  <c r="H30" i="26"/>
  <c r="G30" i="26"/>
  <c r="G30" i="11" s="1"/>
  <c r="B30" i="26"/>
  <c r="L29" i="26"/>
  <c r="H29" i="26"/>
  <c r="B29" i="26"/>
  <c r="S28" i="26"/>
  <c r="T28" i="26" s="1"/>
  <c r="B28" i="26"/>
  <c r="S27" i="26"/>
  <c r="T27" i="26" s="1"/>
  <c r="B27" i="26"/>
  <c r="S26" i="26"/>
  <c r="T26" i="26" s="1"/>
  <c r="B26" i="26"/>
  <c r="S25" i="26"/>
  <c r="T25" i="26" s="1"/>
  <c r="B25" i="26"/>
  <c r="S24" i="26"/>
  <c r="T24" i="26" s="1"/>
  <c r="B24" i="26"/>
  <c r="S23" i="26"/>
  <c r="T23" i="26" s="1"/>
  <c r="B23" i="26"/>
  <c r="S22" i="26"/>
  <c r="T22" i="26" s="1"/>
  <c r="B22" i="26"/>
  <c r="T21" i="26"/>
  <c r="S21" i="26"/>
  <c r="B21" i="26"/>
  <c r="S20" i="26"/>
  <c r="T20" i="26" s="1"/>
  <c r="B20" i="26"/>
  <c r="R19" i="26"/>
  <c r="Q19" i="26"/>
  <c r="Q10" i="26" s="1"/>
  <c r="P19" i="26"/>
  <c r="O19" i="26"/>
  <c r="N19" i="26"/>
  <c r="M19" i="26"/>
  <c r="L19" i="26"/>
  <c r="K19" i="26"/>
  <c r="J19" i="26"/>
  <c r="I19" i="26"/>
  <c r="H19" i="26"/>
  <c r="G19" i="26"/>
  <c r="B19" i="26"/>
  <c r="S18" i="26"/>
  <c r="T18" i="26" s="1"/>
  <c r="B18" i="26"/>
  <c r="S17" i="26"/>
  <c r="T17" i="26" s="1"/>
  <c r="B17" i="26"/>
  <c r="S16" i="26"/>
  <c r="T16" i="26" s="1"/>
  <c r="B16" i="26"/>
  <c r="S15" i="26"/>
  <c r="T15" i="26" s="1"/>
  <c r="B15" i="26"/>
  <c r="S14" i="26"/>
  <c r="T14" i="26" s="1"/>
  <c r="B14" i="26"/>
  <c r="S13" i="26"/>
  <c r="T13" i="26" s="1"/>
  <c r="B13" i="26"/>
  <c r="S12" i="26"/>
  <c r="T12" i="26" s="1"/>
  <c r="B12" i="26"/>
  <c r="R11" i="26"/>
  <c r="R10" i="26" s="1"/>
  <c r="Q11" i="26"/>
  <c r="P11" i="26"/>
  <c r="O11" i="26"/>
  <c r="N11" i="26"/>
  <c r="N10" i="26" s="1"/>
  <c r="M11" i="26"/>
  <c r="L11" i="26"/>
  <c r="K11" i="26"/>
  <c r="J11" i="26"/>
  <c r="J10" i="26" s="1"/>
  <c r="I11" i="26"/>
  <c r="H11" i="26"/>
  <c r="G11" i="26"/>
  <c r="G11" i="11" s="1"/>
  <c r="B11" i="26"/>
  <c r="B10" i="26"/>
  <c r="T9" i="26"/>
  <c r="T83" i="26" s="1"/>
  <c r="S8" i="26"/>
  <c r="R8" i="26"/>
  <c r="R82" i="26" s="1"/>
  <c r="Q8" i="26"/>
  <c r="Q82" i="26" s="1"/>
  <c r="P8" i="26"/>
  <c r="P82" i="26" s="1"/>
  <c r="O8" i="26"/>
  <c r="O82" i="26" s="1"/>
  <c r="N8" i="26"/>
  <c r="N82" i="26" s="1"/>
  <c r="M8" i="26"/>
  <c r="M82" i="26" s="1"/>
  <c r="L8" i="26"/>
  <c r="L82" i="26" s="1"/>
  <c r="K8" i="26"/>
  <c r="K82" i="26" s="1"/>
  <c r="J8" i="26"/>
  <c r="J82" i="26" s="1"/>
  <c r="I8" i="26"/>
  <c r="I82" i="26" s="1"/>
  <c r="H8" i="26"/>
  <c r="H82" i="26" s="1"/>
  <c r="S7" i="26"/>
  <c r="S81" i="26" s="1"/>
  <c r="R5" i="26"/>
  <c r="Q5" i="26"/>
  <c r="P5" i="26"/>
  <c r="O5" i="26"/>
  <c r="N5" i="26"/>
  <c r="M5" i="26"/>
  <c r="L5" i="26"/>
  <c r="K5" i="26"/>
  <c r="J5" i="26"/>
  <c r="I5" i="26"/>
  <c r="H5" i="26"/>
  <c r="G5" i="26"/>
  <c r="E4" i="26"/>
  <c r="E3" i="26"/>
  <c r="E2" i="26"/>
  <c r="S19" i="26" l="1"/>
  <c r="T19" i="26" s="1"/>
  <c r="G19" i="11"/>
  <c r="T123" i="26"/>
  <c r="T121" i="26"/>
  <c r="T120" i="26"/>
  <c r="T113" i="26"/>
  <c r="T111" i="26"/>
  <c r="T108" i="26"/>
  <c r="T107" i="26"/>
  <c r="T105" i="26"/>
  <c r="G29" i="26"/>
  <c r="G29" i="11" s="1"/>
  <c r="D16" i="1" s="1"/>
  <c r="E16" i="1" s="1"/>
  <c r="J84" i="26"/>
  <c r="N84" i="26"/>
  <c r="R84" i="26"/>
  <c r="R127" i="26" s="1"/>
  <c r="R128" i="26" s="1"/>
  <c r="S93" i="26"/>
  <c r="T93" i="26" s="1"/>
  <c r="O84" i="26"/>
  <c r="G103" i="26"/>
  <c r="K103" i="26"/>
  <c r="O103" i="26"/>
  <c r="Q103" i="26"/>
  <c r="J103" i="26"/>
  <c r="J127" i="26" s="1"/>
  <c r="J133" i="26" s="1"/>
  <c r="J138" i="26" s="1"/>
  <c r="J134" i="26" s="1"/>
  <c r="I103" i="26"/>
  <c r="M103" i="26"/>
  <c r="S129" i="26"/>
  <c r="T129" i="26" s="1"/>
  <c r="H103" i="26"/>
  <c r="L103" i="26"/>
  <c r="P103" i="26"/>
  <c r="P127" i="26" s="1"/>
  <c r="P128" i="26" s="1"/>
  <c r="O127" i="26"/>
  <c r="O128" i="26" s="1"/>
  <c r="S114" i="26"/>
  <c r="T114" i="26" s="1"/>
  <c r="N127" i="26"/>
  <c r="N128" i="26" s="1"/>
  <c r="S104" i="26"/>
  <c r="G84" i="26"/>
  <c r="K84" i="26"/>
  <c r="K127" i="26" s="1"/>
  <c r="K128" i="26" s="1"/>
  <c r="L84" i="26"/>
  <c r="I84" i="26"/>
  <c r="M84" i="26"/>
  <c r="Q84" i="26"/>
  <c r="R29" i="26"/>
  <c r="S55" i="26"/>
  <c r="T55" i="26" s="1"/>
  <c r="S40" i="26"/>
  <c r="T40" i="26" s="1"/>
  <c r="K10" i="26"/>
  <c r="K53" i="26" s="1"/>
  <c r="K54" i="26" s="1"/>
  <c r="O10" i="26"/>
  <c r="O53" i="26" s="1"/>
  <c r="O59" i="26" s="1"/>
  <c r="O64" i="26" s="1"/>
  <c r="O60" i="26" s="1"/>
  <c r="H10" i="26"/>
  <c r="H53" i="26" s="1"/>
  <c r="H59" i="26" s="1"/>
  <c r="H64" i="26" s="1"/>
  <c r="H60" i="26" s="1"/>
  <c r="L10" i="26"/>
  <c r="L53" i="26" s="1"/>
  <c r="L54" i="26" s="1"/>
  <c r="P10" i="26"/>
  <c r="P53" i="26" s="1"/>
  <c r="P59" i="26" s="1"/>
  <c r="P64" i="26" s="1"/>
  <c r="P60" i="26" s="1"/>
  <c r="I10" i="26"/>
  <c r="I53" i="26" s="1"/>
  <c r="I59" i="26" s="1"/>
  <c r="I64" i="26" s="1"/>
  <c r="I60" i="26" s="1"/>
  <c r="M10" i="26"/>
  <c r="S11" i="26"/>
  <c r="T11" i="26" s="1"/>
  <c r="K59" i="26"/>
  <c r="K64" i="26" s="1"/>
  <c r="K60" i="26" s="1"/>
  <c r="M53" i="26"/>
  <c r="Q53" i="26"/>
  <c r="J53" i="26"/>
  <c r="N53" i="26"/>
  <c r="R53" i="26"/>
  <c r="H54" i="26"/>
  <c r="S30" i="26"/>
  <c r="T30" i="26" s="1"/>
  <c r="S85" i="26"/>
  <c r="T85" i="26" s="1"/>
  <c r="G10" i="26"/>
  <c r="G10" i="11" s="1"/>
  <c r="D12" i="1" s="1"/>
  <c r="E12" i="1" s="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2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10" i="11"/>
  <c r="S29" i="26" l="1"/>
  <c r="T29" i="26" s="1"/>
  <c r="T104" i="26"/>
  <c r="I127" i="26"/>
  <c r="I128" i="26" s="1"/>
  <c r="Q127" i="26"/>
  <c r="Q133" i="26" s="1"/>
  <c r="Q138" i="26" s="1"/>
  <c r="Q134" i="26" s="1"/>
  <c r="M127" i="26"/>
  <c r="M133" i="26" s="1"/>
  <c r="M138" i="26" s="1"/>
  <c r="M134" i="26" s="1"/>
  <c r="G127" i="26"/>
  <c r="G133" i="26" s="1"/>
  <c r="G138" i="26" s="1"/>
  <c r="R133" i="26"/>
  <c r="R138" i="26" s="1"/>
  <c r="R134" i="26" s="1"/>
  <c r="I54" i="26"/>
  <c r="S103" i="26"/>
  <c r="N133" i="26"/>
  <c r="N138" i="26" s="1"/>
  <c r="N134" i="26" s="1"/>
  <c r="O133" i="26"/>
  <c r="O138" i="26" s="1"/>
  <c r="O134" i="26" s="1"/>
  <c r="H127" i="26"/>
  <c r="H133" i="26" s="1"/>
  <c r="H138" i="26" s="1"/>
  <c r="H134" i="26" s="1"/>
  <c r="J128" i="26"/>
  <c r="P133" i="26"/>
  <c r="P138" i="26" s="1"/>
  <c r="P134" i="26" s="1"/>
  <c r="L127" i="26"/>
  <c r="K133" i="26"/>
  <c r="K138" i="26" s="1"/>
  <c r="K134" i="26" s="1"/>
  <c r="S84" i="26"/>
  <c r="T84" i="26" s="1"/>
  <c r="P54" i="26"/>
  <c r="L59" i="26"/>
  <c r="L64" i="26" s="1"/>
  <c r="L60" i="26" s="1"/>
  <c r="O54" i="26"/>
  <c r="J59" i="26"/>
  <c r="J64" i="26" s="1"/>
  <c r="J60" i="26" s="1"/>
  <c r="J54" i="26"/>
  <c r="M54" i="26"/>
  <c r="M59" i="26"/>
  <c r="M64" i="26" s="1"/>
  <c r="M60" i="26" s="1"/>
  <c r="Q59" i="26"/>
  <c r="Q64" i="26" s="1"/>
  <c r="Q60" i="26" s="1"/>
  <c r="Q54" i="26"/>
  <c r="G53" i="26"/>
  <c r="G53" i="11" s="1"/>
  <c r="D20" i="1" s="1"/>
  <c r="E20" i="1" s="1"/>
  <c r="S10" i="26"/>
  <c r="T10" i="26" s="1"/>
  <c r="R59" i="26"/>
  <c r="R64" i="26" s="1"/>
  <c r="R60" i="26" s="1"/>
  <c r="R54" i="26"/>
  <c r="N59" i="26"/>
  <c r="N64" i="26" s="1"/>
  <c r="N60" i="26" s="1"/>
  <c r="N54" i="26"/>
  <c r="T103" i="26" l="1"/>
  <c r="I133" i="26"/>
  <c r="I138" i="26" s="1"/>
  <c r="I134" i="26" s="1"/>
  <c r="Q128" i="26"/>
  <c r="M128" i="26"/>
  <c r="G128" i="26"/>
  <c r="S127" i="26"/>
  <c r="T127" i="26" s="1"/>
  <c r="H128" i="26"/>
  <c r="L128" i="26"/>
  <c r="L133" i="26"/>
  <c r="G134" i="26"/>
  <c r="G59" i="26"/>
  <c r="G59" i="11" s="1"/>
  <c r="S53" i="26"/>
  <c r="T53" i="26" s="1"/>
  <c r="G54" i="26"/>
  <c r="G11" i="2"/>
  <c r="R84" i="25"/>
  <c r="S54" i="26" l="1"/>
  <c r="T54" i="26" s="1"/>
  <c r="G54" i="11"/>
  <c r="S128" i="26"/>
  <c r="T128" i="26" s="1"/>
  <c r="L138" i="26"/>
  <c r="S133" i="26"/>
  <c r="T133" i="26" s="1"/>
  <c r="G64" i="26"/>
  <c r="G64" i="11" s="1"/>
  <c r="S59" i="26"/>
  <c r="T59" i="26" s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L134" i="26" l="1"/>
  <c r="S134" i="26" s="1"/>
  <c r="T134" i="26" s="1"/>
  <c r="S138" i="26"/>
  <c r="T138" i="26" s="1"/>
  <c r="S64" i="26"/>
  <c r="T64" i="26" s="1"/>
  <c r="G60" i="26"/>
  <c r="J19" i="25"/>
  <c r="J11" i="25"/>
  <c r="J10" i="25" s="1"/>
  <c r="S60" i="26" l="1"/>
  <c r="T60" i="26" s="1"/>
  <c r="G60" i="11"/>
  <c r="Q138" i="25"/>
  <c r="P138" i="25"/>
  <c r="O138" i="25"/>
  <c r="N138" i="25"/>
  <c r="M138" i="25"/>
  <c r="L138" i="25"/>
  <c r="K138" i="25"/>
  <c r="J138" i="25"/>
  <c r="I138" i="25"/>
  <c r="H138" i="25"/>
  <c r="G138" i="25"/>
  <c r="S86" i="22" l="1"/>
  <c r="Q17" i="11" l="1"/>
  <c r="S11" i="20" l="1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10" i="20"/>
  <c r="E5" i="20" l="1"/>
  <c r="L19" i="25" l="1"/>
  <c r="L11" i="25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93" i="25"/>
  <c r="N93" i="25"/>
  <c r="M93" i="25"/>
  <c r="L93" i="25"/>
  <c r="L84" i="25" s="1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S57" i="25"/>
  <c r="S56" i="25"/>
  <c r="R55" i="25"/>
  <c r="N55" i="11" s="1"/>
  <c r="Q55" i="25"/>
  <c r="P55" i="25"/>
  <c r="O55" i="25"/>
  <c r="N55" i="25"/>
  <c r="M55" i="25"/>
  <c r="L55" i="25"/>
  <c r="K55" i="25"/>
  <c r="J55" i="25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K40" i="11" s="1"/>
  <c r="S39" i="25"/>
  <c r="S38" i="25"/>
  <c r="S37" i="25"/>
  <c r="S36" i="25"/>
  <c r="S35" i="25"/>
  <c r="S34" i="25"/>
  <c r="S33" i="25"/>
  <c r="S32" i="25"/>
  <c r="S31" i="25"/>
  <c r="R30" i="25"/>
  <c r="N30" i="11" s="1"/>
  <c r="Q30" i="25"/>
  <c r="P30" i="25"/>
  <c r="O30" i="25"/>
  <c r="N30" i="25"/>
  <c r="M30" i="25"/>
  <c r="L30" i="25"/>
  <c r="K30" i="25"/>
  <c r="J30" i="25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N19" i="11" s="1"/>
  <c r="Q19" i="25"/>
  <c r="P19" i="25"/>
  <c r="O19" i="25"/>
  <c r="N19" i="25"/>
  <c r="M19" i="25"/>
  <c r="K19" i="25"/>
  <c r="I19" i="25"/>
  <c r="H19" i="25"/>
  <c r="G19" i="25"/>
  <c r="K19" i="11" s="1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R10" i="25" l="1"/>
  <c r="N10" i="11" s="1"/>
  <c r="N11" i="11"/>
  <c r="G10" i="25"/>
  <c r="K10" i="11" s="1"/>
  <c r="N10" i="25"/>
  <c r="T58" i="25"/>
  <c r="Q29" i="25"/>
  <c r="T101" i="25"/>
  <c r="T94" i="25"/>
  <c r="T88" i="25"/>
  <c r="T90" i="25"/>
  <c r="T96" i="25"/>
  <c r="T100" i="25"/>
  <c r="T137" i="25"/>
  <c r="T136" i="25"/>
  <c r="T135" i="25"/>
  <c r="T124" i="25"/>
  <c r="T118" i="25"/>
  <c r="T117" i="25"/>
  <c r="T113" i="25"/>
  <c r="T111" i="25"/>
  <c r="T108" i="25"/>
  <c r="T107" i="25"/>
  <c r="T106" i="25"/>
  <c r="H84" i="25"/>
  <c r="P84" i="25"/>
  <c r="N84" i="25"/>
  <c r="J84" i="25"/>
  <c r="O29" i="25"/>
  <c r="M29" i="25"/>
  <c r="K29" i="25"/>
  <c r="T61" i="25"/>
  <c r="T52" i="25"/>
  <c r="T50" i="25"/>
  <c r="I29" i="25"/>
  <c r="T62" i="25"/>
  <c r="T63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K10" i="25"/>
  <c r="M10" i="25"/>
  <c r="O10" i="25"/>
  <c r="Q10" i="25"/>
  <c r="L10" i="25"/>
  <c r="P10" i="25"/>
  <c r="H10" i="25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P29" i="25"/>
  <c r="R29" i="25"/>
  <c r="S40" i="25"/>
  <c r="G29" i="25"/>
  <c r="K29" i="11" s="1"/>
  <c r="S19" i="25"/>
  <c r="S11" i="25"/>
  <c r="S55" i="25"/>
  <c r="S93" i="25"/>
  <c r="S104" i="25"/>
  <c r="T104" i="25" s="1"/>
  <c r="S129" i="25"/>
  <c r="T129" i="25" s="1"/>
  <c r="N53" i="25" l="1"/>
  <c r="I53" i="25"/>
  <c r="I54" i="25" s="1"/>
  <c r="R53" i="25"/>
  <c r="N53" i="11" s="1"/>
  <c r="N29" i="11"/>
  <c r="O53" i="25"/>
  <c r="O59" i="25" s="1"/>
  <c r="O64" i="25" s="1"/>
  <c r="O60" i="25" s="1"/>
  <c r="Q53" i="25"/>
  <c r="T85" i="25"/>
  <c r="T93" i="25"/>
  <c r="I127" i="25"/>
  <c r="I133" i="25" s="1"/>
  <c r="P53" i="25"/>
  <c r="M53" i="25"/>
  <c r="M54" i="25" s="1"/>
  <c r="K53" i="25"/>
  <c r="K59" i="25" s="1"/>
  <c r="K64" i="25" s="1"/>
  <c r="K60" i="25" s="1"/>
  <c r="T55" i="25"/>
  <c r="T40" i="25"/>
  <c r="T30" i="25"/>
  <c r="T19" i="25"/>
  <c r="T11" i="25"/>
  <c r="M127" i="25"/>
  <c r="M128" i="25" s="1"/>
  <c r="O127" i="25"/>
  <c r="O128" i="25" s="1"/>
  <c r="N127" i="25"/>
  <c r="N128" i="25" s="1"/>
  <c r="K127" i="25"/>
  <c r="K133" i="25" s="1"/>
  <c r="K134" i="25" s="1"/>
  <c r="L127" i="25"/>
  <c r="L133" i="25" s="1"/>
  <c r="L134" i="25" s="1"/>
  <c r="J127" i="25"/>
  <c r="J128" i="25" s="1"/>
  <c r="H127" i="25"/>
  <c r="H133" i="25" s="1"/>
  <c r="H134" i="25" s="1"/>
  <c r="G53" i="25"/>
  <c r="K53" i="11" s="1"/>
  <c r="G127" i="25"/>
  <c r="L53" i="25"/>
  <c r="L54" i="25" s="1"/>
  <c r="S10" i="25"/>
  <c r="H53" i="25"/>
  <c r="S84" i="25"/>
  <c r="T84" i="25" s="1"/>
  <c r="S29" i="25"/>
  <c r="N54" i="25"/>
  <c r="N59" i="25"/>
  <c r="J54" i="25"/>
  <c r="J59" i="25"/>
  <c r="J64" i="25" s="1"/>
  <c r="J60" i="25" s="1"/>
  <c r="S53" i="20"/>
  <c r="I59" i="25" l="1"/>
  <c r="I64" i="25" s="1"/>
  <c r="R59" i="25"/>
  <c r="N59" i="11" s="1"/>
  <c r="O54" i="25"/>
  <c r="G59" i="25"/>
  <c r="S53" i="25"/>
  <c r="R54" i="25"/>
  <c r="N54" i="11" s="1"/>
  <c r="Q54" i="25"/>
  <c r="Q59" i="25"/>
  <c r="N64" i="25"/>
  <c r="N60" i="25" s="1"/>
  <c r="P54" i="25"/>
  <c r="P59" i="25"/>
  <c r="P64" i="25" s="1"/>
  <c r="I128" i="25"/>
  <c r="M133" i="25"/>
  <c r="M134" i="25" s="1"/>
  <c r="M59" i="25"/>
  <c r="K54" i="25"/>
  <c r="T29" i="25"/>
  <c r="H54" i="25"/>
  <c r="T10" i="25"/>
  <c r="O133" i="25"/>
  <c r="O134" i="25" s="1"/>
  <c r="G54" i="25"/>
  <c r="K54" i="11" s="1"/>
  <c r="G128" i="25"/>
  <c r="L128" i="25"/>
  <c r="K128" i="25"/>
  <c r="N133" i="25"/>
  <c r="N134" i="25" s="1"/>
  <c r="J133" i="25"/>
  <c r="J134" i="25" s="1"/>
  <c r="H128" i="25"/>
  <c r="G133" i="25"/>
  <c r="L59" i="25"/>
  <c r="L64" i="25" s="1"/>
  <c r="L60" i="25" s="1"/>
  <c r="H59" i="25"/>
  <c r="G5" i="22"/>
  <c r="H5" i="22"/>
  <c r="I5" i="22"/>
  <c r="J5" i="22"/>
  <c r="K5" i="22"/>
  <c r="L5" i="22"/>
  <c r="M5" i="22"/>
  <c r="N5" i="22"/>
  <c r="O5" i="22"/>
  <c r="G64" i="25" l="1"/>
  <c r="K64" i="11" s="1"/>
  <c r="K59" i="11"/>
  <c r="R64" i="25"/>
  <c r="N64" i="11" s="1"/>
  <c r="Q64" i="25"/>
  <c r="M64" i="25"/>
  <c r="M60" i="25" s="1"/>
  <c r="P60" i="25"/>
  <c r="I134" i="25"/>
  <c r="I60" i="25"/>
  <c r="H64" i="25"/>
  <c r="T53" i="25"/>
  <c r="S54" i="25"/>
  <c r="S59" i="25"/>
  <c r="G60" i="25"/>
  <c r="K60" i="11" s="1"/>
  <c r="P19" i="22"/>
  <c r="R60" i="25" l="1"/>
  <c r="N60" i="11" s="1"/>
  <c r="S64" i="25"/>
  <c r="Q60" i="25"/>
  <c r="T54" i="25"/>
  <c r="T59" i="25"/>
  <c r="H60" i="25"/>
  <c r="G134" i="25"/>
  <c r="S121" i="22"/>
  <c r="T64" i="25" l="1"/>
  <c r="S60" i="25"/>
  <c r="T60" i="25" s="1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K10" i="22" s="1"/>
  <c r="I11" i="22"/>
  <c r="G11" i="22"/>
  <c r="R5" i="22"/>
  <c r="Q5" i="22"/>
  <c r="P5" i="22"/>
  <c r="T31" i="22" l="1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1" i="25" s="1"/>
  <c r="G252" i="2"/>
  <c r="B7" i="26" s="1"/>
  <c r="G249" i="2"/>
  <c r="S7" i="25" s="1"/>
  <c r="S81" i="25" s="1"/>
  <c r="G243" i="2"/>
  <c r="G242" i="2"/>
  <c r="G241" i="2"/>
  <c r="P8" i="25" s="1"/>
  <c r="P82" i="25" s="1"/>
  <c r="G240" i="2"/>
  <c r="G239" i="2"/>
  <c r="G238" i="2"/>
  <c r="G237" i="2"/>
  <c r="L8" i="25" s="1"/>
  <c r="L82" i="25" s="1"/>
  <c r="G236" i="2"/>
  <c r="G235" i="2"/>
  <c r="G234" i="2"/>
  <c r="G233" i="2"/>
  <c r="G232" i="2"/>
  <c r="G8" i="26" s="1"/>
  <c r="G82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B24" i="25" l="1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CM190" i="6"/>
  <c r="CN190" i="6"/>
  <c r="CP190" i="6"/>
  <c r="CQ190" i="6"/>
  <c r="G276" i="2"/>
  <c r="G275" i="2"/>
  <c r="G270" i="2"/>
  <c r="D11" i="1" s="1"/>
  <c r="G272" i="2"/>
  <c r="D19" i="1" s="1"/>
  <c r="G246" i="2"/>
  <c r="R8" i="3"/>
  <c r="R8" i="11"/>
  <c r="G271" i="2"/>
  <c r="D15" i="1" s="1"/>
  <c r="S82" i="25" l="1"/>
  <c r="S8" i="25"/>
  <c r="T9" i="22"/>
  <c r="T83" i="22" s="1"/>
  <c r="T9" i="25"/>
  <c r="T83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3" i="25"/>
  <c r="Q127" i="25" s="1"/>
  <c r="R103" i="25"/>
  <c r="R127" i="25" s="1"/>
  <c r="S120" i="25"/>
  <c r="T120" i="25" s="1"/>
  <c r="P103" i="25"/>
  <c r="S103" i="25" s="1"/>
  <c r="T103" i="25" s="1"/>
  <c r="O53" i="11" l="1"/>
  <c r="R133" i="25"/>
  <c r="R128" i="25"/>
  <c r="Q133" i="25"/>
  <c r="Q128" i="25"/>
  <c r="Q46" i="11"/>
  <c r="P127" i="25"/>
  <c r="O54" i="11" l="1"/>
  <c r="O59" i="11"/>
  <c r="R138" i="25"/>
  <c r="Q134" i="25"/>
  <c r="R134" i="25"/>
  <c r="Q29" i="11"/>
  <c r="P29" i="11"/>
  <c r="J29" i="11"/>
  <c r="I29" i="11"/>
  <c r="P133" i="25"/>
  <c r="S127" i="25"/>
  <c r="T127" i="25" s="1"/>
  <c r="P128" i="25"/>
  <c r="O64" i="11" l="1"/>
  <c r="S138" i="25"/>
  <c r="O60" i="11"/>
  <c r="S133" i="25"/>
  <c r="T133" i="25" s="1"/>
  <c r="Q53" i="11"/>
  <c r="P53" i="11"/>
  <c r="S128" i="25"/>
  <c r="T128" i="25" s="1"/>
  <c r="I53" i="11"/>
  <c r="J53" i="11"/>
  <c r="P54" i="11" l="1"/>
  <c r="Q54" i="11"/>
  <c r="P134" i="25"/>
  <c r="I54" i="11"/>
  <c r="J54" i="11"/>
  <c r="Q59" i="11"/>
  <c r="P59" i="11"/>
  <c r="J59" i="11"/>
  <c r="I59" i="11"/>
  <c r="T138" i="25" l="1"/>
  <c r="J64" i="11"/>
  <c r="I64" i="11"/>
  <c r="S134" i="25"/>
  <c r="T134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<sst xmlns="http://schemas.openxmlformats.org/spreadsheetml/2006/main" count="1808" uniqueCount="855">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</sst>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januaru 2023. godine iznosili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167,8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2,7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14,7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9,6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odnosu na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uporedni period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prethodn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godin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59,9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5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</a:p>
        <a:p>
          <a:pPr algn="l"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114,7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1,9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manji 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60,8 mil. € ili 34,6% dok su udnosu na isti period 2022. godine manji za 25,8 mil. € ili 18,4%.</a:t>
          </a:r>
        </a:p>
        <a:p>
          <a:pPr algn="l" eaLnBrk="1" fontAlgn="auto" latinLnBrk="0" hangingPunct="1"/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 januaru 2023. godine zabilježen je suficit budžeta u iznosu od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53,0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0,9%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1</xdr:col>
          <xdr:colOff>355600</xdr:colOff>
          <xdr:row>1</xdr:row>
          <xdr:rowOff>50800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1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59222</xdr:colOff>
      <xdr:row>1</xdr:row>
      <xdr:rowOff>122092</xdr:rowOff>
    </xdr:from>
    <xdr:to>
      <xdr:col>9</xdr:col>
      <xdr:colOff>662307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274343</xdr:colOff>
      <xdr:row>2</xdr:row>
      <xdr:rowOff>9524</xdr:rowOff>
    </xdr:from>
    <xdr:to>
      <xdr:col>12</xdr:col>
      <xdr:colOff>384640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796875" defaultRowHeight="14.5"/>
  <cols>
    <col min="1" max="1" width="5" style="5" bestFit="1" customWidth="1"/>
    <col min="2" max="2" width="11.7265625" style="5" customWidth="1"/>
    <col min="3" max="6" width="9.1796875" style="5"/>
    <col min="7" max="13" width="12.453125" style="5" customWidth="1"/>
    <col min="14" max="18" width="12.1796875" style="5" customWidth="1"/>
    <col min="19" max="16384" width="9.17968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2023-01</v>
      </c>
      <c r="O6" s="143" t="str">
        <f>+CONCATENATE(N6,"p")</f>
        <v>2023-01p</v>
      </c>
      <c r="P6" s="130"/>
      <c r="Q6" s="130"/>
      <c r="R6" s="143" t="str">
        <f>+IF(Master!B3-10&gt;=0,CONCATENATE(Master!B4-1,"-",Master!B3),CONCATENATE(Master!B4-1,"-0",Master!B3))</f>
        <v>2022-01</v>
      </c>
      <c r="S6" s="130"/>
      <c r="T6" s="130"/>
    </row>
    <row r="7" spans="1:20">
      <c r="A7" s="144"/>
      <c r="B7" s="522" t="s">
        <v>691</v>
      </c>
      <c r="C7" s="523"/>
      <c r="D7" s="523"/>
      <c r="E7" s="523"/>
      <c r="F7" s="523"/>
      <c r="G7" s="531" t="s">
        <v>690</v>
      </c>
      <c r="H7" s="532"/>
      <c r="I7" s="532"/>
      <c r="J7" s="532"/>
      <c r="K7" s="532"/>
      <c r="L7" s="532"/>
      <c r="M7" s="533"/>
      <c r="N7" s="534" t="str">
        <f>+Master!G243</f>
        <v>Decembar</v>
      </c>
      <c r="O7" s="532"/>
      <c r="P7" s="532"/>
      <c r="Q7" s="532"/>
      <c r="R7" s="532"/>
      <c r="S7" s="532"/>
      <c r="T7" s="535"/>
    </row>
    <row r="8" spans="1:20">
      <c r="A8" s="144"/>
      <c r="B8" s="524"/>
      <c r="C8" s="525"/>
      <c r="D8" s="525"/>
      <c r="E8" s="525"/>
      <c r="F8" s="526"/>
      <c r="G8" s="145" t="str">
        <f>+Master!G26</f>
        <v>Ostvarenje</v>
      </c>
      <c r="H8" s="145" t="str">
        <f>+Master!G25</f>
        <v>Plan</v>
      </c>
      <c r="I8" s="518" t="str">
        <f>+Master!G261</f>
        <v>Odstupanje</v>
      </c>
      <c r="J8" s="518"/>
      <c r="K8" s="145" t="str">
        <f>+CONCATENATE(Master!G246," ",Master!B4-1)</f>
        <v>Jan - Jan 2022</v>
      </c>
      <c r="L8" s="518" t="str">
        <f>+I8</f>
        <v>Odstupanje</v>
      </c>
      <c r="M8" s="530"/>
      <c r="N8" s="146" t="str">
        <f>+G8</f>
        <v>Ostvarenje</v>
      </c>
      <c r="O8" s="145" t="str">
        <f>+H8</f>
        <v>Plan</v>
      </c>
      <c r="P8" s="518" t="str">
        <f>+I8</f>
        <v>Odstupanje</v>
      </c>
      <c r="Q8" s="518"/>
      <c r="R8" s="145" t="str">
        <f>+CONCATENATE(Master!G245," ",Master!B4-1)</f>
        <v>Januar 2022</v>
      </c>
      <c r="S8" s="518" t="str">
        <f>+P8</f>
        <v>Odstupanje</v>
      </c>
      <c r="T8" s="519"/>
    </row>
    <row r="9" spans="1:20" ht="1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" thickBot="1">
      <c r="A10" s="150">
        <v>7</v>
      </c>
      <c r="B10" s="564" t="str">
        <f>+VLOOKUP($A10,Master!$D$30:$G$226,4,FALSE)</f>
        <v>Prihodi budžeta</v>
      </c>
      <c r="C10" s="565"/>
      <c r="D10" s="565"/>
      <c r="E10" s="565"/>
      <c r="F10" s="565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52" t="e">
        <f>+VLOOKUP($A18,Master!$D$30:$G$226,4,FALSE)</f>
        <v>#N/A</v>
      </c>
      <c r="C18" s="553"/>
      <c r="D18" s="553"/>
      <c r="E18" s="553"/>
      <c r="F18" s="553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52" t="str">
        <f>+VLOOKUP($A19,Master!$D$30:$G$226,4,FALSE)</f>
        <v>Ostali državni porezi</v>
      </c>
      <c r="C19" s="553"/>
      <c r="D19" s="553"/>
      <c r="E19" s="553"/>
      <c r="F19" s="553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62" t="str">
        <f>+VLOOKUP($A20,Master!$D$30:$G$226,4,FALSE)</f>
        <v>Doprinosi</v>
      </c>
      <c r="C20" s="563"/>
      <c r="D20" s="563"/>
      <c r="E20" s="563"/>
      <c r="F20" s="563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52" t="str">
        <f>+VLOOKUP($A21,Master!$D$30:$G$226,4,FALSE)</f>
        <v>Doprinosi za penzijsko i invalidsko osiguranje</v>
      </c>
      <c r="C21" s="553"/>
      <c r="D21" s="553"/>
      <c r="E21" s="553"/>
      <c r="F21" s="553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52" t="str">
        <f>+VLOOKUP($A22,Master!$D$30:$G$226,4,FALSE)</f>
        <v>Doprinosi za zdravstveno osiguranje</v>
      </c>
      <c r="C22" s="553"/>
      <c r="D22" s="553"/>
      <c r="E22" s="553"/>
      <c r="F22" s="553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52" t="str">
        <f>+VLOOKUP($A23,Master!$D$30:$G$226,4,FALSE)</f>
        <v>Doprinosi za osiguranje od nezaposlenosti</v>
      </c>
      <c r="C23" s="553"/>
      <c r="D23" s="553"/>
      <c r="E23" s="553"/>
      <c r="F23" s="553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52" t="str">
        <f>+VLOOKUP($A24,Master!$D$30:$G$226,4,FALSE)</f>
        <v>Ostali doprinosi</v>
      </c>
      <c r="C24" s="553"/>
      <c r="D24" s="553"/>
      <c r="E24" s="553"/>
      <c r="F24" s="553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54" t="str">
        <f>+VLOOKUP($A25,Master!$D$30:$G$226,4,FALSE)</f>
        <v>Takse</v>
      </c>
      <c r="C25" s="555"/>
      <c r="D25" s="555"/>
      <c r="E25" s="555"/>
      <c r="F25" s="555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54" t="str">
        <f>+VLOOKUP($A26,Master!$D$30:$G$226,4,FALSE)</f>
        <v>Naknade</v>
      </c>
      <c r="C26" s="555"/>
      <c r="D26" s="555"/>
      <c r="E26" s="555"/>
      <c r="F26" s="555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54" t="str">
        <f>+VLOOKUP($A27,Master!$D$30:$G$226,4,FALSE)</f>
        <v>Ostali prihodi</v>
      </c>
      <c r="C27" s="555"/>
      <c r="D27" s="555"/>
      <c r="E27" s="555"/>
      <c r="F27" s="555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54" t="str">
        <f>+VLOOKUP($A28,Master!$D$30:$G$226,4,FALSE)</f>
        <v>Primici od otplate kredita i sredstva prenesena iz prethodne godine</v>
      </c>
      <c r="C28" s="555"/>
      <c r="D28" s="555"/>
      <c r="E28" s="555"/>
      <c r="F28" s="555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" thickBot="1">
      <c r="A29" s="150">
        <v>74</v>
      </c>
      <c r="B29" s="556" t="str">
        <f>+VLOOKUP($A29,Master!$D$30:$G$226,4,FALSE)</f>
        <v>Donacije i transferi</v>
      </c>
      <c r="C29" s="557"/>
      <c r="D29" s="557"/>
      <c r="E29" s="557"/>
      <c r="F29" s="557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" thickBot="1">
      <c r="A30" s="150">
        <v>4</v>
      </c>
      <c r="B30" s="542" t="str">
        <f>+VLOOKUP($A30,Master!$D$30:$G$226,4,FALSE)</f>
        <v>Izdaci budžeta</v>
      </c>
      <c r="C30" s="543"/>
      <c r="D30" s="543"/>
      <c r="E30" s="543"/>
      <c r="F30" s="543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" thickBot="1">
      <c r="A31" s="150">
        <v>41</v>
      </c>
      <c r="B31" s="558" t="str">
        <f>+VLOOKUP($A31,Master!$D$30:$G$226,4,FALSE)</f>
        <v>Tekući izdaci</v>
      </c>
      <c r="C31" s="559"/>
      <c r="D31" s="559"/>
      <c r="E31" s="559"/>
      <c r="F31" s="559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60" t="str">
        <f>+VLOOKUP($A32,Master!$D$30:$G$226,4,FALSE)</f>
        <v>Tekuća budžetska potrošnja</v>
      </c>
      <c r="C32" s="561"/>
      <c r="D32" s="561"/>
      <c r="E32" s="561"/>
      <c r="F32" s="561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52" t="str">
        <f>+VLOOKUP($A33,Master!$D$30:$G$226,4,FALSE)</f>
        <v>Bruto zarade i doprinosi na teret poslodavca</v>
      </c>
      <c r="C33" s="553"/>
      <c r="D33" s="553"/>
      <c r="E33" s="553"/>
      <c r="F33" s="553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52" t="str">
        <f>+VLOOKUP($A34,Master!$D$30:$G$226,4,FALSE)</f>
        <v>Ostala lična primanja</v>
      </c>
      <c r="C34" s="553"/>
      <c r="D34" s="553"/>
      <c r="E34" s="553"/>
      <c r="F34" s="553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52" t="str">
        <f>+VLOOKUP($A35,Master!$D$30:$G$226,4,FALSE)</f>
        <v>Rashodi za materijal</v>
      </c>
      <c r="C35" s="553"/>
      <c r="D35" s="553"/>
      <c r="E35" s="553"/>
      <c r="F35" s="553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52" t="str">
        <f>+VLOOKUP($A36,Master!$D$30:$G$226,4,FALSE)</f>
        <v>Rashodi za usluge</v>
      </c>
      <c r="C36" s="553"/>
      <c r="D36" s="553"/>
      <c r="E36" s="553"/>
      <c r="F36" s="553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52" t="str">
        <f>+VLOOKUP($A37,Master!$D$30:$G$226,4,FALSE)</f>
        <v>Rashodi za tekuće održavanje</v>
      </c>
      <c r="C37" s="553"/>
      <c r="D37" s="553"/>
      <c r="E37" s="553"/>
      <c r="F37" s="553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52" t="str">
        <f>+VLOOKUP($A38,Master!$D$30:$G$226,4,FALSE)</f>
        <v>Kamate</v>
      </c>
      <c r="C38" s="553"/>
      <c r="D38" s="553"/>
      <c r="E38" s="553"/>
      <c r="F38" s="553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52" t="str">
        <f>+VLOOKUP($A39,Master!$D$30:$G$226,4,FALSE)</f>
        <v>Renta</v>
      </c>
      <c r="C39" s="553"/>
      <c r="D39" s="553"/>
      <c r="E39" s="553"/>
      <c r="F39" s="553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52" t="str">
        <f>+VLOOKUP($A40,Master!$D$30:$G$226,4,FALSE)</f>
        <v>Subvencije</v>
      </c>
      <c r="C40" s="553"/>
      <c r="D40" s="553"/>
      <c r="E40" s="553"/>
      <c r="F40" s="553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52" t="str">
        <f>+VLOOKUP($A41,Master!$D$30:$G$226,4,FALSE)</f>
        <v>Ostali izdaci</v>
      </c>
      <c r="C41" s="553"/>
      <c r="D41" s="553"/>
      <c r="E41" s="553"/>
      <c r="F41" s="553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52" t="e">
        <f>+VLOOKUP($A42,Master!$D$30:$G$226,4,FALSE)</f>
        <v>#N/A</v>
      </c>
      <c r="C42" s="553"/>
      <c r="D42" s="553"/>
      <c r="E42" s="553"/>
      <c r="F42" s="553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48" t="str">
        <f>+VLOOKUP($A43,Master!$D$30:$G$226,4,FALSE)</f>
        <v>Transferi za socijalnu zaštitu</v>
      </c>
      <c r="C43" s="549"/>
      <c r="D43" s="549"/>
      <c r="E43" s="549"/>
      <c r="F43" s="549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52" t="str">
        <f>+VLOOKUP($A44,Master!$D$30:$G$226,4,FALSE)</f>
        <v>Prava iz oblasti socijalne zaštite</v>
      </c>
      <c r="C44" s="553"/>
      <c r="D44" s="553"/>
      <c r="E44" s="553"/>
      <c r="F44" s="553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52" t="str">
        <f>+VLOOKUP($A45,Master!$D$30:$G$226,4,FALSE)</f>
        <v>Sredstva za tehnološke viškove</v>
      </c>
      <c r="C45" s="553"/>
      <c r="D45" s="553"/>
      <c r="E45" s="553"/>
      <c r="F45" s="553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52" t="str">
        <f>+VLOOKUP($A46,Master!$D$30:$G$226,4,FALSE)</f>
        <v>Prava iz oblasti penzijskog i invalidskog osiguranja</v>
      </c>
      <c r="C46" s="553"/>
      <c r="D46" s="553"/>
      <c r="E46" s="553"/>
      <c r="F46" s="553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52" t="str">
        <f>+VLOOKUP($A47,Master!$D$30:$G$226,4,FALSE)</f>
        <v>Ostala prava iz oblasti zdravstvene zaštite</v>
      </c>
      <c r="C47" s="553"/>
      <c r="D47" s="553"/>
      <c r="E47" s="553"/>
      <c r="F47" s="553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52" t="str">
        <f>+VLOOKUP($A48,Master!$D$30:$G$226,4,FALSE)</f>
        <v>Ostala prava iz zdravstvenog osiguranja</v>
      </c>
      <c r="C48" s="553"/>
      <c r="D48" s="553"/>
      <c r="E48" s="553"/>
      <c r="F48" s="553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50" t="str">
        <f>+VLOOKUP($A49,Master!$D$30:$G$226,4,FALSE)</f>
        <v xml:space="preserve">Transferi institucijama, pojedincima, nevladinom i javnom sektoru </v>
      </c>
      <c r="C49" s="551"/>
      <c r="D49" s="551"/>
      <c r="E49" s="551"/>
      <c r="F49" s="551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50" t="str">
        <f>+VLOOKUP($A50,Master!$D$30:$G$226,4,FALSE)</f>
        <v>Kapitalni izdaci</v>
      </c>
      <c r="C50" s="551"/>
      <c r="D50" s="551"/>
      <c r="E50" s="551"/>
      <c r="F50" s="551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0" t="str">
        <f>+VLOOKUP($A51,Master!$D$30:$G$226,4,FALSE)</f>
        <v>Pozajmice i krediti</v>
      </c>
      <c r="C51" s="521"/>
      <c r="D51" s="521"/>
      <c r="E51" s="521"/>
      <c r="F51" s="521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0" t="str">
        <f>+VLOOKUP($A52,Master!$D$30:$G$226,4,FALSE)</f>
        <v>Rezerve</v>
      </c>
      <c r="C52" s="521"/>
      <c r="D52" s="521"/>
      <c r="E52" s="521"/>
      <c r="F52" s="521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" thickBot="1">
      <c r="A53" s="150">
        <v>462</v>
      </c>
      <c r="B53" s="538" t="str">
        <f>+VLOOKUP($A53,Master!$D$30:$G$226,4,FALSE)</f>
        <v>Otplata garancija</v>
      </c>
      <c r="C53" s="539"/>
      <c r="D53" s="539"/>
      <c r="E53" s="539"/>
      <c r="F53" s="539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" thickBot="1">
      <c r="A54" s="144">
        <v>4630</v>
      </c>
      <c r="B54" s="538" t="str">
        <f>+VLOOKUP($A54,Master!$D$30:$G$226,4,FALSE)</f>
        <v>Otplata obaveza iz prethodnog perioda</v>
      </c>
      <c r="C54" s="539"/>
      <c r="D54" s="539"/>
      <c r="E54" s="539"/>
      <c r="F54" s="539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" thickBot="1">
      <c r="A55" s="144">
        <v>1005</v>
      </c>
      <c r="B55" s="538" t="str">
        <f>+VLOOKUP($A55,Master!$D$30:$G$228,4,FALSE)</f>
        <v>Neto povećanje obaveza</v>
      </c>
      <c r="C55" s="539"/>
      <c r="D55" s="539"/>
      <c r="E55" s="539"/>
      <c r="F55" s="539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" thickBot="1">
      <c r="A56" s="144">
        <v>1000</v>
      </c>
      <c r="B56" s="544" t="str">
        <f>+VLOOKUP($A56,Master!$D$30:$G$226,4,FALSE)</f>
        <v>Suficit / deficit</v>
      </c>
      <c r="C56" s="545"/>
      <c r="D56" s="545"/>
      <c r="E56" s="545"/>
      <c r="F56" s="545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" thickBot="1">
      <c r="A57" s="144">
        <v>1001</v>
      </c>
      <c r="B57" s="546" t="str">
        <f>+VLOOKUP($A57,Master!$D$30:$G$226,4,FALSE)</f>
        <v>Primarni suficit/deficit</v>
      </c>
      <c r="C57" s="547"/>
      <c r="D57" s="547"/>
      <c r="E57" s="547"/>
      <c r="F57" s="547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48" t="str">
        <f>+VLOOKUP($A58,Master!$D$30:$G$226,4,FALSE)</f>
        <v>Otplata dugova</v>
      </c>
      <c r="C58" s="549"/>
      <c r="D58" s="549"/>
      <c r="E58" s="549"/>
      <c r="F58" s="549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36" t="str">
        <f>+VLOOKUP($A59,Master!$D$30:$G$226,4,FALSE)</f>
        <v>Otplata hartija od vrijednosti i kredita rezidentima</v>
      </c>
      <c r="C59" s="537"/>
      <c r="D59" s="537"/>
      <c r="E59" s="537"/>
      <c r="F59" s="537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0" t="str">
        <f>+VLOOKUP($A60,Master!$D$30:$G$226,4,FALSE)</f>
        <v>Otplata hartija od vrijednosti i kredita nerezidentima</v>
      </c>
      <c r="C60" s="521"/>
      <c r="D60" s="521"/>
      <c r="E60" s="521"/>
      <c r="F60" s="521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" thickBot="1">
      <c r="A62" s="144">
        <v>1002</v>
      </c>
      <c r="B62" s="540" t="str">
        <f>+VLOOKUP($A62,Master!$D$30:$G$226,4,FALSE)</f>
        <v>Nedostajuća sredstva</v>
      </c>
      <c r="C62" s="541"/>
      <c r="D62" s="541"/>
      <c r="E62" s="541"/>
      <c r="F62" s="541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" thickBot="1">
      <c r="A63" s="144">
        <v>1003</v>
      </c>
      <c r="B63" s="542" t="str">
        <f>+VLOOKUP($A63,Master!$D$30:$G$226,4,FALSE)</f>
        <v>Finansiranje</v>
      </c>
      <c r="C63" s="543"/>
      <c r="D63" s="543"/>
      <c r="E63" s="543"/>
      <c r="F63" s="543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36" t="str">
        <f>+VLOOKUP($A64,Master!$D$30:$G$226,4,FALSE)</f>
        <v>Pozajmice i krediti od domaćih izvora</v>
      </c>
      <c r="C64" s="537"/>
      <c r="D64" s="537"/>
      <c r="E64" s="537"/>
      <c r="F64" s="537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0" t="str">
        <f>+VLOOKUP($A65,Master!$D$30:$G$226,4,FALSE)</f>
        <v>Pozajmice i krediti od inostranih izvora</v>
      </c>
      <c r="C65" s="521"/>
      <c r="D65" s="521"/>
      <c r="E65" s="521"/>
      <c r="F65" s="521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0" t="str">
        <f>+VLOOKUP($A66,Master!$D$30:$G$226,4,FALSE)</f>
        <v>Primici od prodaje imovine</v>
      </c>
      <c r="C66" s="521"/>
      <c r="D66" s="521"/>
      <c r="E66" s="521"/>
      <c r="F66" s="521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796875" defaultRowHeight="14.5"/>
  <cols>
    <col min="1" max="1" width="1.81640625" style="72" customWidth="1"/>
    <col min="2" max="2" width="2.7265625" style="72" bestFit="1" customWidth="1"/>
    <col min="3" max="3" width="3.54296875" style="72" bestFit="1" customWidth="1"/>
    <col min="4" max="4" width="5.7265625" style="72" bestFit="1" customWidth="1"/>
    <col min="5" max="5" width="30.54296875" style="76" customWidth="1"/>
    <col min="6" max="124" width="14.26953125" style="41" hidden="1" customWidth="1"/>
    <col min="125" max="125" width="19.7265625" style="41" hidden="1" customWidth="1"/>
    <col min="126" max="131" width="12.7265625" style="273" hidden="1" customWidth="1"/>
    <col min="132" max="132" width="14" style="273" hidden="1" customWidth="1"/>
    <col min="133" max="134" width="12.7265625" style="273" hidden="1" customWidth="1"/>
    <col min="135" max="135" width="15.26953125" style="273" hidden="1" customWidth="1"/>
    <col min="136" max="136" width="11.54296875" style="273" hidden="1" customWidth="1"/>
    <col min="137" max="137" width="14" style="273" hidden="1" customWidth="1"/>
    <col min="138" max="138" width="14" style="41" hidden="1" customWidth="1"/>
    <col min="139" max="148" width="13.7265625" style="41" hidden="1" customWidth="1"/>
    <col min="149" max="149" width="13.54296875" style="41" hidden="1" customWidth="1"/>
    <col min="150" max="150" width="14" style="41" hidden="1" customWidth="1"/>
    <col min="151" max="151" width="14.26953125" style="41" hidden="1" customWidth="1"/>
    <col min="152" max="152" width="13.453125" style="41" hidden="1" customWidth="1"/>
    <col min="153" max="153" width="13.81640625" style="41" hidden="1" customWidth="1"/>
    <col min="154" max="154" width="13.54296875" style="41" hidden="1" customWidth="1"/>
    <col min="155" max="155" width="12.7265625" style="41" hidden="1" customWidth="1"/>
    <col min="156" max="158" width="13.7265625" style="41" hidden="1" customWidth="1"/>
    <col min="159" max="159" width="12.81640625" style="41" hidden="1" customWidth="1"/>
    <col min="160" max="161" width="12.7265625" style="41" hidden="1" customWidth="1"/>
    <col min="162" max="162" width="13.81640625" style="41" hidden="1" customWidth="1"/>
    <col min="163" max="163" width="11.1796875" style="41" hidden="1" customWidth="1"/>
    <col min="164" max="164" width="13.81640625" style="41" hidden="1" customWidth="1"/>
    <col min="165" max="165" width="12.7265625" style="41" hidden="1" customWidth="1"/>
    <col min="166" max="166" width="13.81640625" style="41" hidden="1" customWidth="1"/>
    <col min="167" max="173" width="12.7265625" style="41" hidden="1" customWidth="1"/>
    <col min="174" max="174" width="12.81640625" style="41" customWidth="1"/>
    <col min="175" max="175" width="13.81640625" style="41" customWidth="1"/>
    <col min="176" max="176" width="14" style="41" customWidth="1"/>
    <col min="177" max="177" width="13.81640625" style="41" customWidth="1"/>
    <col min="178" max="178" width="13.81640625" style="41" bestFit="1" customWidth="1"/>
    <col min="179" max="179" width="12.81640625" style="41" customWidth="1"/>
    <col min="180" max="183" width="13.81640625" style="41" customWidth="1"/>
    <col min="184" max="184" width="12.81640625" style="41" customWidth="1"/>
    <col min="185" max="185" width="13.81640625" style="41" customWidth="1"/>
    <col min="186" max="186" width="3.453125" style="41" customWidth="1"/>
    <col min="187" max="187" width="15.453125" style="350" bestFit="1" customWidth="1"/>
    <col min="188" max="16384" width="9.179687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7" t="s">
        <v>554</v>
      </c>
      <c r="F6" s="634">
        <v>2006</v>
      </c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6"/>
      <c r="R6" s="634">
        <v>2007</v>
      </c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6"/>
      <c r="AD6" s="634">
        <v>2008</v>
      </c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6"/>
      <c r="AP6" s="634">
        <v>2009</v>
      </c>
      <c r="AQ6" s="635"/>
      <c r="AR6" s="635"/>
      <c r="AS6" s="635"/>
      <c r="AT6" s="635"/>
      <c r="AU6" s="635"/>
      <c r="AV6" s="635"/>
      <c r="AW6" s="635"/>
      <c r="AX6" s="635"/>
      <c r="AY6" s="635"/>
      <c r="AZ6" s="635"/>
      <c r="BA6" s="636"/>
      <c r="BB6" s="634">
        <v>2010</v>
      </c>
      <c r="BC6" s="635"/>
      <c r="BD6" s="635"/>
      <c r="BE6" s="635"/>
      <c r="BF6" s="635"/>
      <c r="BG6" s="635"/>
      <c r="BH6" s="635"/>
      <c r="BI6" s="635"/>
      <c r="BJ6" s="635"/>
      <c r="BK6" s="635"/>
      <c r="BL6" s="635"/>
      <c r="BM6" s="636"/>
      <c r="BN6" s="634">
        <v>2011</v>
      </c>
      <c r="BO6" s="635"/>
      <c r="BP6" s="635"/>
      <c r="BQ6" s="635"/>
      <c r="BR6" s="635"/>
      <c r="BS6" s="635"/>
      <c r="BT6" s="635"/>
      <c r="BU6" s="635"/>
      <c r="BV6" s="635"/>
      <c r="BW6" s="635"/>
      <c r="BX6" s="635"/>
      <c r="BY6" s="636"/>
      <c r="BZ6" s="635">
        <v>2012</v>
      </c>
      <c r="CA6" s="635"/>
      <c r="CB6" s="635"/>
      <c r="CC6" s="635"/>
      <c r="CD6" s="635"/>
      <c r="CE6" s="635"/>
      <c r="CF6" s="635"/>
      <c r="CG6" s="635"/>
      <c r="CH6" s="635"/>
      <c r="CI6" s="635"/>
      <c r="CJ6" s="635"/>
      <c r="CK6" s="635"/>
      <c r="CL6" s="634">
        <v>2013</v>
      </c>
      <c r="CM6" s="635"/>
      <c r="CN6" s="635"/>
      <c r="CO6" s="635"/>
      <c r="CP6" s="635"/>
      <c r="CQ6" s="635"/>
      <c r="CR6" s="635"/>
      <c r="CS6" s="635"/>
      <c r="CT6" s="635"/>
      <c r="CU6" s="635"/>
      <c r="CV6" s="635"/>
      <c r="CW6" s="636"/>
      <c r="CX6" s="634">
        <v>2014</v>
      </c>
      <c r="CY6" s="635"/>
      <c r="CZ6" s="635"/>
      <c r="DA6" s="635"/>
      <c r="DB6" s="635"/>
      <c r="DC6" s="635"/>
      <c r="DD6" s="635"/>
      <c r="DE6" s="635"/>
      <c r="DF6" s="635"/>
      <c r="DG6" s="635"/>
      <c r="DH6" s="635"/>
      <c r="DI6" s="636"/>
      <c r="DJ6" s="634">
        <v>2015</v>
      </c>
      <c r="DK6" s="635"/>
      <c r="DL6" s="635"/>
      <c r="DM6" s="635"/>
      <c r="DN6" s="635"/>
      <c r="DO6" s="635"/>
      <c r="DP6" s="635"/>
      <c r="DQ6" s="635"/>
      <c r="DR6" s="635"/>
      <c r="DS6" s="635"/>
      <c r="DT6" s="635"/>
      <c r="DU6" s="636"/>
    </row>
    <row r="7" spans="1:321">
      <c r="E7" s="637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29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29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29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29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29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29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29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29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29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29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29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29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29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29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29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29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29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29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29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29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29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29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29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29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29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29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29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29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29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29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29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29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3.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3.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29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29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29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29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29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29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29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29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29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29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29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29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29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29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7" t="s">
        <v>675</v>
      </c>
      <c r="F214" s="634">
        <v>2006</v>
      </c>
      <c r="G214" s="635"/>
      <c r="H214" s="635"/>
      <c r="I214" s="635"/>
      <c r="J214" s="635"/>
      <c r="K214" s="635"/>
      <c r="L214" s="635"/>
      <c r="M214" s="635"/>
      <c r="N214" s="635"/>
      <c r="O214" s="635"/>
      <c r="P214" s="635"/>
      <c r="Q214" s="636"/>
      <c r="R214" s="634">
        <v>2007</v>
      </c>
      <c r="S214" s="635"/>
      <c r="T214" s="635"/>
      <c r="U214" s="635"/>
      <c r="V214" s="635"/>
      <c r="W214" s="635"/>
      <c r="X214" s="635"/>
      <c r="Y214" s="635"/>
      <c r="Z214" s="635"/>
      <c r="AA214" s="635"/>
      <c r="AB214" s="635"/>
      <c r="AC214" s="636"/>
      <c r="AD214" s="634">
        <v>2008</v>
      </c>
      <c r="AE214" s="635"/>
      <c r="AF214" s="635"/>
      <c r="AG214" s="635"/>
      <c r="AH214" s="635"/>
      <c r="AI214" s="635"/>
      <c r="AJ214" s="635"/>
      <c r="AK214" s="635"/>
      <c r="AL214" s="635"/>
      <c r="AM214" s="635"/>
      <c r="AN214" s="635"/>
      <c r="AO214" s="636"/>
      <c r="AP214" s="634">
        <v>2009</v>
      </c>
      <c r="AQ214" s="635"/>
      <c r="AR214" s="635"/>
      <c r="AS214" s="635"/>
      <c r="AT214" s="635"/>
      <c r="AU214" s="635"/>
      <c r="AV214" s="635"/>
      <c r="AW214" s="635"/>
      <c r="AX214" s="635"/>
      <c r="AY214" s="635"/>
      <c r="AZ214" s="635"/>
      <c r="BA214" s="636"/>
      <c r="BB214" s="634">
        <v>2010</v>
      </c>
      <c r="BC214" s="635"/>
      <c r="BD214" s="635"/>
      <c r="BE214" s="635"/>
      <c r="BF214" s="635"/>
      <c r="BG214" s="635"/>
      <c r="BH214" s="635"/>
      <c r="BI214" s="635"/>
      <c r="BJ214" s="635"/>
      <c r="BK214" s="635"/>
      <c r="BL214" s="635"/>
      <c r="BM214" s="636"/>
      <c r="BN214" s="634">
        <v>2011</v>
      </c>
      <c r="BO214" s="635"/>
      <c r="BP214" s="635"/>
      <c r="BQ214" s="635"/>
      <c r="BR214" s="635"/>
      <c r="BS214" s="635"/>
      <c r="BT214" s="635"/>
      <c r="BU214" s="635"/>
      <c r="BV214" s="635"/>
      <c r="BW214" s="635"/>
      <c r="BX214" s="635"/>
      <c r="BY214" s="636"/>
      <c r="BZ214" s="635">
        <v>2012</v>
      </c>
      <c r="CA214" s="635"/>
      <c r="CB214" s="635"/>
      <c r="CC214" s="635"/>
      <c r="CD214" s="635"/>
      <c r="CE214" s="635"/>
      <c r="CF214" s="635"/>
      <c r="CG214" s="635"/>
      <c r="CH214" s="635"/>
      <c r="CI214" s="635"/>
      <c r="CJ214" s="635"/>
      <c r="CK214" s="635"/>
      <c r="CL214" s="634">
        <v>2013</v>
      </c>
      <c r="CM214" s="635"/>
      <c r="CN214" s="635"/>
      <c r="CO214" s="635"/>
      <c r="CP214" s="635"/>
      <c r="CQ214" s="635"/>
      <c r="CR214" s="635"/>
      <c r="CS214" s="635"/>
      <c r="CT214" s="635"/>
      <c r="CU214" s="635"/>
      <c r="CV214" s="635"/>
      <c r="CW214" s="636"/>
      <c r="CX214" s="634">
        <v>2014</v>
      </c>
      <c r="CY214" s="635"/>
      <c r="CZ214" s="635"/>
      <c r="DA214" s="635"/>
      <c r="DB214" s="635"/>
      <c r="DC214" s="635"/>
      <c r="DD214" s="635"/>
      <c r="DE214" s="635"/>
      <c r="DF214" s="635"/>
      <c r="DG214" s="635"/>
      <c r="DH214" s="635"/>
      <c r="DI214" s="636"/>
      <c r="DJ214" s="634">
        <v>2015</v>
      </c>
      <c r="DK214" s="635"/>
      <c r="DL214" s="635"/>
      <c r="DM214" s="635"/>
      <c r="DN214" s="635"/>
      <c r="DO214" s="635"/>
      <c r="DP214" s="635"/>
      <c r="DQ214" s="635"/>
      <c r="DR214" s="635"/>
      <c r="DS214" s="635"/>
      <c r="DT214" s="635"/>
      <c r="DU214" s="636"/>
    </row>
    <row r="215" spans="1:187">
      <c r="E215" s="637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29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29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29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29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29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29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29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29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29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29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29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29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29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29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29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29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29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29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29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29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29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29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29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29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29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29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29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29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29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29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29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29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29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29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3.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3.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29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29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29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29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29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29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29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29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29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29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29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29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29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29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230" activePane="bottomLeft" state="frozen"/>
      <selection pane="bottomLeft" activeCell="G246" sqref="G246"/>
    </sheetView>
  </sheetViews>
  <sheetFormatPr defaultColWidth="9.1796875" defaultRowHeight="14.5"/>
  <cols>
    <col min="1" max="1" width="1.26953125" style="6" customWidth="1"/>
    <col min="2" max="2" width="5" style="6" bestFit="1" customWidth="1"/>
    <col min="3" max="3" width="12.1796875" style="42" customWidth="1"/>
    <col min="4" max="4" width="9.1796875" style="42"/>
    <col min="5" max="5" width="35.453125" style="7" customWidth="1"/>
    <col min="6" max="6" width="43.1796875" style="8" customWidth="1"/>
    <col min="7" max="7" width="88.81640625" style="52" bestFit="1" customWidth="1"/>
    <col min="8" max="16384" width="9.1796875" style="6"/>
  </cols>
  <sheetData>
    <row r="1" spans="2:7" ht="13.15" customHeight="1" thickBot="1"/>
    <row r="2" spans="2:7" ht="15" thickBot="1">
      <c r="B2" s="259">
        <v>1</v>
      </c>
      <c r="C2" s="56" t="s">
        <v>0</v>
      </c>
    </row>
    <row r="3" spans="2:7" ht="15" thickBot="1">
      <c r="B3" s="260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2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22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2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2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2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2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2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2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2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Januar</v>
      </c>
    </row>
    <row r="246" spans="4:7">
      <c r="D246" s="49"/>
      <c r="E246" s="9"/>
      <c r="F246" s="10"/>
      <c r="G246" s="52" t="str">
        <f>+CONCATENATE("Jan - ",LEFT(G245,3))</f>
        <v>Jan - Jan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Jan</v>
      </c>
      <c r="F254" s="10" t="str">
        <f>+CONCATENATE("Analytics for period ",G246)</f>
        <v>Analytics for period Jan - Jan</v>
      </c>
      <c r="G254" s="52" t="str">
        <f>+IF(ISBLANK(IF($B$2=1,E254,F254)),"",IF($B$2=1,E254,F254))</f>
        <v>Analitika za period Jan - Jan</v>
      </c>
    </row>
    <row r="255" spans="4:7">
      <c r="D255" s="46"/>
      <c r="E255" s="9" t="str">
        <f>+CONCATENATE("Analitika za period ",G245)</f>
        <v>Analitika za period Januar</v>
      </c>
      <c r="F255" s="10" t="str">
        <f>+CONCATENATE("Analytics for period ",G245)</f>
        <v>Analytics for period Januar</v>
      </c>
      <c r="G255" s="52" t="str">
        <f>+IF(ISBLANK(IF($B$2=1,E255,F255)),"",IF($B$2=1,E255,F255))</f>
        <v>Analitika za period Januar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Januar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Januar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Januar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Januar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Januar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Januar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58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B9" sqref="B9"/>
    </sheetView>
  </sheetViews>
  <sheetFormatPr defaultColWidth="9.1796875" defaultRowHeight="14.5"/>
  <cols>
    <col min="1" max="3" width="9.1796875" style="130"/>
    <col min="4" max="4" width="10" style="130" bestFit="1" customWidth="1"/>
    <col min="5" max="7" width="9.1796875" style="130"/>
    <col min="8" max="8" width="11" style="130" bestFit="1" customWidth="1"/>
    <col min="9" max="16384" width="9.179687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Januar</v>
      </c>
      <c r="E11" s="135"/>
      <c r="F11" s="135"/>
      <c r="G11" s="137"/>
      <c r="H11" s="135"/>
      <c r="I11" s="135"/>
      <c r="J11" s="135"/>
      <c r="K11" s="136"/>
    </row>
    <row r="12" spans="3:11">
      <c r="C12" s="134"/>
      <c r="D12" s="138">
        <f>+'Analitika 2023'!G10</f>
        <v>167764831.39999998</v>
      </c>
      <c r="E12" s="454">
        <f>+D12/'2023'!T7</f>
        <v>2.7170153758947945E-2</v>
      </c>
      <c r="F12" s="135"/>
      <c r="G12" s="135"/>
      <c r="H12" s="135"/>
      <c r="I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5"/>
      <c r="H13" s="135"/>
      <c r="I13" s="135"/>
      <c r="K13" s="136"/>
    </row>
    <row r="14" spans="3:11">
      <c r="C14" s="134"/>
      <c r="G14" s="135"/>
      <c r="H14" s="135"/>
      <c r="I14" s="135"/>
      <c r="K14" s="136"/>
    </row>
    <row r="15" spans="3:11">
      <c r="C15" s="134"/>
      <c r="D15" s="137" t="str">
        <f>+Master!G271</f>
        <v>Rashodi za mjesec Januar</v>
      </c>
      <c r="E15" s="135"/>
      <c r="F15" s="135"/>
      <c r="G15" s="135"/>
      <c r="H15" s="135"/>
      <c r="I15" s="135"/>
      <c r="K15" s="136"/>
    </row>
    <row r="16" spans="3:11">
      <c r="C16" s="134"/>
      <c r="D16" s="138">
        <f>+'Analitika 2023'!G29</f>
        <v>114740855.95</v>
      </c>
      <c r="E16" s="454">
        <f>+D16/'2023'!T7</f>
        <v>1.8582718872477571E-2</v>
      </c>
      <c r="F16" s="135"/>
      <c r="G16" s="135"/>
      <c r="H16" s="135"/>
      <c r="I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5"/>
      <c r="H17" s="135"/>
      <c r="I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K18" s="136"/>
    </row>
    <row r="19" spans="3:12">
      <c r="C19" s="134"/>
      <c r="D19" s="137" t="str">
        <f>+Master!G272</f>
        <v>Suficit/Deficit za mjesec Januar</v>
      </c>
      <c r="E19" s="135"/>
      <c r="F19" s="135"/>
      <c r="G19" s="135"/>
      <c r="H19" s="135"/>
      <c r="I19" s="135"/>
      <c r="K19" s="136"/>
    </row>
    <row r="20" spans="3:12">
      <c r="C20" s="134"/>
      <c r="D20" s="138">
        <f>+'Analitika 2023'!G53</f>
        <v>53023975.449999973</v>
      </c>
      <c r="E20" s="454">
        <f>+D20/'2023'!T7</f>
        <v>8.5874348864703742E-3</v>
      </c>
      <c r="F20" s="135"/>
      <c r="G20" s="135"/>
      <c r="H20" s="135"/>
      <c r="I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/>
      <c r="H21" s="139"/>
      <c r="I21" s="135"/>
      <c r="J21" s="135"/>
      <c r="K21" s="136"/>
    </row>
    <row r="22" spans="3:12" ht="1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H3UQq4l+H9lAUWatdf8iQG8GE4v0LxiCmg5MPsQ6OOjGjHncB8QCG1qyv7pPsggz7ic9MwuTKbXi5a3zYLwGbw==" saltValue="6t/goiM+w8K6XrVkni3CT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355600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Y70"/>
  <sheetViews>
    <sheetView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796875" defaultRowHeight="14.5"/>
  <cols>
    <col min="1" max="1" width="5" style="5" bestFit="1" customWidth="1"/>
    <col min="2" max="2" width="11.7265625" style="5" customWidth="1"/>
    <col min="3" max="4" width="9.1796875" style="5"/>
    <col min="5" max="5" width="9.1796875" style="5" customWidth="1"/>
    <col min="6" max="6" width="14.81640625" style="5" customWidth="1"/>
    <col min="7" max="7" width="15.7265625" style="358" customWidth="1"/>
    <col min="8" max="8" width="12.453125" style="5" customWidth="1"/>
    <col min="9" max="9" width="12.54296875" style="5" customWidth="1"/>
    <col min="10" max="10" width="12.7265625" style="5" customWidth="1"/>
    <col min="11" max="13" width="12.453125" style="5" customWidth="1"/>
    <col min="14" max="14" width="12.7265625" style="5" hidden="1" customWidth="1"/>
    <col min="15" max="15" width="11.453125" style="5" hidden="1" customWidth="1"/>
    <col min="16" max="17" width="12.1796875" style="5" hidden="1" customWidth="1"/>
    <col min="18" max="18" width="13.453125" style="5" hidden="1" customWidth="1"/>
    <col min="19" max="19" width="9.1796875" style="5" hidden="1" customWidth="1"/>
    <col min="20" max="20" width="9.81640625" style="5" hidden="1" customWidth="1"/>
    <col min="21" max="22" width="9.1796875" style="5"/>
    <col min="23" max="23" width="11.7265625" style="5" bestFit="1" customWidth="1"/>
    <col min="24" max="25" width="9.1796875" style="5"/>
    <col min="26" max="26" width="11.26953125" style="5" bestFit="1" customWidth="1"/>
    <col min="27" max="16384" width="9.179687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2023-01</v>
      </c>
      <c r="O6" s="143" t="str">
        <f>+CONCATENATE(N6,"p")</f>
        <v>2023-01p</v>
      </c>
      <c r="P6" s="130"/>
      <c r="Q6" s="130"/>
      <c r="R6" s="143" t="str">
        <f>+IF(Master!B3-10&gt;=0,CONCATENATE(Master!B4-1,"-",Master!B3),CONCATENATE(Master!B4-1,"-0",Master!B3))</f>
        <v>2022-01</v>
      </c>
      <c r="S6" s="130"/>
      <c r="T6" s="130"/>
    </row>
    <row r="7" spans="1:25" ht="14.25" customHeight="1">
      <c r="A7" s="144"/>
      <c r="B7" s="522" t="str">
        <f>+Master!G254</f>
        <v>Analitika za period Jan - Jan</v>
      </c>
      <c r="C7" s="523"/>
      <c r="D7" s="523"/>
      <c r="E7" s="523"/>
      <c r="F7" s="523"/>
      <c r="G7" s="531" t="str">
        <f>+Master!G246</f>
        <v>Jan - Jan</v>
      </c>
      <c r="H7" s="532"/>
      <c r="I7" s="532"/>
      <c r="J7" s="532"/>
      <c r="K7" s="532"/>
      <c r="L7" s="532"/>
      <c r="M7" s="535"/>
      <c r="N7" s="532" t="str">
        <f>+Master!G245</f>
        <v>Januar</v>
      </c>
      <c r="O7" s="532"/>
      <c r="P7" s="532"/>
      <c r="Q7" s="532"/>
      <c r="R7" s="532"/>
      <c r="S7" s="532"/>
      <c r="T7" s="535"/>
    </row>
    <row r="8" spans="1:25" ht="29.25" customHeight="1">
      <c r="A8" s="144"/>
      <c r="B8" s="524"/>
      <c r="C8" s="525"/>
      <c r="D8" s="525"/>
      <c r="E8" s="525"/>
      <c r="F8" s="526"/>
      <c r="G8" s="515" t="str">
        <f>+Master!G26</f>
        <v>Ostvarenje</v>
      </c>
      <c r="H8" s="356" t="str">
        <f>+Master!G25</f>
        <v>Plan</v>
      </c>
      <c r="I8" s="518" t="str">
        <f>+Master!G261</f>
        <v>Odstupanje</v>
      </c>
      <c r="J8" s="518"/>
      <c r="K8" s="145" t="str">
        <f>+CONCATENATE(Master!G246," ",Master!B4-1)</f>
        <v>Jan - Jan 2022</v>
      </c>
      <c r="L8" s="518" t="str">
        <f>+I8</f>
        <v>Odstupanje</v>
      </c>
      <c r="M8" s="519"/>
      <c r="N8" s="515" t="str">
        <f>+G8</f>
        <v>Ostvarenje</v>
      </c>
      <c r="O8" s="145" t="str">
        <f>+H8</f>
        <v>Plan</v>
      </c>
      <c r="P8" s="518" t="str">
        <f>+I8</f>
        <v>Odstupanje</v>
      </c>
      <c r="Q8" s="518"/>
      <c r="R8" s="145" t="str">
        <f>+CONCATENATE(Master!G245," ",Master!B4-1)</f>
        <v>Januar 2022</v>
      </c>
      <c r="S8" s="518" t="str">
        <f>+P8</f>
        <v>Odstupanje</v>
      </c>
      <c r="T8" s="519"/>
    </row>
    <row r="9" spans="1:25" ht="15" thickBot="1">
      <c r="A9" s="144"/>
      <c r="B9" s="527"/>
      <c r="C9" s="528"/>
      <c r="D9" s="528"/>
      <c r="E9" s="528"/>
      <c r="F9" s="529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'2023'!G10</f>
        <v>167764831.39999998</v>
      </c>
      <c r="H10" s="151">
        <f>'2023'!G84</f>
        <v>153112731.45240748</v>
      </c>
      <c r="I10" s="152">
        <f>+G10-H10</f>
        <v>14652099.947592497</v>
      </c>
      <c r="J10" s="154">
        <f>IF(+IF(ISERROR(G10/H10),"…",G10/H10-1)&gt;200%,"...",IF(ISERROR(G10/H10),"…",G10/H10-1))</f>
        <v>9.5694850510500196E-2</v>
      </c>
      <c r="K10" s="151">
        <f>'2022'!G10</f>
        <v>107815206.7</v>
      </c>
      <c r="L10" s="152">
        <f>+G10-K10</f>
        <v>59949624.699999973</v>
      </c>
      <c r="M10" s="156">
        <f>IF(+IF(ISERROR(G10/K10),"…",G10/K10-1)&gt;200%,"...",IF(ISERROR(G10/K10),"…",G10/K10-1))</f>
        <v>0.55604053022698485</v>
      </c>
      <c r="N10" s="151">
        <f>'2022'!R10</f>
        <v>220027103.44000003</v>
      </c>
      <c r="O10" s="151">
        <f>'2022'!R84</f>
        <v>196108732.88999999</v>
      </c>
      <c r="P10" s="152">
        <f>+N10-O10</f>
        <v>23918370.550000042</v>
      </c>
      <c r="Q10" s="154">
        <f>IF(+IF(ISERROR(N10/O10),"…",N10/O10-1)&gt;200%,"...",IF(ISERROR(N10/O10),"…",N10/O10-1))</f>
        <v>0.12196484163413657</v>
      </c>
      <c r="R10" s="151">
        <f>'2021'!R10</f>
        <v>248407354.71000004</v>
      </c>
      <c r="S10" s="152">
        <f>+N10-R10</f>
        <v>-28380251.270000011</v>
      </c>
      <c r="T10" s="156">
        <f>IF(+IF(ISERROR(N10/R10),"…",N10/R10-1)&gt;200%,"...",IF(ISERROR(N10/R10),"…",N10/R10-1))</f>
        <v>-0.11424883656577789</v>
      </c>
      <c r="W10" s="498"/>
      <c r="Y10" s="498"/>
    </row>
    <row r="11" spans="1:25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277">
        <f>'2023'!G11</f>
        <v>103490146.19</v>
      </c>
      <c r="H11" s="277">
        <f>'2023'!G85</f>
        <v>89053259.19649069</v>
      </c>
      <c r="I11" s="158">
        <f t="shared" ref="I11:I57" si="0">+G11-H11</f>
        <v>14436886.993509308</v>
      </c>
      <c r="J11" s="160">
        <f t="shared" ref="J11:J64" si="1">IF(+IF(ISERROR(G11/H11-1),"…",G11/H11-1)&gt;200%,"...",IF(ISERROR(G11/H11-1),"…",G11/H11-1))</f>
        <v>0.16211520076604025</v>
      </c>
      <c r="K11" s="277">
        <f>'2022'!G11</f>
        <v>80559495.530000001</v>
      </c>
      <c r="L11" s="158">
        <f>+G11-K11</f>
        <v>22930650.659999996</v>
      </c>
      <c r="M11" s="162">
        <f t="shared" ref="M11:M64" si="2">IF(+IF(ISERROR(G11/K11),"…",G11/K11-1)&gt;200%,"...",IF(ISERROR(G11/K11),"…",G11/K11-1))</f>
        <v>0.28464243115152987</v>
      </c>
      <c r="N11" s="277">
        <f>'2022'!R11</f>
        <v>119096364.02</v>
      </c>
      <c r="O11" s="277">
        <f>'2022'!R85</f>
        <v>98169750.026666671</v>
      </c>
      <c r="P11" s="158">
        <f>+N11-O11</f>
        <v>20926613.993333325</v>
      </c>
      <c r="Q11" s="160">
        <f t="shared" ref="Q11:Q64" si="3">IF(+IF(ISERROR(N11/O11),"…",N11/O11-1)&gt;200%,"...",IF(ISERROR(N11/O11),"…",N11/O11-1))</f>
        <v>0.21316764061891624</v>
      </c>
      <c r="R11" s="277">
        <f>'2021'!R11</f>
        <v>117752057.5</v>
      </c>
      <c r="S11" s="158">
        <f t="shared" ref="S11:S57" si="4">+N11-R11</f>
        <v>1344306.5199999958</v>
      </c>
      <c r="T11" s="162">
        <f t="shared" ref="T11:T64" si="5">IF(+IF(ISERROR(N11/R11),"…",N11/R11-1)&gt;200%,"...",IF(ISERROR(N11/R11),"…",N11/R11-1))</f>
        <v>1.1416416396800466E-2</v>
      </c>
      <c r="W11" s="498"/>
      <c r="Y11" s="498"/>
    </row>
    <row r="12" spans="1:25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f>'2023'!G12</f>
        <v>1481487.87</v>
      </c>
      <c r="H12" s="163">
        <f>'2023'!G86</f>
        <v>2070902.7064199252</v>
      </c>
      <c r="I12" s="164">
        <f t="shared" si="0"/>
        <v>-589414.83641992509</v>
      </c>
      <c r="J12" s="166">
        <f t="shared" si="1"/>
        <v>-0.2846173480737183</v>
      </c>
      <c r="K12" s="163">
        <f>'2022'!G12</f>
        <v>6139790.5700000003</v>
      </c>
      <c r="L12" s="164">
        <f>+G12-K12</f>
        <v>-4658302.7</v>
      </c>
      <c r="M12" s="168">
        <f t="shared" si="2"/>
        <v>-0.75870710033029676</v>
      </c>
      <c r="N12" s="163">
        <f>'2022'!R12</f>
        <v>8051099.2599999998</v>
      </c>
      <c r="O12" s="163">
        <f>'2022'!R86</f>
        <v>15676898.689999999</v>
      </c>
      <c r="P12" s="164">
        <f t="shared" ref="P12:P57" si="6">+N12-O12</f>
        <v>-7625799.4299999997</v>
      </c>
      <c r="Q12" s="166">
        <f t="shared" si="3"/>
        <v>-0.48643546027788997</v>
      </c>
      <c r="R12" s="163">
        <f>'2021'!R12</f>
        <v>19177675.75</v>
      </c>
      <c r="S12" s="164">
        <f t="shared" si="4"/>
        <v>-11126576.49</v>
      </c>
      <c r="T12" s="168">
        <f t="shared" si="5"/>
        <v>-0.58018378426280359</v>
      </c>
      <c r="W12" s="498"/>
      <c r="Y12" s="498"/>
    </row>
    <row r="13" spans="1:25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f>'2023'!G13</f>
        <v>1258566.3799999999</v>
      </c>
      <c r="H13" s="163">
        <f>'2023'!G87</f>
        <v>534161.88979689125</v>
      </c>
      <c r="I13" s="164">
        <f t="shared" si="0"/>
        <v>724404.49020310864</v>
      </c>
      <c r="J13" s="166">
        <f t="shared" si="1"/>
        <v>1.3561515788379341</v>
      </c>
      <c r="K13" s="163">
        <f>'2022'!G13</f>
        <v>395935.5</v>
      </c>
      <c r="L13" s="164">
        <f t="shared" ref="L13:L57" si="7">+G13-K13</f>
        <v>862630.87999999989</v>
      </c>
      <c r="M13" s="168" t="str">
        <f t="shared" si="2"/>
        <v>...</v>
      </c>
      <c r="N13" s="163">
        <f>'2022'!R13</f>
        <v>4756163.6100000003</v>
      </c>
      <c r="O13" s="163">
        <f>'2022'!R87</f>
        <v>1448381.463333338</v>
      </c>
      <c r="P13" s="164">
        <f t="shared" si="6"/>
        <v>3307782.1466666623</v>
      </c>
      <c r="Q13" s="166" t="str">
        <f t="shared" si="3"/>
        <v>...</v>
      </c>
      <c r="R13" s="163">
        <f>'2021'!R13</f>
        <v>3395713.2</v>
      </c>
      <c r="S13" s="164">
        <f t="shared" si="4"/>
        <v>1360450.4100000001</v>
      </c>
      <c r="T13" s="168">
        <f t="shared" si="5"/>
        <v>0.40063760685089655</v>
      </c>
      <c r="W13" s="498"/>
      <c r="Y13" s="498"/>
    </row>
    <row r="14" spans="1:25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f>'2023'!G14</f>
        <v>0</v>
      </c>
      <c r="H14" s="163">
        <f>'2023'!G88</f>
        <v>0</v>
      </c>
      <c r="I14" s="164">
        <f t="shared" si="0"/>
        <v>0</v>
      </c>
      <c r="J14" s="166" t="str">
        <f t="shared" si="1"/>
        <v>...</v>
      </c>
      <c r="K14" s="163">
        <f>'2022'!G14</f>
        <v>146340.34</v>
      </c>
      <c r="L14" s="164">
        <f t="shared" si="7"/>
        <v>-146340.34</v>
      </c>
      <c r="M14" s="168">
        <f t="shared" si="2"/>
        <v>-1</v>
      </c>
      <c r="N14" s="163">
        <f>'2022'!R14</f>
        <v>0</v>
      </c>
      <c r="O14" s="163">
        <f>'2022'!R88</f>
        <v>0</v>
      </c>
      <c r="P14" s="164">
        <f t="shared" si="6"/>
        <v>0</v>
      </c>
      <c r="Q14" s="166" t="str">
        <f t="shared" si="3"/>
        <v>...</v>
      </c>
      <c r="R14" s="163">
        <f>'2021'!R14</f>
        <v>326836.90000000002</v>
      </c>
      <c r="S14" s="164">
        <f t="shared" si="4"/>
        <v>-326836.90000000002</v>
      </c>
      <c r="T14" s="168">
        <f t="shared" si="5"/>
        <v>-1</v>
      </c>
      <c r="W14" s="498"/>
      <c r="Y14" s="498"/>
    </row>
    <row r="15" spans="1:25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f>'2023'!G15</f>
        <v>79816016.629999995</v>
      </c>
      <c r="H15" s="163">
        <f>'2023'!G89</f>
        <v>65000000</v>
      </c>
      <c r="I15" s="164">
        <f t="shared" si="0"/>
        <v>14816016.629999995</v>
      </c>
      <c r="J15" s="166">
        <f t="shared" si="1"/>
        <v>0.22793871738461524</v>
      </c>
      <c r="K15" s="163">
        <f>'2022'!G15</f>
        <v>50270008.859999999</v>
      </c>
      <c r="L15" s="164">
        <f t="shared" si="7"/>
        <v>29546007.769999996</v>
      </c>
      <c r="M15" s="168">
        <f t="shared" si="2"/>
        <v>0.58774622165443557</v>
      </c>
      <c r="N15" s="163">
        <f>'2022'!R15</f>
        <v>79279103.049999997</v>
      </c>
      <c r="O15" s="163">
        <f>'2022'!R89</f>
        <v>54878315.990000002</v>
      </c>
      <c r="P15" s="164">
        <f t="shared" si="6"/>
        <v>24400787.059999995</v>
      </c>
      <c r="Q15" s="166">
        <f t="shared" si="3"/>
        <v>0.44463439921236536</v>
      </c>
      <c r="R15" s="163">
        <f>'2021'!R15</f>
        <v>69407107.409999996</v>
      </c>
      <c r="S15" s="164">
        <f t="shared" si="4"/>
        <v>9871995.6400000006</v>
      </c>
      <c r="T15" s="168">
        <f t="shared" si="5"/>
        <v>0.14223320936981843</v>
      </c>
      <c r="W15" s="498"/>
      <c r="Y15" s="498"/>
    </row>
    <row r="16" spans="1:25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f>'2023'!G16</f>
        <v>17494328.440000001</v>
      </c>
      <c r="H16" s="163">
        <f>'2023'!G90</f>
        <v>18950000</v>
      </c>
      <c r="I16" s="164">
        <f t="shared" si="0"/>
        <v>-1455671.5599999987</v>
      </c>
      <c r="J16" s="166">
        <f t="shared" si="1"/>
        <v>-7.6816441160949767E-2</v>
      </c>
      <c r="K16" s="163">
        <f>'2022'!G16</f>
        <v>21096875.199999999</v>
      </c>
      <c r="L16" s="164">
        <f t="shared" si="7"/>
        <v>-3602546.7599999979</v>
      </c>
      <c r="M16" s="168">
        <f t="shared" si="2"/>
        <v>-0.17076210224725596</v>
      </c>
      <c r="N16" s="163">
        <f>'2022'!R16</f>
        <v>22088360.559999999</v>
      </c>
      <c r="O16" s="163">
        <f>'2022'!R90</f>
        <v>25317898.436666675</v>
      </c>
      <c r="P16" s="164">
        <f t="shared" si="6"/>
        <v>-3229537.8766666763</v>
      </c>
      <c r="Q16" s="166">
        <f t="shared" si="3"/>
        <v>-0.12755947673719614</v>
      </c>
      <c r="R16" s="163">
        <f>'2021'!R16</f>
        <v>21883171.960000001</v>
      </c>
      <c r="S16" s="164">
        <f t="shared" si="4"/>
        <v>205188.59999999776</v>
      </c>
      <c r="T16" s="168">
        <f t="shared" si="5"/>
        <v>9.3765474390576919E-3</v>
      </c>
      <c r="W16" s="498"/>
      <c r="Y16" s="498"/>
    </row>
    <row r="17" spans="1:25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f>'2023'!G17</f>
        <v>2467588.1800000002</v>
      </c>
      <c r="H17" s="163">
        <f>'2023'!G91</f>
        <v>1690050.6290672496</v>
      </c>
      <c r="I17" s="164">
        <f t="shared" si="0"/>
        <v>777537.55093275057</v>
      </c>
      <c r="J17" s="166">
        <f t="shared" si="1"/>
        <v>0.46006760836619365</v>
      </c>
      <c r="K17" s="163">
        <f>'2022'!G17</f>
        <v>1689510.83</v>
      </c>
      <c r="L17" s="164">
        <f t="shared" si="7"/>
        <v>778077.35000000009</v>
      </c>
      <c r="M17" s="168">
        <f t="shared" si="2"/>
        <v>0.46053410027564023</v>
      </c>
      <c r="N17" s="163">
        <f>'2022'!R17</f>
        <v>3886090.57</v>
      </c>
      <c r="O17" s="163">
        <f>'2022'!R91</f>
        <v>215355.98999999961</v>
      </c>
      <c r="P17" s="164">
        <f t="shared" si="6"/>
        <v>3670734.58</v>
      </c>
      <c r="Q17" s="166" t="str">
        <f>IF(+IF(ISERROR(N17/O17),"…",N17/O17-1)&gt;200%,"...",IF(ISERROR(N17/O17),"…",N17/O17-1))</f>
        <v>...</v>
      </c>
      <c r="R17" s="163">
        <f>'2021'!R17</f>
        <v>2571250.9</v>
      </c>
      <c r="S17" s="164">
        <f t="shared" si="4"/>
        <v>1314839.67</v>
      </c>
      <c r="T17" s="168">
        <f t="shared" si="5"/>
        <v>0.51136187059769234</v>
      </c>
      <c r="W17" s="498"/>
      <c r="Y17" s="498"/>
    </row>
    <row r="18" spans="1:25">
      <c r="A18" s="150">
        <v>7118</v>
      </c>
      <c r="B18" s="552" t="str">
        <f>+VLOOKUP($A18,Master!$D$30:$G$226,4,FALSE)</f>
        <v>Ostali državni porezi</v>
      </c>
      <c r="C18" s="553"/>
      <c r="D18" s="553"/>
      <c r="E18" s="553"/>
      <c r="F18" s="553"/>
      <c r="G18" s="163">
        <f>'2023'!G18</f>
        <v>972158.69</v>
      </c>
      <c r="H18" s="163">
        <f>'2023'!G92</f>
        <v>808143.97120662592</v>
      </c>
      <c r="I18" s="164">
        <f t="shared" si="0"/>
        <v>164014.71879337402</v>
      </c>
      <c r="J18" s="166">
        <f t="shared" si="1"/>
        <v>0.20295235086452035</v>
      </c>
      <c r="K18" s="163">
        <f>'2022'!G18</f>
        <v>821034.23</v>
      </c>
      <c r="L18" s="164">
        <f t="shared" si="7"/>
        <v>151124.45999999996</v>
      </c>
      <c r="M18" s="168">
        <f t="shared" si="2"/>
        <v>0.18406596762719629</v>
      </c>
      <c r="N18" s="163">
        <f>'2022'!R18</f>
        <v>1035546.97</v>
      </c>
      <c r="O18" s="163">
        <f>'2022'!R92</f>
        <v>632899.45666666597</v>
      </c>
      <c r="P18" s="164">
        <f t="shared" si="6"/>
        <v>402647.51333333401</v>
      </c>
      <c r="Q18" s="166">
        <f t="shared" si="3"/>
        <v>0.63619506873016562</v>
      </c>
      <c r="R18" s="163">
        <f>'2021'!R18</f>
        <v>990301.38</v>
      </c>
      <c r="S18" s="164">
        <f t="shared" si="4"/>
        <v>45245.589999999967</v>
      </c>
      <c r="T18" s="168">
        <f t="shared" si="5"/>
        <v>4.5688707411475127E-2</v>
      </c>
      <c r="W18" s="498"/>
      <c r="Y18" s="498"/>
    </row>
    <row r="19" spans="1:25">
      <c r="A19" s="150">
        <v>712</v>
      </c>
      <c r="B19" s="554" t="str">
        <f>+VLOOKUP($A19,Master!$D$30:$G$226,4,FALSE)</f>
        <v>Doprinosi</v>
      </c>
      <c r="C19" s="555"/>
      <c r="D19" s="555"/>
      <c r="E19" s="555"/>
      <c r="F19" s="555"/>
      <c r="G19" s="169">
        <f>'2023'!G19</f>
        <v>15617329.630000003</v>
      </c>
      <c r="H19" s="169">
        <f>'2023'!G93</f>
        <v>14028547.954861166</v>
      </c>
      <c r="I19" s="170">
        <f t="shared" si="0"/>
        <v>1588781.6751388367</v>
      </c>
      <c r="J19" s="172">
        <f t="shared" si="1"/>
        <v>0.11325346573650852</v>
      </c>
      <c r="K19" s="169">
        <f>'2022'!G19</f>
        <v>11731802.159999998</v>
      </c>
      <c r="L19" s="170">
        <f t="shared" si="7"/>
        <v>3885527.4700000044</v>
      </c>
      <c r="M19" s="174">
        <f t="shared" si="2"/>
        <v>0.33119612971721013</v>
      </c>
      <c r="N19" s="169">
        <f>'2022'!R19</f>
        <v>76106447.830000013</v>
      </c>
      <c r="O19" s="169">
        <f>'2022'!R93</f>
        <v>79469130.979999989</v>
      </c>
      <c r="P19" s="170">
        <f t="shared" si="6"/>
        <v>-3362683.1499999762</v>
      </c>
      <c r="Q19" s="172">
        <f t="shared" si="3"/>
        <v>-4.2314331470999278E-2</v>
      </c>
      <c r="R19" s="169">
        <f>'2021'!R19</f>
        <v>86995680.920000002</v>
      </c>
      <c r="S19" s="170">
        <f t="shared" si="4"/>
        <v>-10889233.089999989</v>
      </c>
      <c r="T19" s="174">
        <f t="shared" si="5"/>
        <v>-0.12516981274062988</v>
      </c>
      <c r="W19" s="498"/>
      <c r="Y19" s="498"/>
    </row>
    <row r="20" spans="1:25">
      <c r="A20" s="150">
        <v>7121</v>
      </c>
      <c r="B20" s="552" t="str">
        <f>+VLOOKUP($A20,Master!$D$30:$G$226,4,FALSE)</f>
        <v>Doprinosi za penzijsko i invalidsko osiguranje</v>
      </c>
      <c r="C20" s="553"/>
      <c r="D20" s="553"/>
      <c r="E20" s="553"/>
      <c r="F20" s="553"/>
      <c r="G20" s="163">
        <f>'2023'!G20</f>
        <v>14209639.380000001</v>
      </c>
      <c r="H20" s="163">
        <f>'2023'!G94</f>
        <v>12922296.768241206</v>
      </c>
      <c r="I20" s="164">
        <f t="shared" si="0"/>
        <v>1287342.6117587946</v>
      </c>
      <c r="J20" s="166">
        <f t="shared" si="1"/>
        <v>9.9621811419984052E-2</v>
      </c>
      <c r="K20" s="163">
        <f>'2022'!G20</f>
        <v>7550452.8499999996</v>
      </c>
      <c r="L20" s="164">
        <f t="shared" si="7"/>
        <v>6659186.5300000012</v>
      </c>
      <c r="M20" s="168">
        <f t="shared" si="2"/>
        <v>0.88195856093585179</v>
      </c>
      <c r="N20" s="163">
        <f>'2022'!R20</f>
        <v>69645040.040000007</v>
      </c>
      <c r="O20" s="163">
        <f>'2022'!R94</f>
        <v>72638197.856666654</v>
      </c>
      <c r="P20" s="164">
        <f t="shared" si="6"/>
        <v>-2993157.8166666478</v>
      </c>
      <c r="Q20" s="166">
        <f t="shared" si="3"/>
        <v>-4.1206388718135534E-2</v>
      </c>
      <c r="R20" s="163">
        <f>'2021'!R20</f>
        <v>54713937.329999998</v>
      </c>
      <c r="S20" s="164">
        <f t="shared" si="4"/>
        <v>14931102.710000008</v>
      </c>
      <c r="T20" s="168">
        <f t="shared" si="5"/>
        <v>0.27289395423957519</v>
      </c>
      <c r="W20" s="498"/>
      <c r="Y20" s="498"/>
    </row>
    <row r="21" spans="1:25">
      <c r="A21" s="150">
        <v>7122</v>
      </c>
      <c r="B21" s="552" t="str">
        <f>+VLOOKUP($A21,Master!$D$30:$G$226,4,FALSE)</f>
        <v>Doprinosi za zdravstveno osiguranje</v>
      </c>
      <c r="C21" s="553"/>
      <c r="D21" s="553"/>
      <c r="E21" s="553"/>
      <c r="F21" s="553"/>
      <c r="G21" s="163">
        <f>'2023'!G21</f>
        <v>302309.90000000002</v>
      </c>
      <c r="H21" s="163">
        <f>'2023'!G95</f>
        <v>100023.86869410829</v>
      </c>
      <c r="I21" s="164">
        <f t="shared" si="0"/>
        <v>202286.03130589175</v>
      </c>
      <c r="J21" s="166" t="str">
        <f t="shared" si="1"/>
        <v>...</v>
      </c>
      <c r="K21" s="163">
        <f>'2022'!G21</f>
        <v>3618221.62</v>
      </c>
      <c r="L21" s="164">
        <f t="shared" si="7"/>
        <v>-3315911.72</v>
      </c>
      <c r="M21" s="168">
        <f t="shared" si="2"/>
        <v>-0.91644793167755156</v>
      </c>
      <c r="N21" s="163">
        <f>'2022'!R21</f>
        <v>1011542.87</v>
      </c>
      <c r="O21" s="163">
        <f>'2022'!R95</f>
        <v>162054.15333333486</v>
      </c>
      <c r="P21" s="164">
        <f t="shared" si="6"/>
        <v>849488.71666666516</v>
      </c>
      <c r="Q21" s="166" t="str">
        <f t="shared" si="3"/>
        <v>...</v>
      </c>
      <c r="R21" s="163">
        <f>'2021'!R21</f>
        <v>27627105</v>
      </c>
      <c r="S21" s="164">
        <f t="shared" si="4"/>
        <v>-26615562.129999999</v>
      </c>
      <c r="T21" s="168">
        <f t="shared" si="5"/>
        <v>-0.96338585349424055</v>
      </c>
      <c r="W21" s="498"/>
      <c r="Y21" s="498"/>
    </row>
    <row r="22" spans="1:25">
      <c r="A22" s="150">
        <v>7123</v>
      </c>
      <c r="B22" s="552" t="str">
        <f>+VLOOKUP($A22,Master!$D$30:$G$226,4,FALSE)</f>
        <v>Doprinosi za osiguranje od nezaposlenosti</v>
      </c>
      <c r="C22" s="553"/>
      <c r="D22" s="553"/>
      <c r="E22" s="553"/>
      <c r="F22" s="553"/>
      <c r="G22" s="163">
        <f>'2023'!G22</f>
        <v>658854.47</v>
      </c>
      <c r="H22" s="163">
        <f>'2023'!G96</f>
        <v>619197.91655976803</v>
      </c>
      <c r="I22" s="164">
        <f t="shared" si="0"/>
        <v>39656.553440231946</v>
      </c>
      <c r="J22" s="166">
        <f t="shared" si="1"/>
        <v>6.4045036941599687E-2</v>
      </c>
      <c r="K22" s="163">
        <f>'2022'!G22</f>
        <v>333527.59999999998</v>
      </c>
      <c r="L22" s="164">
        <f t="shared" si="7"/>
        <v>325326.87</v>
      </c>
      <c r="M22" s="168">
        <f t="shared" si="2"/>
        <v>0.97541213980492181</v>
      </c>
      <c r="N22" s="163">
        <f>'2022'!R22</f>
        <v>3184426.45</v>
      </c>
      <c r="O22" s="163">
        <f>'2022'!R96</f>
        <v>3377754.3266666699</v>
      </c>
      <c r="P22" s="164">
        <f t="shared" si="6"/>
        <v>-193327.87666666973</v>
      </c>
      <c r="Q22" s="166">
        <f t="shared" si="3"/>
        <v>-5.7235624018119435E-2</v>
      </c>
      <c r="R22" s="163">
        <f>'2021'!R22</f>
        <v>2523171.67</v>
      </c>
      <c r="S22" s="164">
        <f t="shared" si="4"/>
        <v>661254.78000000026</v>
      </c>
      <c r="T22" s="168">
        <f t="shared" si="5"/>
        <v>0.26207284580046042</v>
      </c>
      <c r="W22" s="498"/>
      <c r="Y22" s="498"/>
    </row>
    <row r="23" spans="1:25">
      <c r="A23" s="150">
        <v>7124</v>
      </c>
      <c r="B23" s="552" t="str">
        <f>+VLOOKUP($A23,Master!$D$30:$G$226,4,FALSE)</f>
        <v>Ostali doprinosi</v>
      </c>
      <c r="C23" s="553"/>
      <c r="D23" s="553"/>
      <c r="E23" s="553"/>
      <c r="F23" s="553"/>
      <c r="G23" s="163">
        <f>'2023'!G23</f>
        <v>446525.88</v>
      </c>
      <c r="H23" s="163">
        <f>'2023'!G97</f>
        <v>387029.40136608307</v>
      </c>
      <c r="I23" s="164">
        <f t="shared" si="0"/>
        <v>59496.478633916937</v>
      </c>
      <c r="J23" s="166">
        <f t="shared" si="1"/>
        <v>0.15372599193734238</v>
      </c>
      <c r="K23" s="163">
        <f>'2022'!G23</f>
        <v>229600.09</v>
      </c>
      <c r="L23" s="164">
        <f t="shared" si="7"/>
        <v>216925.79</v>
      </c>
      <c r="M23" s="168">
        <f t="shared" si="2"/>
        <v>0.94479836658600624</v>
      </c>
      <c r="N23" s="163">
        <f>'2022'!R23</f>
        <v>2265438.4700000002</v>
      </c>
      <c r="O23" s="163">
        <f>'2022'!R97</f>
        <v>3291124.6433333298</v>
      </c>
      <c r="P23" s="164">
        <f t="shared" si="6"/>
        <v>-1025686.1733333296</v>
      </c>
      <c r="Q23" s="166">
        <f t="shared" si="3"/>
        <v>-0.31165218108983261</v>
      </c>
      <c r="R23" s="163">
        <f>'2021'!R23</f>
        <v>2131466.92</v>
      </c>
      <c r="S23" s="164">
        <f t="shared" si="4"/>
        <v>133971.55000000028</v>
      </c>
      <c r="T23" s="168">
        <f t="shared" si="5"/>
        <v>6.2854153983304739E-2</v>
      </c>
      <c r="W23" s="498"/>
      <c r="Y23" s="498"/>
    </row>
    <row r="24" spans="1:25">
      <c r="A24" s="150">
        <v>713</v>
      </c>
      <c r="B24" s="554" t="str">
        <f>+VLOOKUP($A24,Master!$D$30:$G$226,4,FALSE)</f>
        <v>Takse</v>
      </c>
      <c r="C24" s="555"/>
      <c r="D24" s="555"/>
      <c r="E24" s="555"/>
      <c r="F24" s="555"/>
      <c r="G24" s="175">
        <f>'2023'!G24</f>
        <v>715520.40999999992</v>
      </c>
      <c r="H24" s="175">
        <f>'2023'!G98</f>
        <v>670553.32707319653</v>
      </c>
      <c r="I24" s="176">
        <f t="shared" si="0"/>
        <v>44967.082926803385</v>
      </c>
      <c r="J24" s="178">
        <f t="shared" si="1"/>
        <v>6.7059667160364267E-2</v>
      </c>
      <c r="K24" s="175">
        <f>'2022'!G24</f>
        <v>635258.53</v>
      </c>
      <c r="L24" s="176">
        <f t="shared" si="7"/>
        <v>80261.879999999888</v>
      </c>
      <c r="M24" s="180">
        <f t="shared" si="2"/>
        <v>0.12634522199961618</v>
      </c>
      <c r="N24" s="175">
        <f>'2022'!R24</f>
        <v>1600139.91</v>
      </c>
      <c r="O24" s="175">
        <f>'2022'!R98</f>
        <v>1276581.87333333</v>
      </c>
      <c r="P24" s="176">
        <f t="shared" si="6"/>
        <v>323558.03666666988</v>
      </c>
      <c r="Q24" s="178">
        <f t="shared" si="3"/>
        <v>0.25345654941959617</v>
      </c>
      <c r="R24" s="175">
        <f>'2021'!R24</f>
        <v>1205165.5</v>
      </c>
      <c r="S24" s="176">
        <f t="shared" si="4"/>
        <v>394974.40999999992</v>
      </c>
      <c r="T24" s="180">
        <f t="shared" si="5"/>
        <v>0.32773458085217344</v>
      </c>
      <c r="W24" s="498"/>
      <c r="Y24" s="498"/>
    </row>
    <row r="25" spans="1:25">
      <c r="A25" s="150">
        <v>714</v>
      </c>
      <c r="B25" s="554" t="str">
        <f>+VLOOKUP($A25,Master!$D$30:$G$226,4,FALSE)</f>
        <v>Naknade</v>
      </c>
      <c r="C25" s="555"/>
      <c r="D25" s="555"/>
      <c r="E25" s="555"/>
      <c r="F25" s="555"/>
      <c r="G25" s="175">
        <f>'2023'!G25</f>
        <v>11787074.770000001</v>
      </c>
      <c r="H25" s="175">
        <f>'2023'!G99</f>
        <v>12301859.137453955</v>
      </c>
      <c r="I25" s="176">
        <f t="shared" si="0"/>
        <v>-514784.36745395325</v>
      </c>
      <c r="J25" s="178">
        <f t="shared" si="1"/>
        <v>-4.1846062591194277E-2</v>
      </c>
      <c r="K25" s="175">
        <f>'2022'!G25</f>
        <v>12538803.32</v>
      </c>
      <c r="L25" s="176">
        <f t="shared" si="7"/>
        <v>-751728.54999999888</v>
      </c>
      <c r="M25" s="180">
        <f t="shared" si="2"/>
        <v>-5.9952176520781331E-2</v>
      </c>
      <c r="N25" s="175">
        <f>'2022'!R25</f>
        <v>12753782.83</v>
      </c>
      <c r="O25" s="175">
        <f>'2022'!R99</f>
        <v>4215025.5066666696</v>
      </c>
      <c r="P25" s="176">
        <f t="shared" si="6"/>
        <v>8538757.3233333305</v>
      </c>
      <c r="Q25" s="178" t="str">
        <f t="shared" si="3"/>
        <v>...</v>
      </c>
      <c r="R25" s="175">
        <f>'2021'!R25</f>
        <v>12294668.549999999</v>
      </c>
      <c r="S25" s="176">
        <f t="shared" si="4"/>
        <v>459114.28000000119</v>
      </c>
      <c r="T25" s="180">
        <f t="shared" si="5"/>
        <v>3.7342550401653574E-2</v>
      </c>
      <c r="W25" s="498"/>
      <c r="Y25" s="498"/>
    </row>
    <row r="26" spans="1:25">
      <c r="A26" s="150">
        <v>715</v>
      </c>
      <c r="B26" s="554" t="str">
        <f>+VLOOKUP($A26,Master!$D$30:$G$226,4,FALSE)</f>
        <v>Ostali prihodi</v>
      </c>
      <c r="C26" s="555"/>
      <c r="D26" s="555"/>
      <c r="E26" s="555"/>
      <c r="F26" s="555"/>
      <c r="G26" s="175">
        <f>'2023'!G26</f>
        <v>34599320.020000003</v>
      </c>
      <c r="H26" s="175">
        <f>'2023'!G100</f>
        <v>35476989.500013761</v>
      </c>
      <c r="I26" s="176">
        <f t="shared" si="0"/>
        <v>-877669.48001375794</v>
      </c>
      <c r="J26" s="178">
        <f t="shared" si="1"/>
        <v>-2.4739119423124012E-2</v>
      </c>
      <c r="K26" s="175">
        <f>'2022'!G26</f>
        <v>1327068.83</v>
      </c>
      <c r="L26" s="176">
        <f t="shared" si="7"/>
        <v>33272251.190000005</v>
      </c>
      <c r="M26" s="180" t="str">
        <f t="shared" si="2"/>
        <v>...</v>
      </c>
      <c r="N26" s="175">
        <f>'2022'!R26</f>
        <v>3043810.92</v>
      </c>
      <c r="O26" s="175">
        <f>'2022'!R100</f>
        <v>3205486.89</v>
      </c>
      <c r="P26" s="176">
        <f t="shared" si="6"/>
        <v>-161675.9700000002</v>
      </c>
      <c r="Q26" s="178">
        <f t="shared" si="3"/>
        <v>-5.0437258222572279E-2</v>
      </c>
      <c r="R26" s="175">
        <f>'2021'!R26</f>
        <v>9339583.0500000007</v>
      </c>
      <c r="S26" s="176">
        <f t="shared" si="4"/>
        <v>-6295772.1300000008</v>
      </c>
      <c r="T26" s="180">
        <f t="shared" si="5"/>
        <v>-0.67409563106781301</v>
      </c>
      <c r="W26" s="498"/>
      <c r="Y26" s="498"/>
    </row>
    <row r="27" spans="1:25">
      <c r="A27" s="150">
        <v>73</v>
      </c>
      <c r="B27" s="554" t="str">
        <f>+VLOOKUP($A27,Master!$D$30:$G$226,4,FALSE)</f>
        <v>Primici od otplate kredita i sredstva prenesena iz prethodne godine</v>
      </c>
      <c r="C27" s="555"/>
      <c r="D27" s="555"/>
      <c r="E27" s="555"/>
      <c r="F27" s="555"/>
      <c r="G27" s="175">
        <f>'2023'!G27</f>
        <v>139531.07999999999</v>
      </c>
      <c r="H27" s="175">
        <f>'2023'!G101</f>
        <v>81522.336514710114</v>
      </c>
      <c r="I27" s="176">
        <f t="shared" si="0"/>
        <v>58008.743485289873</v>
      </c>
      <c r="J27" s="178">
        <f t="shared" si="1"/>
        <v>0.71156870577209985</v>
      </c>
      <c r="K27" s="175">
        <f>'2022'!G27</f>
        <v>78071.73</v>
      </c>
      <c r="L27" s="176">
        <f t="shared" si="7"/>
        <v>61459.349999999991</v>
      </c>
      <c r="M27" s="180">
        <f t="shared" si="2"/>
        <v>0.78721644825854376</v>
      </c>
      <c r="N27" s="175">
        <f>'2022'!R27</f>
        <v>1811357.71</v>
      </c>
      <c r="O27" s="175">
        <f>'2022'!R101</f>
        <v>0</v>
      </c>
      <c r="P27" s="176">
        <f t="shared" si="6"/>
        <v>1811357.71</v>
      </c>
      <c r="Q27" s="178" t="str">
        <f t="shared" si="3"/>
        <v>...</v>
      </c>
      <c r="R27" s="175">
        <f>'2021'!R27</f>
        <v>2260792.52</v>
      </c>
      <c r="S27" s="176">
        <f t="shared" si="4"/>
        <v>-449434.81000000006</v>
      </c>
      <c r="T27" s="180">
        <f t="shared" si="5"/>
        <v>-0.19879524813714444</v>
      </c>
      <c r="W27" s="498"/>
      <c r="Y27" s="498"/>
    </row>
    <row r="28" spans="1:25" ht="1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f>'2023'!G28</f>
        <v>1415909.3</v>
      </c>
      <c r="H28" s="175">
        <f>'2023'!G102</f>
        <v>1500000</v>
      </c>
      <c r="I28" s="176">
        <f t="shared" si="0"/>
        <v>-84090.699999999953</v>
      </c>
      <c r="J28" s="178">
        <f t="shared" si="1"/>
        <v>-5.6060466666666642E-2</v>
      </c>
      <c r="K28" s="175">
        <f>'2022'!G28</f>
        <v>944706.6</v>
      </c>
      <c r="L28" s="176">
        <f t="shared" si="7"/>
        <v>471202.70000000007</v>
      </c>
      <c r="M28" s="180">
        <f t="shared" si="2"/>
        <v>0.49878205571973355</v>
      </c>
      <c r="N28" s="175">
        <f>'2022'!R28</f>
        <v>5615200.2199999997</v>
      </c>
      <c r="O28" s="175">
        <f>'2022'!R102</f>
        <v>9772757.6133333296</v>
      </c>
      <c r="P28" s="176">
        <f t="shared" si="6"/>
        <v>-4157557.3933333298</v>
      </c>
      <c r="Q28" s="178">
        <f t="shared" si="3"/>
        <v>-0.42542315668005748</v>
      </c>
      <c r="R28" s="175">
        <f>'2021'!R28</f>
        <v>18559406.670000002</v>
      </c>
      <c r="S28" s="176">
        <f t="shared" si="4"/>
        <v>-12944206.450000003</v>
      </c>
      <c r="T28" s="180">
        <f t="shared" si="5"/>
        <v>-0.69744721262686793</v>
      </c>
      <c r="W28" s="498"/>
      <c r="Y28" s="498"/>
    </row>
    <row r="29" spans="1:25" ht="1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'2023'!G29</f>
        <v>114740855.95</v>
      </c>
      <c r="H29" s="151">
        <f>'2023'!G103</f>
        <v>175509865.05999997</v>
      </c>
      <c r="I29" s="152">
        <f t="shared" si="0"/>
        <v>-60769009.10999997</v>
      </c>
      <c r="J29" s="154">
        <f t="shared" si="1"/>
        <v>-0.34624269746447256</v>
      </c>
      <c r="K29" s="151">
        <f>'2022'!G29</f>
        <v>140577484.35999998</v>
      </c>
      <c r="L29" s="152">
        <f t="shared" si="7"/>
        <v>-25836628.409999982</v>
      </c>
      <c r="M29" s="156">
        <f t="shared" si="2"/>
        <v>-0.1837892357202513</v>
      </c>
      <c r="N29" s="151">
        <f>'2022'!R29</f>
        <v>370986932.47999996</v>
      </c>
      <c r="O29" s="151">
        <f>'2022'!R103</f>
        <v>311543750.08666664</v>
      </c>
      <c r="P29" s="152">
        <f t="shared" si="6"/>
        <v>59443182.393333316</v>
      </c>
      <c r="Q29" s="154">
        <f t="shared" si="3"/>
        <v>0.19080203784154603</v>
      </c>
      <c r="R29" s="151">
        <f>'2021'!R29</f>
        <v>274697551.67000002</v>
      </c>
      <c r="S29" s="152">
        <f t="shared" si="4"/>
        <v>96289380.809999943</v>
      </c>
      <c r="T29" s="156">
        <f t="shared" si="5"/>
        <v>0.35052871867483693</v>
      </c>
      <c r="W29" s="498"/>
      <c r="Y29" s="498"/>
    </row>
    <row r="30" spans="1:25">
      <c r="A30" s="150">
        <v>41</v>
      </c>
      <c r="B30" s="560" t="str">
        <f>+VLOOKUP($A30,Master!$D$30:$G$226,4,FALSE)</f>
        <v>Tekući izdaci</v>
      </c>
      <c r="C30" s="561"/>
      <c r="D30" s="561"/>
      <c r="E30" s="561"/>
      <c r="F30" s="561"/>
      <c r="G30" s="313">
        <f>'2023'!G30</f>
        <v>53321799.279999994</v>
      </c>
      <c r="H30" s="313">
        <f>'2023'!G104</f>
        <v>71899625.829999968</v>
      </c>
      <c r="I30" s="188">
        <f t="shared" si="0"/>
        <v>-18577826.549999975</v>
      </c>
      <c r="J30" s="190">
        <f t="shared" si="1"/>
        <v>-0.25838558039127402</v>
      </c>
      <c r="K30" s="313">
        <f>'2022'!G30</f>
        <v>50888106.359999992</v>
      </c>
      <c r="L30" s="188">
        <f t="shared" si="7"/>
        <v>2433692.9200000018</v>
      </c>
      <c r="M30" s="192">
        <f t="shared" si="2"/>
        <v>4.7824395405543729E-2</v>
      </c>
      <c r="N30" s="313">
        <f>'2022'!R30</f>
        <v>160347896.06999999</v>
      </c>
      <c r="O30" s="313">
        <f>'2022'!R104</f>
        <v>130257088.88000003</v>
      </c>
      <c r="P30" s="188">
        <f t="shared" si="6"/>
        <v>30090807.189999968</v>
      </c>
      <c r="Q30" s="190">
        <f t="shared" si="3"/>
        <v>0.23101089889795756</v>
      </c>
      <c r="R30" s="313">
        <f>'2021'!R30</f>
        <v>127800869.73000002</v>
      </c>
      <c r="S30" s="188">
        <f t="shared" si="4"/>
        <v>32547026.339999974</v>
      </c>
      <c r="T30" s="192">
        <f t="shared" si="5"/>
        <v>0.25466983447578118</v>
      </c>
      <c r="W30" s="498"/>
      <c r="Y30" s="498"/>
    </row>
    <row r="31" spans="1:25">
      <c r="A31" s="150">
        <v>411</v>
      </c>
      <c r="B31" s="552" t="str">
        <f>+VLOOKUP($A31,Master!$D$30:$G$226,4,FALSE)</f>
        <v>Bruto zarade i doprinosi na teret poslodavca</v>
      </c>
      <c r="C31" s="553"/>
      <c r="D31" s="553"/>
      <c r="E31" s="553"/>
      <c r="F31" s="553"/>
      <c r="G31" s="163">
        <f>'2023'!G31</f>
        <v>45778601.380000003</v>
      </c>
      <c r="H31" s="163">
        <f>'2023'!G105</f>
        <v>40912611.519999981</v>
      </c>
      <c r="I31" s="164">
        <f t="shared" si="0"/>
        <v>4865989.8600000218</v>
      </c>
      <c r="J31" s="166">
        <f t="shared" si="1"/>
        <v>0.11893618322607691</v>
      </c>
      <c r="K31" s="163">
        <f>'2022'!G31</f>
        <v>44240125.009999998</v>
      </c>
      <c r="L31" s="164">
        <f t="shared" si="7"/>
        <v>1538476.3700000048</v>
      </c>
      <c r="M31" s="168">
        <f t="shared" si="2"/>
        <v>3.4775588216630293E-2</v>
      </c>
      <c r="N31" s="163">
        <f>'2022'!R31</f>
        <v>54096780.950000003</v>
      </c>
      <c r="O31" s="163">
        <f>'2022'!R105</f>
        <v>53967463.813333347</v>
      </c>
      <c r="P31" s="164">
        <f>+N31-O31</f>
        <v>129317.13666665554</v>
      </c>
      <c r="Q31" s="166">
        <f>IF(+IF(ISERROR(N31/O31),"…",N31/O31-1)&gt;200%,"...",IF(ISERROR(N31/O31),"…",N31/O31-1))</f>
        <v>2.3962055566284501E-3</v>
      </c>
      <c r="R31" s="163">
        <f>'2021'!R31</f>
        <v>47109142.439999998</v>
      </c>
      <c r="S31" s="164">
        <f t="shared" si="4"/>
        <v>6987638.5100000054</v>
      </c>
      <c r="T31" s="168">
        <f t="shared" si="5"/>
        <v>0.14832871387756064</v>
      </c>
      <c r="W31" s="498"/>
      <c r="Y31" s="498"/>
    </row>
    <row r="32" spans="1:25">
      <c r="A32" s="150">
        <v>412</v>
      </c>
      <c r="B32" s="552" t="str">
        <f>+VLOOKUP($A32,Master!$D$30:$G$226,4,FALSE)</f>
        <v>Ostala lična primanja</v>
      </c>
      <c r="C32" s="553"/>
      <c r="D32" s="553"/>
      <c r="E32" s="553"/>
      <c r="F32" s="553"/>
      <c r="G32" s="163">
        <f>'2023'!G32</f>
        <v>299493.63</v>
      </c>
      <c r="H32" s="163">
        <f>'2023'!G106</f>
        <v>1165964.5099999995</v>
      </c>
      <c r="I32" s="164">
        <f t="shared" si="0"/>
        <v>-866470.87999999954</v>
      </c>
      <c r="J32" s="166">
        <f t="shared" si="1"/>
        <v>-0.74313658140418004</v>
      </c>
      <c r="K32" s="163">
        <f>'2022'!G32</f>
        <v>136924.73000000001</v>
      </c>
      <c r="L32" s="164">
        <f t="shared" si="7"/>
        <v>162568.9</v>
      </c>
      <c r="M32" s="168">
        <f t="shared" si="2"/>
        <v>1.1872866209047848</v>
      </c>
      <c r="N32" s="163">
        <f>'2022'!R32</f>
        <v>4199614.4400000004</v>
      </c>
      <c r="O32" s="163">
        <f>'2022'!R106</f>
        <v>2586888.726666667</v>
      </c>
      <c r="P32" s="164">
        <f t="shared" si="6"/>
        <v>1612725.7133333334</v>
      </c>
      <c r="Q32" s="166">
        <f t="shared" si="3"/>
        <v>0.62342291599508015</v>
      </c>
      <c r="R32" s="163">
        <f>'2021'!R32</f>
        <v>2247806.5299999998</v>
      </c>
      <c r="S32" s="164">
        <f t="shared" si="4"/>
        <v>1951807.9100000006</v>
      </c>
      <c r="T32" s="168">
        <f t="shared" si="5"/>
        <v>0.86831668293089304</v>
      </c>
      <c r="W32" s="498"/>
      <c r="Y32" s="498"/>
    </row>
    <row r="33" spans="1:25">
      <c r="A33" s="150">
        <v>413</v>
      </c>
      <c r="B33" s="552" t="str">
        <f>+VLOOKUP($A33,Master!$D$30:$G$226,4,FALSE)</f>
        <v>Rashodi za materijal</v>
      </c>
      <c r="C33" s="553"/>
      <c r="D33" s="553"/>
      <c r="E33" s="553"/>
      <c r="F33" s="553"/>
      <c r="G33" s="163">
        <f>'2023'!G33</f>
        <v>94282.16</v>
      </c>
      <c r="H33" s="163">
        <f>'2023'!G107</f>
        <v>5182242.0599999996</v>
      </c>
      <c r="I33" s="164">
        <f t="shared" si="0"/>
        <v>-5087959.8999999994</v>
      </c>
      <c r="J33" s="166">
        <f t="shared" si="1"/>
        <v>-0.9818066854252655</v>
      </c>
      <c r="K33" s="163">
        <f>'2022'!G33</f>
        <v>140372.01</v>
      </c>
      <c r="L33" s="164">
        <f t="shared" si="7"/>
        <v>-46089.850000000006</v>
      </c>
      <c r="M33" s="168">
        <f t="shared" si="2"/>
        <v>-0.32834074257396473</v>
      </c>
      <c r="N33" s="163">
        <f>'2022'!R33</f>
        <v>7788430.6500000004</v>
      </c>
      <c r="O33" s="163">
        <f>'2022'!R107</f>
        <v>8210640.7600000063</v>
      </c>
      <c r="P33" s="164">
        <f t="shared" si="6"/>
        <v>-422210.11000000592</v>
      </c>
      <c r="Q33" s="166">
        <f t="shared" si="3"/>
        <v>-5.1422309456881643E-2</v>
      </c>
      <c r="R33" s="163">
        <f>'2021'!R33</f>
        <v>8911018.8100000042</v>
      </c>
      <c r="S33" s="164">
        <f t="shared" si="4"/>
        <v>-1122588.1600000039</v>
      </c>
      <c r="T33" s="168">
        <f t="shared" si="5"/>
        <v>-0.12597753230418818</v>
      </c>
      <c r="W33" s="498"/>
      <c r="Y33" s="498"/>
    </row>
    <row r="34" spans="1:25">
      <c r="A34" s="150">
        <v>414</v>
      </c>
      <c r="B34" s="552" t="str">
        <f>+VLOOKUP($A34,Master!$D$30:$G$226,4,FALSE)</f>
        <v>Rashodi za usluge</v>
      </c>
      <c r="C34" s="553"/>
      <c r="D34" s="553"/>
      <c r="E34" s="553"/>
      <c r="F34" s="553"/>
      <c r="G34" s="163">
        <f>'2023'!G34</f>
        <v>878592.99</v>
      </c>
      <c r="H34" s="163">
        <f>'2023'!G108</f>
        <v>4903806.9999999953</v>
      </c>
      <c r="I34" s="164">
        <f t="shared" si="0"/>
        <v>-4025214.0099999951</v>
      </c>
      <c r="J34" s="166">
        <f t="shared" si="1"/>
        <v>-0.8208345087806268</v>
      </c>
      <c r="K34" s="163">
        <f>'2022'!G34</f>
        <v>1078189.54</v>
      </c>
      <c r="L34" s="164">
        <f t="shared" si="7"/>
        <v>-199596.55000000005</v>
      </c>
      <c r="M34" s="168">
        <f t="shared" si="2"/>
        <v>-0.18512194989389341</v>
      </c>
      <c r="N34" s="163">
        <f>'2022'!R34</f>
        <v>14670510.310000001</v>
      </c>
      <c r="O34" s="163">
        <f>'2022'!R108</f>
        <v>10058637.546666674</v>
      </c>
      <c r="P34" s="164">
        <f t="shared" si="6"/>
        <v>4611872.7633333262</v>
      </c>
      <c r="Q34" s="166">
        <f t="shared" si="3"/>
        <v>0.45849875213583502</v>
      </c>
      <c r="R34" s="163">
        <f>'2021'!R34</f>
        <v>13024531.369999999</v>
      </c>
      <c r="S34" s="164">
        <f t="shared" si="4"/>
        <v>1645978.9400000013</v>
      </c>
      <c r="T34" s="168">
        <f t="shared" si="5"/>
        <v>0.12637529084472554</v>
      </c>
      <c r="W34" s="498"/>
      <c r="Y34" s="498"/>
    </row>
    <row r="35" spans="1:25">
      <c r="A35" s="150">
        <v>415</v>
      </c>
      <c r="B35" s="552" t="str">
        <f>+VLOOKUP($A35,Master!$D$30:$G$226,4,FALSE)</f>
        <v>Rashodi za tekuće održavanje</v>
      </c>
      <c r="C35" s="553"/>
      <c r="D35" s="553"/>
      <c r="E35" s="553"/>
      <c r="F35" s="553"/>
      <c r="G35" s="163">
        <f>'2023'!G35</f>
        <v>4072.04</v>
      </c>
      <c r="H35" s="163">
        <f>'2023'!G109</f>
        <v>2513250.9200000004</v>
      </c>
      <c r="I35" s="164">
        <f t="shared" si="0"/>
        <v>-2509178.8800000004</v>
      </c>
      <c r="J35" s="166">
        <f t="shared" si="1"/>
        <v>-0.99837977180567394</v>
      </c>
      <c r="K35" s="163">
        <f>'2022'!G35</f>
        <v>51153.02</v>
      </c>
      <c r="L35" s="164">
        <f t="shared" si="7"/>
        <v>-47080.979999999996</v>
      </c>
      <c r="M35" s="168">
        <f t="shared" si="2"/>
        <v>-0.92039492487442576</v>
      </c>
      <c r="N35" s="163">
        <f>'2022'!R35</f>
        <v>8351347.4500000002</v>
      </c>
      <c r="O35" s="163">
        <f>'2022'!R109</f>
        <v>4461159.9499999993</v>
      </c>
      <c r="P35" s="164">
        <f t="shared" si="6"/>
        <v>3890187.5000000009</v>
      </c>
      <c r="Q35" s="166">
        <f t="shared" si="3"/>
        <v>0.87201255807920575</v>
      </c>
      <c r="R35" s="163">
        <f>'2021'!R35</f>
        <v>4621532.54</v>
      </c>
      <c r="S35" s="164">
        <f t="shared" si="4"/>
        <v>3729814.91</v>
      </c>
      <c r="T35" s="168">
        <f t="shared" si="5"/>
        <v>0.80705153057301637</v>
      </c>
      <c r="W35" s="498"/>
      <c r="Y35" s="498"/>
    </row>
    <row r="36" spans="1:25">
      <c r="A36" s="150">
        <v>416</v>
      </c>
      <c r="B36" s="552" t="str">
        <f>+VLOOKUP($A36,Master!$D$30:$G$226,4,FALSE)</f>
        <v>Kamate</v>
      </c>
      <c r="C36" s="553"/>
      <c r="D36" s="553"/>
      <c r="E36" s="553"/>
      <c r="F36" s="553"/>
      <c r="G36" s="163">
        <f>'2023'!G36</f>
        <v>3966895.76</v>
      </c>
      <c r="H36" s="163">
        <f>'2023'!G110</f>
        <v>5442120.379999999</v>
      </c>
      <c r="I36" s="164">
        <f t="shared" si="0"/>
        <v>-1475224.6199999992</v>
      </c>
      <c r="J36" s="166">
        <f t="shared" si="1"/>
        <v>-0.27107533773444381</v>
      </c>
      <c r="K36" s="163">
        <f>'2022'!G36</f>
        <v>3854762.25</v>
      </c>
      <c r="L36" s="164">
        <f t="shared" si="7"/>
        <v>112133.50999999978</v>
      </c>
      <c r="M36" s="168">
        <f t="shared" si="2"/>
        <v>2.9089604683142145E-2</v>
      </c>
      <c r="N36" s="163">
        <f>'2022'!R36</f>
        <v>23105608.969999999</v>
      </c>
      <c r="O36" s="163">
        <f>'2022'!R110</f>
        <v>26608843.629999999</v>
      </c>
      <c r="P36" s="164">
        <f t="shared" si="6"/>
        <v>-3503234.66</v>
      </c>
      <c r="Q36" s="166">
        <f t="shared" si="3"/>
        <v>-0.13165677955468524</v>
      </c>
      <c r="R36" s="163">
        <f>'2021'!R36</f>
        <v>26695596.420000002</v>
      </c>
      <c r="S36" s="164">
        <f t="shared" si="4"/>
        <v>-3589987.450000003</v>
      </c>
      <c r="T36" s="168">
        <f t="shared" si="5"/>
        <v>-0.13447863810641181</v>
      </c>
      <c r="W36" s="498"/>
      <c r="Y36" s="498"/>
    </row>
    <row r="37" spans="1:25">
      <c r="A37" s="150">
        <v>417</v>
      </c>
      <c r="B37" s="552" t="str">
        <f>+VLOOKUP($A37,Master!$D$30:$G$226,4,FALSE)</f>
        <v>Renta</v>
      </c>
      <c r="C37" s="553"/>
      <c r="D37" s="553"/>
      <c r="E37" s="553"/>
      <c r="F37" s="553"/>
      <c r="G37" s="163">
        <f>'2023'!G37</f>
        <v>2378.37</v>
      </c>
      <c r="H37" s="163">
        <f>'2023'!G111</f>
        <v>1013549.2999999997</v>
      </c>
      <c r="I37" s="164">
        <f t="shared" si="0"/>
        <v>-1011170.9299999997</v>
      </c>
      <c r="J37" s="166">
        <f t="shared" si="1"/>
        <v>-0.99765342445601812</v>
      </c>
      <c r="K37" s="163">
        <f>'2022'!G37</f>
        <v>222069.04</v>
      </c>
      <c r="L37" s="164">
        <f t="shared" si="7"/>
        <v>-219690.67</v>
      </c>
      <c r="M37" s="168">
        <f t="shared" si="2"/>
        <v>-0.98928995234995387</v>
      </c>
      <c r="N37" s="163">
        <f>'2022'!R37</f>
        <v>2885819.2</v>
      </c>
      <c r="O37" s="163">
        <f>'2022'!R111</f>
        <v>1375364.1133333328</v>
      </c>
      <c r="P37" s="164">
        <f t="shared" si="6"/>
        <v>1510455.0866666674</v>
      </c>
      <c r="Q37" s="166">
        <f t="shared" si="3"/>
        <v>1.0982219704758243</v>
      </c>
      <c r="R37" s="163">
        <f>'2021'!R37</f>
        <v>2324906.65</v>
      </c>
      <c r="S37" s="164">
        <f t="shared" si="4"/>
        <v>560912.55000000028</v>
      </c>
      <c r="T37" s="168">
        <f t="shared" si="5"/>
        <v>0.24126239649234971</v>
      </c>
      <c r="W37" s="498"/>
      <c r="Y37" s="498"/>
    </row>
    <row r="38" spans="1:25">
      <c r="A38" s="150">
        <v>418</v>
      </c>
      <c r="B38" s="552" t="str">
        <f>+VLOOKUP($A38,Master!$D$30:$G$226,4,FALSE)</f>
        <v>Subvencije</v>
      </c>
      <c r="C38" s="553"/>
      <c r="D38" s="553"/>
      <c r="E38" s="553"/>
      <c r="F38" s="553"/>
      <c r="G38" s="163">
        <f>'2023'!G38</f>
        <v>1880948.3</v>
      </c>
      <c r="H38" s="163">
        <f>'2023'!G112</f>
        <v>5902017.9700000007</v>
      </c>
      <c r="I38" s="164">
        <f t="shared" si="0"/>
        <v>-4021069.6700000009</v>
      </c>
      <c r="J38" s="166">
        <f t="shared" si="1"/>
        <v>-0.68130420653395607</v>
      </c>
      <c r="K38" s="163">
        <f>'2022'!G38</f>
        <v>511006.04</v>
      </c>
      <c r="L38" s="164">
        <f t="shared" si="7"/>
        <v>1369942.26</v>
      </c>
      <c r="M38" s="168" t="str">
        <f t="shared" si="2"/>
        <v>...</v>
      </c>
      <c r="N38" s="163">
        <f>'2022'!R38</f>
        <v>19401589.34</v>
      </c>
      <c r="O38" s="163">
        <f>'2022'!R112</f>
        <v>10584907.556666669</v>
      </c>
      <c r="P38" s="164">
        <f t="shared" si="6"/>
        <v>8816681.7833333313</v>
      </c>
      <c r="Q38" s="166">
        <f t="shared" si="3"/>
        <v>0.83294839715254199</v>
      </c>
      <c r="R38" s="163">
        <f>'2021'!R38</f>
        <v>13213431.09</v>
      </c>
      <c r="S38" s="164">
        <f t="shared" si="4"/>
        <v>6188158.25</v>
      </c>
      <c r="T38" s="168">
        <f t="shared" si="5"/>
        <v>0.46832334522735986</v>
      </c>
      <c r="W38" s="498"/>
      <c r="Y38" s="498"/>
    </row>
    <row r="39" spans="1:25">
      <c r="A39" s="150">
        <v>419</v>
      </c>
      <c r="B39" s="552" t="str">
        <f>+VLOOKUP($A39,Master!$D$30:$G$226,4,FALSE)</f>
        <v>Ostali izdaci</v>
      </c>
      <c r="C39" s="553"/>
      <c r="D39" s="553"/>
      <c r="E39" s="553"/>
      <c r="F39" s="553"/>
      <c r="G39" s="163">
        <f>'2023'!G39</f>
        <v>416534.65</v>
      </c>
      <c r="H39" s="163">
        <f>'2023'!G113</f>
        <v>4864062.17</v>
      </c>
      <c r="I39" s="164">
        <f t="shared" si="0"/>
        <v>-4447527.5199999996</v>
      </c>
      <c r="J39" s="166">
        <f t="shared" si="1"/>
        <v>-0.91436485895080577</v>
      </c>
      <c r="K39" s="163">
        <f>'2022'!G39</f>
        <v>653504.72</v>
      </c>
      <c r="L39" s="164">
        <f t="shared" si="7"/>
        <v>-236970.06999999995</v>
      </c>
      <c r="M39" s="168">
        <f t="shared" si="2"/>
        <v>-0.36261416749981534</v>
      </c>
      <c r="N39" s="163">
        <f>'2022'!R39</f>
        <v>25848194.760000002</v>
      </c>
      <c r="O39" s="163">
        <f>'2022'!R113</f>
        <v>12403182.783333331</v>
      </c>
      <c r="P39" s="164">
        <f t="shared" si="6"/>
        <v>13445011.97666667</v>
      </c>
      <c r="Q39" s="166">
        <f t="shared" si="3"/>
        <v>1.0839969233327182</v>
      </c>
      <c r="R39" s="163">
        <f>'2021'!R39</f>
        <v>9652903.8800000008</v>
      </c>
      <c r="S39" s="164">
        <f t="shared" si="4"/>
        <v>16195290.880000001</v>
      </c>
      <c r="T39" s="168">
        <f t="shared" si="5"/>
        <v>1.677763612000247</v>
      </c>
      <c r="W39" s="498"/>
      <c r="Y39" s="498"/>
    </row>
    <row r="40" spans="1:25">
      <c r="A40" s="150">
        <v>42</v>
      </c>
      <c r="B40" s="548" t="str">
        <f>+VLOOKUP($A40,Master!$D$30:$G$226,4,FALSE)</f>
        <v>Transferi za socijalnu zaštitu</v>
      </c>
      <c r="C40" s="549"/>
      <c r="D40" s="549"/>
      <c r="E40" s="549"/>
      <c r="F40" s="549"/>
      <c r="G40" s="193">
        <f>'2023'!G40</f>
        <v>58454756.119999997</v>
      </c>
      <c r="H40" s="193">
        <f>'2023'!G114</f>
        <v>64631162.970000006</v>
      </c>
      <c r="I40" s="194">
        <f t="shared" si="0"/>
        <v>-6176406.8500000089</v>
      </c>
      <c r="J40" s="196">
        <f t="shared" si="1"/>
        <v>-9.5563913229705033E-2</v>
      </c>
      <c r="K40" s="193">
        <f>'2022'!G40</f>
        <v>43461857.619999997</v>
      </c>
      <c r="L40" s="194">
        <f t="shared" si="7"/>
        <v>14992898.5</v>
      </c>
      <c r="M40" s="198">
        <f t="shared" si="2"/>
        <v>0.3449668127645944</v>
      </c>
      <c r="N40" s="193">
        <f>'2022'!R40</f>
        <v>71605715.590000004</v>
      </c>
      <c r="O40" s="193">
        <f>'2022'!R114</f>
        <v>78609110.530000016</v>
      </c>
      <c r="P40" s="194">
        <f t="shared" si="6"/>
        <v>-7003394.9400000125</v>
      </c>
      <c r="Q40" s="196">
        <f t="shared" si="3"/>
        <v>-8.9091390206320509E-2</v>
      </c>
      <c r="R40" s="193">
        <f>'2021'!R40</f>
        <v>50150725.600000001</v>
      </c>
      <c r="S40" s="194">
        <f t="shared" si="4"/>
        <v>21454989.990000002</v>
      </c>
      <c r="T40" s="198">
        <f t="shared" si="5"/>
        <v>0.42781016093613622</v>
      </c>
      <c r="W40" s="498"/>
      <c r="Y40" s="498"/>
    </row>
    <row r="41" spans="1:25">
      <c r="A41" s="150">
        <v>421</v>
      </c>
      <c r="B41" s="552" t="str">
        <f>+VLOOKUP($A41,Master!$D$30:$G$226,4,FALSE)</f>
        <v>Prava iz oblasti socijalne zaštite</v>
      </c>
      <c r="C41" s="553"/>
      <c r="D41" s="553"/>
      <c r="E41" s="553"/>
      <c r="F41" s="553"/>
      <c r="G41" s="163">
        <f>'2023'!G41</f>
        <v>15193246.93</v>
      </c>
      <c r="H41" s="163">
        <f>'2023'!G115</f>
        <v>15844748.540000001</v>
      </c>
      <c r="I41" s="164">
        <f t="shared" si="0"/>
        <v>-651501.61000000127</v>
      </c>
      <c r="J41" s="166">
        <f t="shared" si="1"/>
        <v>-4.1117825780275896E-2</v>
      </c>
      <c r="K41" s="163">
        <f>'2022'!G41</f>
        <v>8200110.4000000004</v>
      </c>
      <c r="L41" s="164">
        <f t="shared" si="7"/>
        <v>6993136.5299999993</v>
      </c>
      <c r="M41" s="168">
        <f t="shared" si="2"/>
        <v>0.85281004631352264</v>
      </c>
      <c r="N41" s="163">
        <f>'2022'!R41</f>
        <v>15256032.029999999</v>
      </c>
      <c r="O41" s="163">
        <f>'2022'!R115</f>
        <v>17084310.503333334</v>
      </c>
      <c r="P41" s="164">
        <f t="shared" si="6"/>
        <v>-1828278.4733333346</v>
      </c>
      <c r="Q41" s="166">
        <f t="shared" si="3"/>
        <v>-0.10701505764465102</v>
      </c>
      <c r="R41" s="163">
        <f>'2021'!R41</f>
        <v>8364482.7699999996</v>
      </c>
      <c r="S41" s="164">
        <f t="shared" si="4"/>
        <v>6891549.2599999998</v>
      </c>
      <c r="T41" s="168">
        <f t="shared" si="5"/>
        <v>0.8239062054999009</v>
      </c>
      <c r="W41" s="498"/>
      <c r="Y41" s="498"/>
    </row>
    <row r="42" spans="1:25">
      <c r="A42" s="150">
        <v>422</v>
      </c>
      <c r="B42" s="552" t="str">
        <f>+VLOOKUP($A42,Master!$D$30:$G$226,4,FALSE)</f>
        <v>Sredstva za tehnološke viškove</v>
      </c>
      <c r="C42" s="553"/>
      <c r="D42" s="553"/>
      <c r="E42" s="553"/>
      <c r="F42" s="553"/>
      <c r="G42" s="163">
        <f>'2023'!G42</f>
        <v>0</v>
      </c>
      <c r="H42" s="163">
        <f>'2023'!G116</f>
        <v>1909150.6700000002</v>
      </c>
      <c r="I42" s="164">
        <f t="shared" si="0"/>
        <v>-1909150.6700000002</v>
      </c>
      <c r="J42" s="166">
        <f t="shared" si="1"/>
        <v>-1</v>
      </c>
      <c r="K42" s="163">
        <f>'2022'!G42</f>
        <v>0</v>
      </c>
      <c r="L42" s="164">
        <f t="shared" si="7"/>
        <v>0</v>
      </c>
      <c r="M42" s="168" t="str">
        <f t="shared" si="2"/>
        <v>...</v>
      </c>
      <c r="N42" s="163">
        <f>'2022'!R42</f>
        <v>4540579.0999999996</v>
      </c>
      <c r="O42" s="163">
        <f>'2022'!R116</f>
        <v>3824082.1866666665</v>
      </c>
      <c r="P42" s="164">
        <f t="shared" si="6"/>
        <v>716496.9133333331</v>
      </c>
      <c r="Q42" s="166">
        <f t="shared" si="3"/>
        <v>0.18736441278158855</v>
      </c>
      <c r="R42" s="163">
        <f>'2021'!R42</f>
        <v>3225105.76</v>
      </c>
      <c r="S42" s="164">
        <f t="shared" si="4"/>
        <v>1315473.3399999999</v>
      </c>
      <c r="T42" s="168">
        <f t="shared" si="5"/>
        <v>0.40788533396808657</v>
      </c>
      <c r="W42" s="498"/>
      <c r="Y42" s="498"/>
    </row>
    <row r="43" spans="1:25">
      <c r="A43" s="150">
        <v>423</v>
      </c>
      <c r="B43" s="552" t="str">
        <f>+VLOOKUP($A43,Master!$D$30:$G$226,4,FALSE)</f>
        <v>Prava iz oblasti penzijskog i invalidskog osiguranja</v>
      </c>
      <c r="C43" s="553"/>
      <c r="D43" s="553"/>
      <c r="E43" s="553"/>
      <c r="F43" s="553"/>
      <c r="G43" s="163">
        <f>'2023'!G43</f>
        <v>42310100.469999999</v>
      </c>
      <c r="H43" s="163">
        <f>'2023'!G117</f>
        <v>44272263.760000005</v>
      </c>
      <c r="I43" s="164">
        <f t="shared" si="0"/>
        <v>-1962163.2900000066</v>
      </c>
      <c r="J43" s="166">
        <f t="shared" si="1"/>
        <v>-4.432037405263245E-2</v>
      </c>
      <c r="K43" s="163">
        <f>'2022'!G43</f>
        <v>35149513.420000002</v>
      </c>
      <c r="L43" s="164">
        <f t="shared" si="7"/>
        <v>7160587.049999997</v>
      </c>
      <c r="M43" s="168">
        <f t="shared" si="2"/>
        <v>0.20371795661687986</v>
      </c>
      <c r="N43" s="163">
        <f>'2022'!R43</f>
        <v>42725535.82</v>
      </c>
      <c r="O43" s="163">
        <f>'2022'!R117</f>
        <v>54747985.703333363</v>
      </c>
      <c r="P43" s="164">
        <f t="shared" si="6"/>
        <v>-12022449.883333363</v>
      </c>
      <c r="Q43" s="166">
        <f t="shared" si="3"/>
        <v>-0.21959620484450748</v>
      </c>
      <c r="R43" s="163">
        <f>'2021'!R43</f>
        <v>35788467.600000001</v>
      </c>
      <c r="S43" s="164">
        <f t="shared" si="4"/>
        <v>6937068.2199999988</v>
      </c>
      <c r="T43" s="168">
        <f t="shared" si="5"/>
        <v>0.19383529626174889</v>
      </c>
      <c r="W43" s="498"/>
      <c r="Y43" s="498"/>
    </row>
    <row r="44" spans="1:25">
      <c r="A44" s="150">
        <v>424</v>
      </c>
      <c r="B44" s="552" t="str">
        <f>+VLOOKUP($A44,Master!$D$30:$G$226,4,FALSE)</f>
        <v>Ostala prava iz oblasti zdravstvene zaštite</v>
      </c>
      <c r="C44" s="553"/>
      <c r="D44" s="553"/>
      <c r="E44" s="553"/>
      <c r="F44" s="553"/>
      <c r="G44" s="163">
        <f>'2023'!G44</f>
        <v>951408.72</v>
      </c>
      <c r="H44" s="163">
        <f>'2023'!G118</f>
        <v>1755000</v>
      </c>
      <c r="I44" s="164">
        <f t="shared" si="0"/>
        <v>-803591.28</v>
      </c>
      <c r="J44" s="166">
        <f t="shared" si="1"/>
        <v>-0.45788676923076921</v>
      </c>
      <c r="K44" s="163">
        <f>'2022'!G44</f>
        <v>103430</v>
      </c>
      <c r="L44" s="164">
        <f t="shared" si="7"/>
        <v>847978.72</v>
      </c>
      <c r="M44" s="168" t="str">
        <f t="shared" si="2"/>
        <v>...</v>
      </c>
      <c r="N44" s="163">
        <f>'2022'!R44</f>
        <v>3263110.76</v>
      </c>
      <c r="O44" s="163">
        <f>'2022'!R118</f>
        <v>1374407.6299999994</v>
      </c>
      <c r="P44" s="164">
        <f t="shared" si="6"/>
        <v>1888703.1300000004</v>
      </c>
      <c r="Q44" s="166">
        <f t="shared" si="3"/>
        <v>1.3741942992560374</v>
      </c>
      <c r="R44" s="163">
        <f>'2021'!R44</f>
        <v>1584384.3</v>
      </c>
      <c r="S44" s="164">
        <f t="shared" si="4"/>
        <v>1678726.4599999997</v>
      </c>
      <c r="T44" s="168">
        <f t="shared" si="5"/>
        <v>1.0595449980159484</v>
      </c>
      <c r="W44" s="498"/>
      <c r="Y44" s="498"/>
    </row>
    <row r="45" spans="1:25">
      <c r="A45" s="150">
        <v>425</v>
      </c>
      <c r="B45" s="552" t="str">
        <f>+VLOOKUP($A45,Master!$D$30:$G$226,4,FALSE)</f>
        <v>Ostala prava iz zdravstvenog osiguranja</v>
      </c>
      <c r="C45" s="553"/>
      <c r="D45" s="553"/>
      <c r="E45" s="553"/>
      <c r="F45" s="553"/>
      <c r="G45" s="163">
        <f>'2023'!G45</f>
        <v>0</v>
      </c>
      <c r="H45" s="163">
        <f>'2023'!G119</f>
        <v>850000</v>
      </c>
      <c r="I45" s="164">
        <f t="shared" si="0"/>
        <v>-850000</v>
      </c>
      <c r="J45" s="166">
        <f t="shared" si="1"/>
        <v>-1</v>
      </c>
      <c r="K45" s="163">
        <f>'2022'!G45</f>
        <v>8803.7999999999993</v>
      </c>
      <c r="L45" s="164">
        <f t="shared" si="7"/>
        <v>-8803.7999999999993</v>
      </c>
      <c r="M45" s="168">
        <f t="shared" si="2"/>
        <v>-1</v>
      </c>
      <c r="N45" s="163">
        <f>'2022'!R45</f>
        <v>5820204.2699999996</v>
      </c>
      <c r="O45" s="163">
        <f>'2022'!R119</f>
        <v>1578324.5066666668</v>
      </c>
      <c r="P45" s="164">
        <f t="shared" si="6"/>
        <v>4241879.7633333327</v>
      </c>
      <c r="Q45" s="166" t="str">
        <f t="shared" si="3"/>
        <v>...</v>
      </c>
      <c r="R45" s="163">
        <f>'2021'!R45</f>
        <v>1188285.17</v>
      </c>
      <c r="S45" s="164">
        <f t="shared" si="4"/>
        <v>4631919.0999999996</v>
      </c>
      <c r="T45" s="168" t="str">
        <f t="shared" si="5"/>
        <v>...</v>
      </c>
      <c r="W45" s="498"/>
      <c r="Y45" s="498"/>
    </row>
    <row r="46" spans="1:25">
      <c r="A46" s="150">
        <v>43</v>
      </c>
      <c r="B46" s="550" t="str">
        <f>+VLOOKUP($A46,Master!$D$30:$G$226,4,FALSE)</f>
        <v xml:space="preserve">Transferi institucijama, pojedincima, nevladinom i javnom sektoru </v>
      </c>
      <c r="C46" s="551"/>
      <c r="D46" s="551"/>
      <c r="E46" s="551"/>
      <c r="F46" s="551"/>
      <c r="G46" s="175">
        <f>'2023'!G46</f>
        <v>1575619.12</v>
      </c>
      <c r="H46" s="175">
        <f>'2023'!G120</f>
        <v>13426609.789999997</v>
      </c>
      <c r="I46" s="176">
        <f t="shared" si="0"/>
        <v>-11850990.669999998</v>
      </c>
      <c r="J46" s="178">
        <f t="shared" si="1"/>
        <v>-0.88264951878071962</v>
      </c>
      <c r="K46" s="175">
        <f>'2022'!G46</f>
        <v>7352915.0899999999</v>
      </c>
      <c r="L46" s="176">
        <f t="shared" si="7"/>
        <v>-5777295.9699999997</v>
      </c>
      <c r="M46" s="180">
        <f t="shared" si="2"/>
        <v>-0.78571503944838827</v>
      </c>
      <c r="N46" s="175">
        <f>'2022'!R46</f>
        <v>74451779.75</v>
      </c>
      <c r="O46" s="175">
        <f>'2022'!R120</f>
        <v>36220465.866666652</v>
      </c>
      <c r="P46" s="176">
        <f t="shared" si="6"/>
        <v>38231313.883333348</v>
      </c>
      <c r="Q46" s="178">
        <f t="shared" si="3"/>
        <v>1.0555169009716483</v>
      </c>
      <c r="R46" s="175">
        <f>'2021'!R46</f>
        <v>29427111.050000001</v>
      </c>
      <c r="S46" s="176">
        <f t="shared" si="4"/>
        <v>45024668.700000003</v>
      </c>
      <c r="T46" s="180">
        <f t="shared" si="5"/>
        <v>1.5300403979003572</v>
      </c>
      <c r="W46" s="498"/>
      <c r="Y46" s="498"/>
    </row>
    <row r="47" spans="1:25">
      <c r="A47" s="150">
        <v>44</v>
      </c>
      <c r="B47" s="550" t="str">
        <f>+VLOOKUP($A47,Master!$D$30:$G$226,4,FALSE)</f>
        <v>Kapitalni izdaci</v>
      </c>
      <c r="C47" s="551"/>
      <c r="D47" s="551"/>
      <c r="E47" s="551"/>
      <c r="F47" s="551"/>
      <c r="G47" s="175">
        <f>'2023'!G47</f>
        <v>420202.34</v>
      </c>
      <c r="H47" s="175">
        <f>'2023'!G121</f>
        <v>20405334.879999999</v>
      </c>
      <c r="I47" s="176">
        <f t="shared" si="0"/>
        <v>-19985132.539999999</v>
      </c>
      <c r="J47" s="178">
        <f t="shared" si="1"/>
        <v>-0.97940723137007391</v>
      </c>
      <c r="K47" s="175">
        <f>'2022'!G47</f>
        <v>16016474.34</v>
      </c>
      <c r="L47" s="176">
        <f t="shared" si="7"/>
        <v>-15596272</v>
      </c>
      <c r="M47" s="180">
        <f t="shared" si="2"/>
        <v>-0.97376436717095882</v>
      </c>
      <c r="N47" s="175">
        <f>'2022'!R47</f>
        <v>56633833.889999993</v>
      </c>
      <c r="O47" s="175">
        <f>'2022'!R121</f>
        <v>41814542.016666658</v>
      </c>
      <c r="P47" s="176">
        <f t="shared" si="6"/>
        <v>14819291.873333335</v>
      </c>
      <c r="Q47" s="178">
        <f t="shared" si="3"/>
        <v>0.35440521786479406</v>
      </c>
      <c r="R47" s="175">
        <f>'2021'!R47</f>
        <v>59175879.799999997</v>
      </c>
      <c r="S47" s="176">
        <f t="shared" si="4"/>
        <v>-2542045.9100000039</v>
      </c>
      <c r="T47" s="180">
        <f t="shared" si="5"/>
        <v>-4.2957467106386926E-2</v>
      </c>
      <c r="W47" s="498"/>
      <c r="Y47" s="498"/>
    </row>
    <row r="48" spans="1:25">
      <c r="A48" s="150">
        <v>451</v>
      </c>
      <c r="B48" s="520" t="str">
        <f>+VLOOKUP($A48,Master!$D$30:$G$226,4,FALSE)</f>
        <v>Pozajmice i krediti</v>
      </c>
      <c r="C48" s="521"/>
      <c r="D48" s="521"/>
      <c r="E48" s="521"/>
      <c r="F48" s="521"/>
      <c r="G48" s="163">
        <f>'2023'!G48</f>
        <v>0</v>
      </c>
      <c r="H48" s="163">
        <f>'2023'!G122</f>
        <v>1607</v>
      </c>
      <c r="I48" s="164">
        <f>G48-H48</f>
        <v>-1607</v>
      </c>
      <c r="J48" s="282">
        <f t="shared" si="1"/>
        <v>-1</v>
      </c>
      <c r="K48" s="163">
        <f>'2022'!G48</f>
        <v>5063275.62</v>
      </c>
      <c r="L48" s="279">
        <f t="shared" si="7"/>
        <v>-5063275.62</v>
      </c>
      <c r="M48" s="503">
        <f t="shared" si="2"/>
        <v>-1</v>
      </c>
      <c r="N48" s="163">
        <f>'2022'!R48</f>
        <v>516876.49</v>
      </c>
      <c r="O48" s="163">
        <f>'2022'!R122</f>
        <v>619965.66666666674</v>
      </c>
      <c r="P48" s="164">
        <f t="shared" si="6"/>
        <v>-103089.17666666675</v>
      </c>
      <c r="Q48" s="282">
        <f t="shared" si="3"/>
        <v>-0.1662820736847257</v>
      </c>
      <c r="R48" s="163">
        <f>'2021'!R48</f>
        <v>164365</v>
      </c>
      <c r="S48" s="279">
        <f>+N48-R48-S58</f>
        <v>-11767929.939999999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20" t="str">
        <f>+VLOOKUP($A49,Master!$D$30:$G$226,4,FALSE)</f>
        <v>Rezerve</v>
      </c>
      <c r="C49" s="521"/>
      <c r="D49" s="521"/>
      <c r="E49" s="521"/>
      <c r="F49" s="521"/>
      <c r="G49" s="163">
        <f>'2023'!G49</f>
        <v>0</v>
      </c>
      <c r="H49" s="163">
        <f>'2023'!G123</f>
        <v>2554609.09</v>
      </c>
      <c r="I49" s="164">
        <f t="shared" ref="I49:I50" si="8">G49-H49</f>
        <v>-2554609.09</v>
      </c>
      <c r="J49" s="283">
        <f t="shared" si="1"/>
        <v>-1</v>
      </c>
      <c r="K49" s="163">
        <f>'2022'!G49</f>
        <v>265800</v>
      </c>
      <c r="L49" s="280">
        <f t="shared" si="7"/>
        <v>-265800</v>
      </c>
      <c r="M49" s="504">
        <f t="shared" si="2"/>
        <v>-1</v>
      </c>
      <c r="N49" s="163">
        <f>'2022'!R49</f>
        <v>5259111.3499999996</v>
      </c>
      <c r="O49" s="163">
        <f>'2022'!R123</f>
        <v>22444044.24666667</v>
      </c>
      <c r="P49" s="164">
        <f t="shared" si="6"/>
        <v>-17184932.896666668</v>
      </c>
      <c r="Q49" s="283">
        <f t="shared" si="3"/>
        <v>-0.76567897959027287</v>
      </c>
      <c r="R49" s="163">
        <f>'2021'!R49</f>
        <v>5072697.09</v>
      </c>
      <c r="S49" s="280">
        <f t="shared" si="4"/>
        <v>186414.25999999978</v>
      </c>
      <c r="T49" s="504">
        <f t="shared" si="5"/>
        <v>3.6748549478242021E-2</v>
      </c>
      <c r="W49" s="498"/>
      <c r="Y49" s="498"/>
    </row>
    <row r="50" spans="1:25" ht="15" thickBot="1">
      <c r="A50" s="150">
        <v>462</v>
      </c>
      <c r="B50" s="538" t="str">
        <f>+VLOOKUP($A50,Master!$D$30:$G$226,4,FALSE)</f>
        <v>Otplata garancija</v>
      </c>
      <c r="C50" s="539"/>
      <c r="D50" s="539"/>
      <c r="E50" s="539"/>
      <c r="F50" s="539"/>
      <c r="G50" s="163">
        <f>'2023'!G50</f>
        <v>0</v>
      </c>
      <c r="H50" s="163">
        <f>'2023'!G124</f>
        <v>0.16</v>
      </c>
      <c r="I50" s="164">
        <f t="shared" si="8"/>
        <v>-0.16</v>
      </c>
      <c r="J50" s="284">
        <f t="shared" si="1"/>
        <v>-1</v>
      </c>
      <c r="K50" s="163">
        <f>'2022'!G50</f>
        <v>0</v>
      </c>
      <c r="L50" s="280">
        <f t="shared" si="7"/>
        <v>0</v>
      </c>
      <c r="M50" s="505" t="str">
        <f t="shared" si="2"/>
        <v>...</v>
      </c>
      <c r="N50" s="163">
        <f>'2022'!R50</f>
        <v>0</v>
      </c>
      <c r="O50" s="163">
        <f>'2022'!R124</f>
        <v>1</v>
      </c>
      <c r="P50" s="164">
        <f t="shared" si="6"/>
        <v>-1</v>
      </c>
      <c r="Q50" s="284">
        <f t="shared" si="3"/>
        <v>-1</v>
      </c>
      <c r="R50" s="163">
        <f>'2021'!R50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38" t="str">
        <f>+VLOOKUP($A51,Master!$D$30:$G$226,4,FALSE)</f>
        <v>Otplata obaveza iz prethodnog perioda</v>
      </c>
      <c r="C51" s="539"/>
      <c r="D51" s="539"/>
      <c r="E51" s="539"/>
      <c r="F51" s="539"/>
      <c r="G51" s="314">
        <f>'2023'!G51</f>
        <v>968479.09</v>
      </c>
      <c r="H51" s="314">
        <f>'2023'!G125</f>
        <v>2590915.3400000045</v>
      </c>
      <c r="I51" s="281">
        <f>G51-H51</f>
        <v>-1622436.2500000047</v>
      </c>
      <c r="J51" s="285">
        <f t="shared" si="1"/>
        <v>-0.62620195455711092</v>
      </c>
      <c r="K51" s="314">
        <f>'2022'!G51</f>
        <v>17529055.329999998</v>
      </c>
      <c r="L51" s="287">
        <f t="shared" si="7"/>
        <v>-16560576.239999998</v>
      </c>
      <c r="M51" s="506">
        <f t="shared" si="2"/>
        <v>-0.9447500694265879</v>
      </c>
      <c r="N51" s="314">
        <f>'2022'!R51</f>
        <v>2171719.34</v>
      </c>
      <c r="O51" s="314">
        <f>'2022'!R125</f>
        <v>1578531.8799999962</v>
      </c>
      <c r="P51" s="281">
        <f>N51-O51</f>
        <v>593187.46000000369</v>
      </c>
      <c r="Q51" s="285">
        <f t="shared" si="3"/>
        <v>0.37578427620986976</v>
      </c>
      <c r="R51" s="314">
        <f>'2021'!R51</f>
        <v>2905903.4</v>
      </c>
      <c r="S51" s="287">
        <f>+N51-R51</f>
        <v>-734184.06</v>
      </c>
      <c r="T51" s="506">
        <f t="shared" si="5"/>
        <v>-0.25265260366191111</v>
      </c>
      <c r="W51" s="498"/>
      <c r="Y51" s="498"/>
    </row>
    <row r="52" spans="1:25" ht="15" thickBot="1">
      <c r="A52" s="144">
        <v>1005</v>
      </c>
      <c r="B52" s="538" t="str">
        <f>+VLOOKUP($A52,Master!$D$30:$G$228,4,FALSE)</f>
        <v>Neto povećanje obaveza</v>
      </c>
      <c r="C52" s="539"/>
      <c r="D52" s="539"/>
      <c r="E52" s="539"/>
      <c r="F52" s="539"/>
      <c r="G52" s="163">
        <f>'2023'!G52</f>
        <v>0</v>
      </c>
      <c r="H52" s="163">
        <f>'2023'!G126</f>
        <v>0</v>
      </c>
      <c r="I52" s="281">
        <f>G52-H52</f>
        <v>0</v>
      </c>
      <c r="J52" s="285" t="str">
        <f t="shared" si="1"/>
        <v>...</v>
      </c>
      <c r="K52" s="163">
        <f>'2022'!G52</f>
        <v>0</v>
      </c>
      <c r="L52" s="287">
        <f t="shared" si="7"/>
        <v>0</v>
      </c>
      <c r="M52" s="506" t="str">
        <f t="shared" si="2"/>
        <v>...</v>
      </c>
      <c r="N52" s="163">
        <f>'2022'!R52</f>
        <v>0</v>
      </c>
      <c r="O52" s="163">
        <f>'2022'!R126</f>
        <v>0</v>
      </c>
      <c r="P52" s="281">
        <f>N52-O52</f>
        <v>0</v>
      </c>
      <c r="Q52" s="285" t="str">
        <f t="shared" si="3"/>
        <v>...</v>
      </c>
      <c r="R52" s="163">
        <f>'2021'!R52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>+'2023'!G53</f>
        <v>53023975.449999973</v>
      </c>
      <c r="H53" s="151">
        <f>'2023'!G127</f>
        <v>-22397133.607592493</v>
      </c>
      <c r="I53" s="320">
        <f>+G53-H53</f>
        <v>75421109.057592466</v>
      </c>
      <c r="J53" s="286">
        <f t="shared" si="1"/>
        <v>-3.3674447087293871</v>
      </c>
      <c r="K53" s="151">
        <f>'2022'!G53</f>
        <v>-32762277.659999982</v>
      </c>
      <c r="L53" s="288">
        <f t="shared" si="7"/>
        <v>85786253.109999955</v>
      </c>
      <c r="M53" s="507">
        <f t="shared" si="2"/>
        <v>-2.6184459456778804</v>
      </c>
      <c r="N53" s="151">
        <f>'2022'!R53</f>
        <v>-150959829.03999993</v>
      </c>
      <c r="O53" s="151">
        <f>'2022'!R127</f>
        <v>-115435017.19666666</v>
      </c>
      <c r="P53" s="320">
        <f>N53-O53</f>
        <v>-35524811.843333274</v>
      </c>
      <c r="Q53" s="286">
        <f t="shared" si="3"/>
        <v>0.30774727380002598</v>
      </c>
      <c r="R53" s="151">
        <f>'2021'!R53</f>
        <v>-26290196.959999979</v>
      </c>
      <c r="S53" s="288">
        <f t="shared" si="4"/>
        <v>-124669632.07999995</v>
      </c>
      <c r="T53" s="507" t="str">
        <f t="shared" si="5"/>
        <v>...</v>
      </c>
      <c r="W53" s="498"/>
      <c r="Y53" s="498"/>
    </row>
    <row r="54" spans="1:25" ht="1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151">
        <f>'2023'!G54</f>
        <v>56990871.209999971</v>
      </c>
      <c r="H54" s="151">
        <f>'2023'!G128</f>
        <v>-16955013.227592494</v>
      </c>
      <c r="I54" s="206">
        <f t="shared" si="0"/>
        <v>73945884.437592462</v>
      </c>
      <c r="J54" s="208">
        <f t="shared" si="1"/>
        <v>-4.3612991299383559</v>
      </c>
      <c r="K54" s="151">
        <f>'2022'!G54</f>
        <v>-28907515.409999982</v>
      </c>
      <c r="L54" s="206">
        <f t="shared" si="7"/>
        <v>85898386.619999945</v>
      </c>
      <c r="M54" s="210">
        <f t="shared" si="2"/>
        <v>-2.9714897804840437</v>
      </c>
      <c r="N54" s="151">
        <f>'2022'!R54</f>
        <v>-127854220.06999993</v>
      </c>
      <c r="O54" s="151">
        <f>'2022'!R128</f>
        <v>-88826173.566666663</v>
      </c>
      <c r="P54" s="206">
        <f t="shared" si="6"/>
        <v>-39028046.503333271</v>
      </c>
      <c r="Q54" s="208">
        <f t="shared" si="3"/>
        <v>0.43937552340968034</v>
      </c>
      <c r="R54" s="151">
        <f>'2021'!R54</f>
        <v>405399.46000002325</v>
      </c>
      <c r="S54" s="206">
        <f t="shared" si="4"/>
        <v>-128259619.52999996</v>
      </c>
      <c r="T54" s="210">
        <f t="shared" si="5"/>
        <v>-316.37836796820744</v>
      </c>
      <c r="W54" s="498"/>
      <c r="Y54" s="498"/>
    </row>
    <row r="55" spans="1:25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488">
        <f>'2023'!G55</f>
        <v>29896704.300000001</v>
      </c>
      <c r="H55" s="488">
        <f>'2023'!G129</f>
        <v>30842089.259999998</v>
      </c>
      <c r="I55" s="489">
        <f t="shared" si="0"/>
        <v>-945384.95999999717</v>
      </c>
      <c r="J55" s="490">
        <f t="shared" si="1"/>
        <v>-3.0652429283579474E-2</v>
      </c>
      <c r="K55" s="488">
        <f>'2022'!G55</f>
        <v>28431258.969999999</v>
      </c>
      <c r="L55" s="489">
        <f t="shared" si="7"/>
        <v>1465445.3300000019</v>
      </c>
      <c r="M55" s="508">
        <f t="shared" si="2"/>
        <v>5.1543455446215303E-2</v>
      </c>
      <c r="N55" s="488">
        <f>'2022'!R55</f>
        <v>11425725.890000001</v>
      </c>
      <c r="O55" s="488">
        <f>'2022'!R129</f>
        <v>37097385.81333334</v>
      </c>
      <c r="P55" s="489">
        <f t="shared" si="6"/>
        <v>-25671659.923333339</v>
      </c>
      <c r="Q55" s="490">
        <f t="shared" si="3"/>
        <v>-0.69200724958108961</v>
      </c>
      <c r="R55" s="488">
        <f>'2021'!R55</f>
        <v>12061111.439999999</v>
      </c>
      <c r="S55" s="489">
        <f t="shared" si="4"/>
        <v>-635385.54999999888</v>
      </c>
      <c r="T55" s="508">
        <f t="shared" si="5"/>
        <v>-5.2680513994156297E-2</v>
      </c>
      <c r="W55" s="498"/>
      <c r="Y55" s="498"/>
    </row>
    <row r="56" spans="1:25">
      <c r="A56" s="144">
        <v>4611</v>
      </c>
      <c r="B56" s="520" t="str">
        <f>+VLOOKUP($A56,Master!$D$30:$G$226,4,FALSE)</f>
        <v>Otplata hartija od vrijednosti i kredita rezidentima</v>
      </c>
      <c r="C56" s="521"/>
      <c r="D56" s="521"/>
      <c r="E56" s="521"/>
      <c r="F56" s="521"/>
      <c r="G56" s="163">
        <f>'2023'!G56</f>
        <v>1871833.35</v>
      </c>
      <c r="H56" s="163">
        <f>'2023'!G130</f>
        <v>2477159.06</v>
      </c>
      <c r="I56" s="212">
        <f t="shared" si="0"/>
        <v>-605325.71</v>
      </c>
      <c r="J56" s="214">
        <f t="shared" si="1"/>
        <v>-0.24436287510742238</v>
      </c>
      <c r="K56" s="163">
        <f>'2022'!G56</f>
        <v>2390495.08</v>
      </c>
      <c r="L56" s="212">
        <f t="shared" si="7"/>
        <v>-518661.73</v>
      </c>
      <c r="M56" s="216">
        <f t="shared" si="2"/>
        <v>-0.21696833193231246</v>
      </c>
      <c r="N56" s="163">
        <f>'2022'!R56</f>
        <v>1337203.54</v>
      </c>
      <c r="O56" s="163">
        <f>'2022'!R130</f>
        <v>720539.80333333823</v>
      </c>
      <c r="P56" s="212">
        <f t="shared" si="6"/>
        <v>616663.7366666618</v>
      </c>
      <c r="Q56" s="214">
        <f t="shared" si="3"/>
        <v>0.85583576898024472</v>
      </c>
      <c r="R56" s="163">
        <f>'2021'!R56</f>
        <v>2536618.6</v>
      </c>
      <c r="S56" s="212">
        <f t="shared" si="4"/>
        <v>-1199415.06</v>
      </c>
      <c r="T56" s="216">
        <f t="shared" si="5"/>
        <v>-0.47284012661580266</v>
      </c>
      <c r="W56" s="498"/>
      <c r="Y56" s="498"/>
    </row>
    <row r="57" spans="1:25">
      <c r="A57" s="144">
        <v>4612</v>
      </c>
      <c r="B57" s="520" t="str">
        <f>+VLOOKUP($A57,Master!$D$30:$G$226,4,FALSE)</f>
        <v>Otplata hartija od vrijednosti i kredita nerezidentima</v>
      </c>
      <c r="C57" s="521"/>
      <c r="D57" s="521"/>
      <c r="E57" s="521"/>
      <c r="F57" s="521"/>
      <c r="G57" s="163">
        <f>'2023'!G57</f>
        <v>28024870.949999999</v>
      </c>
      <c r="H57" s="163">
        <f>'2023'!G131</f>
        <v>28364930.199999999</v>
      </c>
      <c r="I57" s="212">
        <f t="shared" si="0"/>
        <v>-340059.25</v>
      </c>
      <c r="J57" s="214">
        <f t="shared" si="1"/>
        <v>-1.1988721551657422E-2</v>
      </c>
      <c r="K57" s="163">
        <f>'2022'!G57</f>
        <v>26040763.890000001</v>
      </c>
      <c r="L57" s="212">
        <f t="shared" si="7"/>
        <v>1984107.0599999987</v>
      </c>
      <c r="M57" s="216">
        <f t="shared" si="2"/>
        <v>7.6192352435633603E-2</v>
      </c>
      <c r="N57" s="163">
        <f>'2022'!R57</f>
        <v>10088522.35</v>
      </c>
      <c r="O57" s="163">
        <f>'2022'!R131</f>
        <v>36376846.010000005</v>
      </c>
      <c r="P57" s="212">
        <f t="shared" si="6"/>
        <v>-26288323.660000004</v>
      </c>
      <c r="Q57" s="214">
        <f t="shared" si="3"/>
        <v>-0.72266638104835534</v>
      </c>
      <c r="R57" s="163">
        <f>'2021'!R57</f>
        <v>9524492.8399999999</v>
      </c>
      <c r="S57" s="212">
        <f t="shared" si="4"/>
        <v>564029.50999999978</v>
      </c>
      <c r="T57" s="216">
        <f t="shared" si="5"/>
        <v>5.9218849704127718E-2</v>
      </c>
      <c r="W57" s="498"/>
      <c r="Y57" s="498"/>
    </row>
    <row r="58" spans="1:25" ht="15" thickBot="1">
      <c r="A58" s="144">
        <v>4418</v>
      </c>
      <c r="B58" s="548" t="str">
        <f>+VLOOKUP($A58,Master!$D$30:$G$226,4,FALSE)</f>
        <v>Izdaci za kupovinu hartija od vrijednosti</v>
      </c>
      <c r="C58" s="549"/>
      <c r="D58" s="549"/>
      <c r="E58" s="549"/>
      <c r="F58" s="549"/>
      <c r="G58" s="335">
        <f>'2023'!G58</f>
        <v>0</v>
      </c>
      <c r="H58" s="335">
        <f>'2023'!G132</f>
        <v>6666.67</v>
      </c>
      <c r="I58" s="336">
        <f t="shared" ref="I58:I64" si="9">+G58-H58</f>
        <v>-6666.67</v>
      </c>
      <c r="J58" s="337">
        <f t="shared" si="1"/>
        <v>-1</v>
      </c>
      <c r="K58" s="335">
        <f>'2022'!G58</f>
        <v>0</v>
      </c>
      <c r="L58" s="336">
        <f t="shared" ref="L58:L64" si="10">+G58-K58</f>
        <v>0</v>
      </c>
      <c r="M58" s="509" t="str">
        <f t="shared" si="2"/>
        <v>...</v>
      </c>
      <c r="N58" s="335">
        <f>'2022'!R58</f>
        <v>12120441.43</v>
      </c>
      <c r="O58" s="335">
        <f>'2022'!R132</f>
        <v>3536336.666666667</v>
      </c>
      <c r="P58" s="336">
        <f t="shared" ref="P58:P64" si="11">+N58-O58</f>
        <v>8584104.7633333318</v>
      </c>
      <c r="Q58" s="337" t="str">
        <f t="shared" si="3"/>
        <v>...</v>
      </c>
      <c r="R58" s="335">
        <f>'2021'!R58</f>
        <v>0</v>
      </c>
      <c r="S58" s="336">
        <f t="shared" ref="S58:S64" si="12">+N58-R58</f>
        <v>12120441.43</v>
      </c>
      <c r="T58" s="509" t="str">
        <f t="shared" si="5"/>
        <v>...</v>
      </c>
      <c r="W58" s="498"/>
      <c r="Y58" s="498"/>
    </row>
    <row r="59" spans="1:25" ht="15" thickBot="1">
      <c r="A59" s="144">
        <v>1002</v>
      </c>
      <c r="B59" s="540" t="str">
        <f>+VLOOKUP($A59,Master!$D$30:$G$226,4,FALSE)</f>
        <v>Nedostajuća sredstva</v>
      </c>
      <c r="C59" s="541"/>
      <c r="D59" s="541"/>
      <c r="E59" s="541"/>
      <c r="F59" s="541"/>
      <c r="G59" s="319">
        <f>'2023'!G59</f>
        <v>23127271.149999972</v>
      </c>
      <c r="H59" s="319">
        <f>'2023'!G133</f>
        <v>-53245889.537592493</v>
      </c>
      <c r="I59" s="321">
        <f t="shared" si="9"/>
        <v>76373160.687592462</v>
      </c>
      <c r="J59" s="322">
        <f t="shared" si="1"/>
        <v>-1.4343484793069656</v>
      </c>
      <c r="K59" s="319">
        <f>'2022'!G59</f>
        <v>-61193536.62999998</v>
      </c>
      <c r="L59" s="321">
        <f t="shared" si="10"/>
        <v>84320807.779999956</v>
      </c>
      <c r="M59" s="510">
        <f t="shared" si="2"/>
        <v>-1.377936501526893</v>
      </c>
      <c r="N59" s="319">
        <f>'2022'!R59</f>
        <v>-174505996.35999995</v>
      </c>
      <c r="O59" s="319">
        <f>'2022'!R133</f>
        <v>-156068739.67666665</v>
      </c>
      <c r="P59" s="321">
        <f t="shared" si="11"/>
        <v>-18437256.683333308</v>
      </c>
      <c r="Q59" s="322">
        <f t="shared" si="3"/>
        <v>0.11813548774424953</v>
      </c>
      <c r="R59" s="319">
        <f>'2021'!R59</f>
        <v>-38351308.399999976</v>
      </c>
      <c r="S59" s="321">
        <f t="shared" si="12"/>
        <v>-136154687.95999998</v>
      </c>
      <c r="T59" s="510" t="str">
        <f t="shared" si="5"/>
        <v>...</v>
      </c>
      <c r="W59" s="498"/>
      <c r="Y59" s="498"/>
    </row>
    <row r="60" spans="1:25" ht="1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'2023'!G60</f>
        <v>-23127271.149999976</v>
      </c>
      <c r="H60" s="151">
        <f>'2023'!G134</f>
        <v>53245889.537592493</v>
      </c>
      <c r="I60" s="320">
        <f t="shared" si="9"/>
        <v>-76373160.687592477</v>
      </c>
      <c r="J60" s="323">
        <f t="shared" si="1"/>
        <v>-1.4343484793069656</v>
      </c>
      <c r="K60" s="151">
        <f>'2022'!G60</f>
        <v>61193536.62999998</v>
      </c>
      <c r="L60" s="320">
        <f t="shared" si="10"/>
        <v>-84320807.779999956</v>
      </c>
      <c r="M60" s="511">
        <f t="shared" si="2"/>
        <v>-1.3779365015268932</v>
      </c>
      <c r="N60" s="151">
        <f>'2022'!R60</f>
        <v>174505996.35999995</v>
      </c>
      <c r="O60" s="151">
        <f>'2022'!R134</f>
        <v>156068739.67666665</v>
      </c>
      <c r="P60" s="320">
        <f t="shared" si="11"/>
        <v>18437256.683333308</v>
      </c>
      <c r="Q60" s="323">
        <f t="shared" si="3"/>
        <v>0.11813548774424953</v>
      </c>
      <c r="R60" s="151">
        <f>'2021'!R60</f>
        <v>38351308.399999976</v>
      </c>
      <c r="S60" s="320">
        <f t="shared" si="12"/>
        <v>136154687.95999998</v>
      </c>
      <c r="T60" s="511" t="str">
        <f t="shared" si="5"/>
        <v>...</v>
      </c>
      <c r="W60" s="498"/>
      <c r="Y60" s="498"/>
    </row>
    <row r="61" spans="1:25">
      <c r="A61" s="144">
        <v>7511</v>
      </c>
      <c r="B61" s="536" t="str">
        <f>+VLOOKUP($A61,Master!$D$30:$G$226,4,FALSE)</f>
        <v>Pozajmice i krediti od domaćih izvora</v>
      </c>
      <c r="C61" s="537"/>
      <c r="D61" s="537"/>
      <c r="E61" s="537"/>
      <c r="F61" s="537"/>
      <c r="G61" s="163">
        <f>'2023'!G61</f>
        <v>0</v>
      </c>
      <c r="H61" s="163">
        <f>'2023'!G135</f>
        <v>0</v>
      </c>
      <c r="I61" s="212">
        <f t="shared" si="9"/>
        <v>0</v>
      </c>
      <c r="J61" s="214" t="str">
        <f t="shared" si="1"/>
        <v>...</v>
      </c>
      <c r="K61" s="163">
        <f>'2022'!G61</f>
        <v>0</v>
      </c>
      <c r="L61" s="212">
        <f t="shared" si="10"/>
        <v>0</v>
      </c>
      <c r="M61" s="216" t="str">
        <f t="shared" si="2"/>
        <v>...</v>
      </c>
      <c r="N61" s="163">
        <f>'2022'!R61</f>
        <v>53000000</v>
      </c>
      <c r="O61" s="163">
        <f>'2022'!R135</f>
        <v>116666666.66666667</v>
      </c>
      <c r="P61" s="212">
        <f t="shared" si="11"/>
        <v>-63666666.666666672</v>
      </c>
      <c r="Q61" s="214">
        <f t="shared" si="3"/>
        <v>-0.54571428571428571</v>
      </c>
      <c r="R61" s="163">
        <f>'2021'!R61</f>
        <v>0</v>
      </c>
      <c r="S61" s="212">
        <f t="shared" si="12"/>
        <v>53000000</v>
      </c>
      <c r="T61" s="216" t="str">
        <f t="shared" si="5"/>
        <v>...</v>
      </c>
      <c r="W61" s="498"/>
      <c r="Y61" s="498"/>
    </row>
    <row r="62" spans="1:25">
      <c r="A62" s="144">
        <v>7512</v>
      </c>
      <c r="B62" s="520" t="str">
        <f>+VLOOKUP($A62,Master!$D$30:$G$226,4,FALSE)</f>
        <v>Pozajmice i krediti od inostranih izvora</v>
      </c>
      <c r="C62" s="521"/>
      <c r="D62" s="521"/>
      <c r="E62" s="521"/>
      <c r="F62" s="521"/>
      <c r="G62" s="163">
        <f>'2023'!G62</f>
        <v>21765.27</v>
      </c>
      <c r="H62" s="163">
        <f>'2023'!G136</f>
        <v>0</v>
      </c>
      <c r="I62" s="212">
        <f t="shared" si="9"/>
        <v>21765.27</v>
      </c>
      <c r="J62" s="214" t="str">
        <f t="shared" si="1"/>
        <v>...</v>
      </c>
      <c r="K62" s="163">
        <f>'2022'!G62</f>
        <v>17854744.760000002</v>
      </c>
      <c r="L62" s="212">
        <f t="shared" si="10"/>
        <v>-17832979.490000002</v>
      </c>
      <c r="M62" s="216">
        <f t="shared" si="2"/>
        <v>-0.99878098117376846</v>
      </c>
      <c r="N62" s="163">
        <f>'2022'!R62</f>
        <v>7590650.9500000002</v>
      </c>
      <c r="O62" s="163">
        <f>'2022'!R136</f>
        <v>10080244.730000004</v>
      </c>
      <c r="P62" s="212">
        <f t="shared" si="11"/>
        <v>-2489593.780000004</v>
      </c>
      <c r="Q62" s="214">
        <f t="shared" si="3"/>
        <v>-0.2469775136104263</v>
      </c>
      <c r="R62" s="163">
        <f>'2021'!R62</f>
        <v>19527458.25</v>
      </c>
      <c r="S62" s="212">
        <f t="shared" si="12"/>
        <v>-11936807.300000001</v>
      </c>
      <c r="T62" s="216">
        <f t="shared" si="5"/>
        <v>-0.61128320681469128</v>
      </c>
      <c r="W62" s="498"/>
      <c r="Y62" s="498"/>
    </row>
    <row r="63" spans="1:25">
      <c r="A63" s="144">
        <v>72</v>
      </c>
      <c r="B63" s="520" t="str">
        <f>+VLOOKUP($A63,Master!$D$30:$G$226,4,FALSE)</f>
        <v>Primici od prodaje imovine</v>
      </c>
      <c r="C63" s="521"/>
      <c r="D63" s="521"/>
      <c r="E63" s="521"/>
      <c r="F63" s="521"/>
      <c r="G63" s="163">
        <f>'2023'!G63</f>
        <v>664808.06000000006</v>
      </c>
      <c r="H63" s="163">
        <f>'2023'!G137</f>
        <v>500000</v>
      </c>
      <c r="I63" s="212">
        <f t="shared" si="9"/>
        <v>164808.06000000006</v>
      </c>
      <c r="J63" s="214">
        <f t="shared" si="1"/>
        <v>0.32961612000000007</v>
      </c>
      <c r="K63" s="163">
        <f>'2022'!G63</f>
        <v>710212.98</v>
      </c>
      <c r="L63" s="212">
        <f t="shared" si="10"/>
        <v>-45404.919999999925</v>
      </c>
      <c r="M63" s="216">
        <f t="shared" si="2"/>
        <v>-6.3931413926002767E-2</v>
      </c>
      <c r="N63" s="163">
        <f>'2022'!R63</f>
        <v>148667.54</v>
      </c>
      <c r="O63" s="163">
        <f>'2022'!R137</f>
        <v>857165.2666666666</v>
      </c>
      <c r="P63" s="212">
        <f t="shared" si="11"/>
        <v>-708497.72666666657</v>
      </c>
      <c r="Q63" s="214">
        <f t="shared" si="3"/>
        <v>-0.82655907118339444</v>
      </c>
      <c r="R63" s="163">
        <f>'2021'!R63</f>
        <v>2806225.74</v>
      </c>
      <c r="S63" s="212">
        <f t="shared" si="12"/>
        <v>-2657558.2000000002</v>
      </c>
      <c r="T63" s="216">
        <f t="shared" si="5"/>
        <v>-0.94702224490322007</v>
      </c>
      <c r="W63" s="498"/>
      <c r="Y63" s="498"/>
    </row>
    <row r="64" spans="1:25" ht="1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317">
        <f>'2023'!G64</f>
        <v>-23813844.479999974</v>
      </c>
      <c r="H64" s="317">
        <f>'2023'!G138</f>
        <v>52745889.537592493</v>
      </c>
      <c r="I64" s="226">
        <f t="shared" si="9"/>
        <v>-76559734.01759246</v>
      </c>
      <c r="J64" s="228">
        <f t="shared" si="1"/>
        <v>-1.4514824697956343</v>
      </c>
      <c r="K64" s="317">
        <f>'2022'!G64</f>
        <v>42628578.889999978</v>
      </c>
      <c r="L64" s="226">
        <f t="shared" si="10"/>
        <v>-66442423.369999953</v>
      </c>
      <c r="M64" s="230">
        <f t="shared" si="2"/>
        <v>-1.5586356641503323</v>
      </c>
      <c r="N64" s="317">
        <f>'2022'!R64</f>
        <v>113766677.86999995</v>
      </c>
      <c r="O64" s="317">
        <f>'2022'!R138</f>
        <v>28464663.013333306</v>
      </c>
      <c r="P64" s="226">
        <f t="shared" si="11"/>
        <v>85302014.856666639</v>
      </c>
      <c r="Q64" s="228" t="str">
        <f t="shared" si="3"/>
        <v>...</v>
      </c>
      <c r="R64" s="317">
        <f>'2021'!R64</f>
        <v>16017624.409999974</v>
      </c>
      <c r="S64" s="226">
        <f t="shared" si="12"/>
        <v>97749053.459999979</v>
      </c>
      <c r="T64" s="230" t="str">
        <f t="shared" si="5"/>
        <v>...</v>
      </c>
      <c r="W64" s="498"/>
      <c r="Y64" s="498"/>
    </row>
    <row r="65" spans="6:18">
      <c r="G65" s="290"/>
    </row>
    <row r="66" spans="6:18">
      <c r="G66" s="5"/>
    </row>
    <row r="67" spans="6:18">
      <c r="F67" s="290"/>
      <c r="G67" s="5"/>
      <c r="H67" s="290"/>
      <c r="N67" s="498"/>
    </row>
    <row r="68" spans="6:18">
      <c r="G68" s="5"/>
    </row>
    <row r="69" spans="6:18">
      <c r="G69" s="5"/>
      <c r="R69" s="344"/>
    </row>
    <row r="70" spans="6:18">
      <c r="G70" s="5"/>
    </row>
  </sheetData>
  <sheetProtection algorithmName="SHA-512" hashValue="856CgACLk0VFOJynfcrIAho+otWZXU2yA2KJ3gXKuJBuMkEnNZKsVDuEzFQaABm1vyUvxBSOmhtGkiOdr/P6Yg==" saltValue="A7wF1IkcCB+UnIJ2rLoN/A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3.453125" style="258" customWidth="1"/>
    <col min="7" max="7" width="12" style="258" customWidth="1"/>
    <col min="8" max="8" width="12.26953125" style="258" customWidth="1"/>
    <col min="9" max="9" width="10.7265625" style="258" customWidth="1"/>
    <col min="10" max="10" width="14.453125" style="258" customWidth="1"/>
    <col min="11" max="11" width="10.7265625" style="258" customWidth="1"/>
    <col min="12" max="12" width="12.26953125" style="258" customWidth="1"/>
    <col min="13" max="14" width="10.7265625" style="258" customWidth="1"/>
    <col min="15" max="16" width="12.26953125" style="258" customWidth="1"/>
    <col min="17" max="17" width="15.453125" style="258" customWidth="1"/>
    <col min="18" max="18" width="10.7265625" style="258" customWidth="1"/>
    <col min="19" max="19" width="13.26953125" style="258" customWidth="1"/>
    <col min="20" max="20" width="10.7265625" style="258" customWidth="1"/>
    <col min="21" max="21" width="16.81640625" style="291" bestFit="1" customWidth="1"/>
    <col min="22" max="22" width="15.81640625" style="258" bestFit="1" customWidth="1"/>
    <col min="23" max="23" width="12" style="258" bestFit="1" customWidth="1"/>
    <col min="24" max="16384" width="9.179687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4.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570" t="str">
        <f>+Master!G252</f>
        <v>Ostvarenje budžeta</v>
      </c>
      <c r="C7" s="523"/>
      <c r="D7" s="523"/>
      <c r="E7" s="523"/>
      <c r="F7" s="523"/>
      <c r="G7" s="531">
        <v>2023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tr">
        <f>+Master!G249</f>
        <v>BDP</v>
      </c>
      <c r="T7" s="236">
        <v>6174600000</v>
      </c>
    </row>
    <row r="8" spans="1:23" ht="16.5" customHeight="1">
      <c r="A8" s="144"/>
      <c r="B8" s="524"/>
      <c r="C8" s="525"/>
      <c r="D8" s="525"/>
      <c r="E8" s="525"/>
      <c r="F8" s="52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1" t="str">
        <f>+Master!G247</f>
        <v>Jan - Dec</v>
      </c>
      <c r="T8" s="535"/>
    </row>
    <row r="9" spans="1:23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+G11+G19+SUM(G24:G28)</f>
        <v>167764831.39999998</v>
      </c>
      <c r="H10" s="151">
        <f t="shared" ref="H10:R10" si="1">+H11+H19+SUM(H24:H28)</f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167764831.39999998</v>
      </c>
      <c r="T10" s="461">
        <f>+S10/$T$7*100</f>
        <v>2.7170153758947944</v>
      </c>
    </row>
    <row r="11" spans="1:23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157">
        <f t="shared" ref="G11:R11" si="2">+SUM(G12:G18)</f>
        <v>103490146.19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103490146.19</v>
      </c>
      <c r="T11" s="462">
        <f t="shared" ref="T11:T64" si="3">+S11/$T$7*100</f>
        <v>1.6760623552942702</v>
      </c>
    </row>
    <row r="12" spans="1:23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v>1481487.87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242">
        <f t="shared" ref="S12:S63" si="4">+SUM(G12:R12)</f>
        <v>1481487.87</v>
      </c>
      <c r="T12" s="463">
        <f t="shared" si="3"/>
        <v>2.39932606160723E-2</v>
      </c>
    </row>
    <row r="13" spans="1:23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v>1258566.3799999999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242">
        <f t="shared" si="4"/>
        <v>1258566.3799999999</v>
      </c>
      <c r="T13" s="463">
        <f t="shared" si="3"/>
        <v>2.0382962135199037E-2</v>
      </c>
    </row>
    <row r="14" spans="1:23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v>0</v>
      </c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v>79816016.629999995</v>
      </c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242">
        <f t="shared" si="4"/>
        <v>79816016.629999995</v>
      </c>
      <c r="T15" s="463">
        <f t="shared" si="3"/>
        <v>1.2926508053963008</v>
      </c>
    </row>
    <row r="16" spans="1:23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v>17494328.440000001</v>
      </c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242">
        <f t="shared" si="4"/>
        <v>17494328.440000001</v>
      </c>
      <c r="T16" s="463">
        <f t="shared" si="3"/>
        <v>0.28332731577754028</v>
      </c>
      <c r="W16" s="311"/>
    </row>
    <row r="17" spans="1:23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v>2467588.1800000002</v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242">
        <f t="shared" si="4"/>
        <v>2467588.1800000002</v>
      </c>
      <c r="T17" s="463">
        <f t="shared" si="3"/>
        <v>3.996353091698248E-2</v>
      </c>
    </row>
    <row r="18" spans="1:23">
      <c r="A18" s="150">
        <v>7118</v>
      </c>
      <c r="B18" s="552" t="str">
        <f>+VLOOKUP($A18,Master!$D$30:$G$226,4,FALSE)</f>
        <v>Ostali državni porezi</v>
      </c>
      <c r="C18" s="553"/>
      <c r="D18" s="553"/>
      <c r="E18" s="553"/>
      <c r="F18" s="553"/>
      <c r="G18" s="163">
        <v>972158.69</v>
      </c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242">
        <f t="shared" si="4"/>
        <v>972158.69</v>
      </c>
      <c r="T18" s="463">
        <f t="shared" si="3"/>
        <v>1.5744480452175039E-2</v>
      </c>
    </row>
    <row r="19" spans="1:23">
      <c r="A19" s="150">
        <v>712</v>
      </c>
      <c r="B19" s="554" t="str">
        <f>+VLOOKUP($A19,Master!$D$30:$G$226,4,FALSE)</f>
        <v>Doprinosi</v>
      </c>
      <c r="C19" s="555"/>
      <c r="D19" s="555"/>
      <c r="E19" s="555"/>
      <c r="F19" s="555"/>
      <c r="G19" s="169">
        <f>SUM(G20:G23)</f>
        <v>15617329.630000003</v>
      </c>
      <c r="H19" s="169">
        <f t="shared" ref="H19:R19" si="5">SUM(H20:H23)</f>
        <v>0</v>
      </c>
      <c r="I19" s="169">
        <f t="shared" si="5"/>
        <v>0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15617329.630000003</v>
      </c>
      <c r="T19" s="464">
        <f t="shared" si="3"/>
        <v>0.25292860476792023</v>
      </c>
    </row>
    <row r="20" spans="1:23">
      <c r="A20" s="150">
        <v>7121</v>
      </c>
      <c r="B20" s="552" t="str">
        <f>+VLOOKUP($A20,Master!$D$30:$G$226,4,FALSE)</f>
        <v>Doprinosi za penzijsko i invalidsko osiguranje</v>
      </c>
      <c r="C20" s="553"/>
      <c r="D20" s="553"/>
      <c r="E20" s="553"/>
      <c r="F20" s="553"/>
      <c r="G20" s="163">
        <v>14209639.380000001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242">
        <f>+SUM(G20:R20)</f>
        <v>14209639.380000001</v>
      </c>
      <c r="T20" s="463">
        <f t="shared" si="3"/>
        <v>0.23013052473034695</v>
      </c>
    </row>
    <row r="21" spans="1:23">
      <c r="A21" s="150">
        <v>7122</v>
      </c>
      <c r="B21" s="552" t="str">
        <f>+VLOOKUP($A21,Master!$D$30:$G$226,4,FALSE)</f>
        <v>Doprinosi za zdravstveno osiguranje</v>
      </c>
      <c r="C21" s="553"/>
      <c r="D21" s="553"/>
      <c r="E21" s="553"/>
      <c r="F21" s="553"/>
      <c r="G21" s="163">
        <v>302309.90000000002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242">
        <f t="shared" si="4"/>
        <v>302309.90000000002</v>
      </c>
      <c r="T21" s="463">
        <f t="shared" si="3"/>
        <v>4.8960240339455188E-3</v>
      </c>
    </row>
    <row r="22" spans="1:23">
      <c r="A22" s="150">
        <v>7123</v>
      </c>
      <c r="B22" s="552" t="str">
        <f>+VLOOKUP($A22,Master!$D$30:$G$226,4,FALSE)</f>
        <v>Doprinosi za osiguranje od nezaposlenosti</v>
      </c>
      <c r="C22" s="553"/>
      <c r="D22" s="553"/>
      <c r="E22" s="553"/>
      <c r="F22" s="553"/>
      <c r="G22" s="163">
        <v>658854.47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242">
        <f t="shared" si="4"/>
        <v>658854.47</v>
      </c>
      <c r="T22" s="463">
        <f t="shared" si="3"/>
        <v>1.0670399216143555E-2</v>
      </c>
    </row>
    <row r="23" spans="1:23">
      <c r="A23" s="150">
        <v>7124</v>
      </c>
      <c r="B23" s="552" t="str">
        <f>+VLOOKUP($A23,Master!$D$30:$G$226,4,FALSE)</f>
        <v>Ostali doprinosi</v>
      </c>
      <c r="C23" s="553"/>
      <c r="D23" s="553"/>
      <c r="E23" s="553"/>
      <c r="F23" s="553"/>
      <c r="G23" s="163">
        <v>446525.88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242">
        <f t="shared" si="4"/>
        <v>446525.88</v>
      </c>
      <c r="T23" s="463">
        <f t="shared" si="3"/>
        <v>7.2316567874842093E-3</v>
      </c>
      <c r="W23" s="305"/>
    </row>
    <row r="24" spans="1:23">
      <c r="A24" s="150">
        <v>713</v>
      </c>
      <c r="B24" s="554" t="str">
        <f>+VLOOKUP($A24,Master!$D$30:$G$226,4,FALSE)</f>
        <v>Takse</v>
      </c>
      <c r="C24" s="555"/>
      <c r="D24" s="555"/>
      <c r="E24" s="555"/>
      <c r="F24" s="555"/>
      <c r="G24" s="175">
        <v>715520.40999999992</v>
      </c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243">
        <f t="shared" si="4"/>
        <v>715520.40999999992</v>
      </c>
      <c r="T24" s="464">
        <f t="shared" si="3"/>
        <v>1.1588125708547921E-2</v>
      </c>
      <c r="W24" s="305"/>
    </row>
    <row r="25" spans="1:23">
      <c r="A25" s="150">
        <v>714</v>
      </c>
      <c r="B25" s="554" t="str">
        <f>+VLOOKUP($A25,Master!$D$30:$G$226,4,FALSE)</f>
        <v>Naknade</v>
      </c>
      <c r="C25" s="555"/>
      <c r="D25" s="555"/>
      <c r="E25" s="555"/>
      <c r="F25" s="555"/>
      <c r="G25" s="175">
        <v>11787074.770000001</v>
      </c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243">
        <f t="shared" si="4"/>
        <v>11787074.770000001</v>
      </c>
      <c r="T25" s="464">
        <f t="shared" si="3"/>
        <v>0.19089616768697568</v>
      </c>
    </row>
    <row r="26" spans="1:23">
      <c r="A26" s="150">
        <v>715</v>
      </c>
      <c r="B26" s="554" t="str">
        <f>+VLOOKUP($A26,Master!$D$30:$G$226,4,FALSE)</f>
        <v>Ostali prihodi</v>
      </c>
      <c r="C26" s="555"/>
      <c r="D26" s="555"/>
      <c r="E26" s="555"/>
      <c r="F26" s="555"/>
      <c r="G26" s="175">
        <v>34599320.020000003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243">
        <f t="shared" si="4"/>
        <v>34599320.020000003</v>
      </c>
      <c r="T26" s="464">
        <f t="shared" si="3"/>
        <v>0.56034917273993456</v>
      </c>
    </row>
    <row r="27" spans="1:23">
      <c r="A27" s="150">
        <v>73</v>
      </c>
      <c r="B27" s="554" t="str">
        <f>+VLOOKUP($A27,Master!$D$30:$G$226,4,FALSE)</f>
        <v>Primici od otplate kredita i sredstva prenesena iz prethodne godine</v>
      </c>
      <c r="C27" s="555"/>
      <c r="D27" s="555"/>
      <c r="E27" s="555"/>
      <c r="F27" s="555"/>
      <c r="G27" s="175">
        <v>139531.07999999999</v>
      </c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243">
        <f t="shared" si="4"/>
        <v>139531.07999999999</v>
      </c>
      <c r="T27" s="464">
        <f t="shared" si="3"/>
        <v>2.2597590127295692E-3</v>
      </c>
    </row>
    <row r="28" spans="1:23" ht="13.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v>1415909.3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243">
        <f t="shared" si="4"/>
        <v>1415909.3</v>
      </c>
      <c r="T28" s="465">
        <f t="shared" si="3"/>
        <v>2.2931190684416805E-2</v>
      </c>
    </row>
    <row r="29" spans="1:23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114740855.95</v>
      </c>
      <c r="H29" s="151">
        <f t="shared" ref="H29:R29" si="6">+H30+H40+H46+SUM(H47:H51)</f>
        <v>0</v>
      </c>
      <c r="I29" s="151">
        <f t="shared" si="6"/>
        <v>0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114740855.95</v>
      </c>
      <c r="T29" s="466">
        <f t="shared" si="3"/>
        <v>1.858271887247757</v>
      </c>
    </row>
    <row r="30" spans="1:23">
      <c r="A30" s="150">
        <v>41</v>
      </c>
      <c r="B30" s="560" t="str">
        <f>+VLOOKUP($A30,Master!$D$30:$G$226,4,FALSE)</f>
        <v>Tekući izdaci</v>
      </c>
      <c r="C30" s="561"/>
      <c r="D30" s="561"/>
      <c r="E30" s="561"/>
      <c r="F30" s="561"/>
      <c r="G30" s="187">
        <f t="shared" ref="G30:R30" si="7">+SUM(G31:G39)</f>
        <v>53321799.279999994</v>
      </c>
      <c r="H30" s="187">
        <f t="shared" si="7"/>
        <v>0</v>
      </c>
      <c r="I30" s="187">
        <f t="shared" si="7"/>
        <v>0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53321799.279999994</v>
      </c>
      <c r="T30" s="462">
        <f t="shared" si="3"/>
        <v>0.86356685906779385</v>
      </c>
      <c r="U30" s="500"/>
    </row>
    <row r="31" spans="1:23">
      <c r="A31" s="150">
        <v>411</v>
      </c>
      <c r="B31" s="552" t="str">
        <f>+VLOOKUP($A31,Master!$D$30:$G$226,4,FALSE)</f>
        <v>Bruto zarade i doprinosi na teret poslodavca</v>
      </c>
      <c r="C31" s="553"/>
      <c r="D31" s="553"/>
      <c r="E31" s="553"/>
      <c r="F31" s="553"/>
      <c r="G31" s="163">
        <v>45778601.380000003</v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242">
        <f t="shared" si="4"/>
        <v>45778601.380000003</v>
      </c>
      <c r="T31" s="463">
        <f t="shared" si="3"/>
        <v>0.74140189453567851</v>
      </c>
      <c r="U31" s="500"/>
    </row>
    <row r="32" spans="1:23">
      <c r="A32" s="150">
        <v>412</v>
      </c>
      <c r="B32" s="552" t="str">
        <f>+VLOOKUP($A32,Master!$D$30:$G$226,4,FALSE)</f>
        <v>Ostala lična primanja</v>
      </c>
      <c r="C32" s="553"/>
      <c r="D32" s="553"/>
      <c r="E32" s="553"/>
      <c r="F32" s="553"/>
      <c r="G32" s="163">
        <v>299493.63</v>
      </c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242">
        <f t="shared" si="4"/>
        <v>299493.63</v>
      </c>
      <c r="T32" s="463">
        <f t="shared" si="3"/>
        <v>4.8504134680789042E-3</v>
      </c>
      <c r="U32" s="500"/>
      <c r="V32" s="291"/>
    </row>
    <row r="33" spans="1:24">
      <c r="A33" s="150">
        <v>413</v>
      </c>
      <c r="B33" s="552" t="str">
        <f>+VLOOKUP($A33,Master!$D$30:$G$226,4,FALSE)</f>
        <v>Rashodi za materijal</v>
      </c>
      <c r="C33" s="553"/>
      <c r="D33" s="553"/>
      <c r="E33" s="553"/>
      <c r="F33" s="553"/>
      <c r="G33" s="163">
        <v>94282.16</v>
      </c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242">
        <f t="shared" si="4"/>
        <v>94282.16</v>
      </c>
      <c r="T33" s="463">
        <f t="shared" si="3"/>
        <v>1.5269355099925505E-3</v>
      </c>
      <c r="U33" s="500"/>
    </row>
    <row r="34" spans="1:24" s="360" customFormat="1">
      <c r="A34" s="359">
        <v>414</v>
      </c>
      <c r="B34" s="571" t="str">
        <f>+VLOOKUP($A34,Master!$D$30:$G$226,4,FALSE)</f>
        <v>Rashodi za usluge</v>
      </c>
      <c r="C34" s="572"/>
      <c r="D34" s="572"/>
      <c r="E34" s="572"/>
      <c r="F34" s="572"/>
      <c r="G34" s="163">
        <v>878592.99</v>
      </c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242">
        <f t="shared" si="4"/>
        <v>878592.99</v>
      </c>
      <c r="T34" s="463">
        <f t="shared" si="3"/>
        <v>1.4229148284909145E-2</v>
      </c>
      <c r="U34" s="500"/>
    </row>
    <row r="35" spans="1:24">
      <c r="A35" s="150">
        <v>415</v>
      </c>
      <c r="B35" s="552" t="str">
        <f>+VLOOKUP($A35,Master!$D$30:$G$226,4,FALSE)</f>
        <v>Rashodi za tekuće održavanje</v>
      </c>
      <c r="C35" s="553"/>
      <c r="D35" s="553"/>
      <c r="E35" s="553"/>
      <c r="F35" s="553"/>
      <c r="G35" s="163">
        <v>4072.04</v>
      </c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242">
        <f t="shared" si="4"/>
        <v>4072.04</v>
      </c>
      <c r="T35" s="463">
        <f t="shared" si="3"/>
        <v>6.5948239562076895E-5</v>
      </c>
      <c r="U35" s="500"/>
    </row>
    <row r="36" spans="1:24">
      <c r="A36" s="150">
        <v>416</v>
      </c>
      <c r="B36" s="552" t="str">
        <f>+VLOOKUP($A36,Master!$D$30:$G$226,4,FALSE)</f>
        <v>Kamate</v>
      </c>
      <c r="C36" s="553"/>
      <c r="D36" s="553"/>
      <c r="E36" s="553"/>
      <c r="F36" s="553"/>
      <c r="G36" s="163">
        <v>3966895.76</v>
      </c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242">
        <f>+SUM(G36:R36)</f>
        <v>3966895.76</v>
      </c>
      <c r="T36" s="463">
        <f t="shared" si="3"/>
        <v>6.4245388527192041E-2</v>
      </c>
      <c r="U36" s="500"/>
      <c r="V36" s="291"/>
    </row>
    <row r="37" spans="1:24">
      <c r="A37" s="150">
        <v>417</v>
      </c>
      <c r="B37" s="552" t="str">
        <f>+VLOOKUP($A37,Master!$D$30:$G$226,4,FALSE)</f>
        <v>Renta</v>
      </c>
      <c r="C37" s="553"/>
      <c r="D37" s="553"/>
      <c r="E37" s="553"/>
      <c r="F37" s="553"/>
      <c r="G37" s="163">
        <v>2378.37</v>
      </c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242">
        <f t="shared" si="4"/>
        <v>2378.37</v>
      </c>
      <c r="T37" s="463">
        <f t="shared" si="3"/>
        <v>3.8518608492857832E-5</v>
      </c>
      <c r="U37" s="500"/>
      <c r="V37" s="291"/>
    </row>
    <row r="38" spans="1:24">
      <c r="A38" s="150">
        <v>418</v>
      </c>
      <c r="B38" s="552" t="str">
        <f>+VLOOKUP($A38,Master!$D$30:$G$226,4,FALSE)</f>
        <v>Subvencije</v>
      </c>
      <c r="C38" s="553"/>
      <c r="D38" s="553"/>
      <c r="E38" s="553"/>
      <c r="F38" s="553"/>
      <c r="G38" s="163">
        <v>1880948.3</v>
      </c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242">
        <f t="shared" si="4"/>
        <v>1880948.3</v>
      </c>
      <c r="T38" s="463">
        <f t="shared" si="3"/>
        <v>3.0462674505231109E-2</v>
      </c>
      <c r="U38" s="500"/>
    </row>
    <row r="39" spans="1:24">
      <c r="A39" s="150">
        <v>419</v>
      </c>
      <c r="B39" s="552" t="str">
        <f>+VLOOKUP($A39,Master!$D$30:$G$226,4,FALSE)</f>
        <v>Ostali izdaci</v>
      </c>
      <c r="C39" s="553"/>
      <c r="D39" s="553"/>
      <c r="E39" s="553"/>
      <c r="F39" s="553"/>
      <c r="G39" s="163">
        <v>416534.65</v>
      </c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242">
        <f t="shared" si="4"/>
        <v>416534.65</v>
      </c>
      <c r="T39" s="463">
        <f t="shared" si="3"/>
        <v>6.7459373886567557E-3</v>
      </c>
      <c r="U39" s="500"/>
      <c r="V39" s="291"/>
    </row>
    <row r="40" spans="1:24">
      <c r="A40" s="150">
        <v>42</v>
      </c>
      <c r="B40" s="548" t="str">
        <f>+VLOOKUP($A40,Master!$D$30:$G$226,4,FALSE)</f>
        <v>Transferi za socijalnu zaštitu</v>
      </c>
      <c r="C40" s="549"/>
      <c r="D40" s="549"/>
      <c r="E40" s="549"/>
      <c r="F40" s="549"/>
      <c r="G40" s="193">
        <f>+SUM(G41:G45)</f>
        <v>58454756.119999997</v>
      </c>
      <c r="H40" s="193">
        <f t="shared" ref="H40:R40" si="8">+SUM(H41:H45)</f>
        <v>0</v>
      </c>
      <c r="I40" s="193">
        <f t="shared" si="8"/>
        <v>0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58454756.119999997</v>
      </c>
      <c r="T40" s="487">
        <f t="shared" si="3"/>
        <v>0.94669705114501335</v>
      </c>
      <c r="U40" s="500"/>
    </row>
    <row r="41" spans="1:24">
      <c r="A41" s="150">
        <v>421</v>
      </c>
      <c r="B41" s="552" t="str">
        <f>+VLOOKUP($A41,Master!$D$30:$G$226,4,FALSE)</f>
        <v>Prava iz oblasti socijalne zaštite</v>
      </c>
      <c r="C41" s="553"/>
      <c r="D41" s="553"/>
      <c r="E41" s="553"/>
      <c r="F41" s="553"/>
      <c r="G41" s="163">
        <v>15193246.93</v>
      </c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242">
        <f t="shared" si="4"/>
        <v>15193246.93</v>
      </c>
      <c r="T41" s="463">
        <f t="shared" si="3"/>
        <v>0.24606042383312279</v>
      </c>
      <c r="U41" s="500"/>
    </row>
    <row r="42" spans="1:24">
      <c r="A42" s="150">
        <v>422</v>
      </c>
      <c r="B42" s="552" t="str">
        <f>+VLOOKUP($A42,Master!$D$30:$G$226,4,FALSE)</f>
        <v>Sredstva za tehnološke viškove</v>
      </c>
      <c r="C42" s="553"/>
      <c r="D42" s="553"/>
      <c r="E42" s="553"/>
      <c r="F42" s="553"/>
      <c r="G42" s="163">
        <v>0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242">
        <f t="shared" si="4"/>
        <v>0</v>
      </c>
      <c r="T42" s="463">
        <f t="shared" si="3"/>
        <v>0</v>
      </c>
      <c r="U42" s="500"/>
      <c r="V42" s="291"/>
    </row>
    <row r="43" spans="1:24">
      <c r="A43" s="150">
        <v>423</v>
      </c>
      <c r="B43" s="552" t="str">
        <f>+VLOOKUP($A43,Master!$D$30:$G$226,4,FALSE)</f>
        <v>Prava iz oblasti penzijskog i invalidskog osiguranja</v>
      </c>
      <c r="C43" s="553"/>
      <c r="D43" s="553"/>
      <c r="E43" s="553"/>
      <c r="F43" s="553"/>
      <c r="G43" s="163">
        <v>42310100.469999999</v>
      </c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242">
        <f t="shared" si="4"/>
        <v>42310100.469999999</v>
      </c>
      <c r="T43" s="463">
        <f t="shared" si="3"/>
        <v>0.68522820053120848</v>
      </c>
      <c r="U43" s="500"/>
    </row>
    <row r="44" spans="1:24">
      <c r="A44" s="150">
        <v>424</v>
      </c>
      <c r="B44" s="552" t="str">
        <f>+VLOOKUP($A44,Master!$D$30:$G$226,4,FALSE)</f>
        <v>Ostala prava iz oblasti zdravstvene zaštite</v>
      </c>
      <c r="C44" s="553"/>
      <c r="D44" s="553"/>
      <c r="E44" s="553"/>
      <c r="F44" s="553"/>
      <c r="G44" s="163">
        <v>951408.72</v>
      </c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242">
        <f t="shared" si="4"/>
        <v>951408.72</v>
      </c>
      <c r="T44" s="463">
        <f t="shared" si="3"/>
        <v>1.540842678068215E-2</v>
      </c>
      <c r="U44" s="500"/>
    </row>
    <row r="45" spans="1:24" s="360" customFormat="1">
      <c r="A45" s="359">
        <v>425</v>
      </c>
      <c r="B45" s="573" t="str">
        <f>+VLOOKUP($A45,Master!$D$30:$G$226,4,FALSE)</f>
        <v>Ostala prava iz zdravstvenog osiguranja</v>
      </c>
      <c r="C45" s="574"/>
      <c r="D45" s="574"/>
      <c r="E45" s="574"/>
      <c r="F45" s="574"/>
      <c r="G45" s="163">
        <v>0</v>
      </c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242">
        <f t="shared" si="4"/>
        <v>0</v>
      </c>
      <c r="T45" s="463">
        <f t="shared" si="3"/>
        <v>0</v>
      </c>
      <c r="U45" s="500"/>
    </row>
    <row r="46" spans="1:24">
      <c r="A46" s="150">
        <v>43</v>
      </c>
      <c r="B46" s="550" t="str">
        <f>+VLOOKUP($A46,Master!$D$30:$G$226,4,FALSE)</f>
        <v xml:space="preserve">Transferi institucijama, pojedincima, nevladinom i javnom sektoru </v>
      </c>
      <c r="C46" s="551"/>
      <c r="D46" s="551"/>
      <c r="E46" s="551"/>
      <c r="F46" s="551"/>
      <c r="G46" s="175">
        <v>1575619.12</v>
      </c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243">
        <f t="shared" si="4"/>
        <v>1575619.12</v>
      </c>
      <c r="T46" s="464">
        <f t="shared" si="3"/>
        <v>2.5517752081106473E-2</v>
      </c>
      <c r="U46" s="500"/>
    </row>
    <row r="47" spans="1:24">
      <c r="A47" s="150">
        <v>44</v>
      </c>
      <c r="B47" s="550" t="str">
        <f>+VLOOKUP($A47,Master!$D$30:$G$226,4,FALSE)</f>
        <v>Kapitalni izdaci</v>
      </c>
      <c r="C47" s="551"/>
      <c r="D47" s="551"/>
      <c r="E47" s="551"/>
      <c r="F47" s="551"/>
      <c r="G47" s="175">
        <v>420202.34</v>
      </c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243">
        <f t="shared" si="4"/>
        <v>420202.34</v>
      </c>
      <c r="T47" s="464">
        <f t="shared" si="3"/>
        <v>6.8053370258802197E-3</v>
      </c>
      <c r="U47" s="500"/>
      <c r="V47" s="291"/>
      <c r="W47" s="311"/>
      <c r="X47" s="311"/>
    </row>
    <row r="48" spans="1:24">
      <c r="A48" s="150">
        <v>451</v>
      </c>
      <c r="B48" s="575" t="str">
        <f>+VLOOKUP($A48,Master!$D$30:$G$226,4,FALSE)</f>
        <v>Pozajmice i krediti</v>
      </c>
      <c r="C48" s="576"/>
      <c r="D48" s="576"/>
      <c r="E48" s="576"/>
      <c r="F48" s="576"/>
      <c r="G48" s="163">
        <v>0</v>
      </c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242">
        <f t="shared" si="4"/>
        <v>0</v>
      </c>
      <c r="T48" s="463">
        <f t="shared" si="3"/>
        <v>0</v>
      </c>
      <c r="U48" s="500"/>
      <c r="V48" s="311"/>
    </row>
    <row r="49" spans="1:21" s="360" customFormat="1">
      <c r="A49" s="359">
        <v>47</v>
      </c>
      <c r="B49" s="580" t="str">
        <f>+VLOOKUP($A49,Master!$D$30:$G$226,4,FALSE)</f>
        <v>Rezerve</v>
      </c>
      <c r="C49" s="581"/>
      <c r="D49" s="581"/>
      <c r="E49" s="581"/>
      <c r="F49" s="581"/>
      <c r="G49" s="163">
        <v>0</v>
      </c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242">
        <f t="shared" si="4"/>
        <v>0</v>
      </c>
      <c r="T49" s="463">
        <f t="shared" si="3"/>
        <v>0</v>
      </c>
      <c r="U49" s="500"/>
    </row>
    <row r="50" spans="1:21" ht="13.5" thickBot="1">
      <c r="A50" s="150">
        <v>462</v>
      </c>
      <c r="B50" s="538" t="str">
        <f>+VLOOKUP($A50,Master!$D$30:$G$226,4,FALSE)</f>
        <v>Otplata garancija</v>
      </c>
      <c r="C50" s="539"/>
      <c r="D50" s="539"/>
      <c r="E50" s="539"/>
      <c r="F50" s="539"/>
      <c r="G50" s="163">
        <v>0</v>
      </c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242">
        <f t="shared" si="4"/>
        <v>0</v>
      </c>
      <c r="T50" s="463">
        <f t="shared" si="3"/>
        <v>0</v>
      </c>
      <c r="U50" s="500"/>
    </row>
    <row r="51" spans="1:21" ht="13.5" thickBot="1">
      <c r="A51" s="144">
        <v>4630</v>
      </c>
      <c r="B51" s="582" t="str">
        <f>+VLOOKUP($A51,Master!$D$30:$G$226,4,TRUE)</f>
        <v>Otplata obaveza iz prethodnog perioda</v>
      </c>
      <c r="C51" s="583"/>
      <c r="D51" s="583"/>
      <c r="E51" s="583"/>
      <c r="F51" s="583"/>
      <c r="G51" s="457">
        <v>968479.09</v>
      </c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24">
        <f>+SUM(G51:R51)</f>
        <v>968479.09</v>
      </c>
      <c r="T51" s="467">
        <f t="shared" si="3"/>
        <v>1.5684887927962944E-2</v>
      </c>
      <c r="U51" s="500"/>
    </row>
    <row r="52" spans="1:21" ht="13.5" thickBot="1">
      <c r="A52" s="70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53023975.449999973</v>
      </c>
      <c r="H53" s="151">
        <f t="shared" si="9"/>
        <v>0</v>
      </c>
      <c r="I53" s="151">
        <f t="shared" si="9"/>
        <v>0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53023975.449999973</v>
      </c>
      <c r="T53" s="469">
        <f t="shared" si="3"/>
        <v>0.85874348864703742</v>
      </c>
    </row>
    <row r="54" spans="1:21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56990871.209999971</v>
      </c>
      <c r="H54" s="205">
        <f t="shared" si="10"/>
        <v>0</v>
      </c>
      <c r="I54" s="205">
        <f t="shared" si="10"/>
        <v>0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56990871.209999971</v>
      </c>
      <c r="T54" s="469">
        <f t="shared" si="3"/>
        <v>0.92298887717422939</v>
      </c>
    </row>
    <row r="55" spans="1:21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29896704.300000001</v>
      </c>
      <c r="H55" s="193">
        <f t="shared" si="11"/>
        <v>0</v>
      </c>
      <c r="I55" s="193">
        <f t="shared" si="11"/>
        <v>0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29896704.300000001</v>
      </c>
      <c r="T55" s="470">
        <f t="shared" si="3"/>
        <v>0.48418851909435429</v>
      </c>
    </row>
    <row r="56" spans="1:21">
      <c r="A56" s="144">
        <v>4611</v>
      </c>
      <c r="B56" s="536" t="str">
        <f>+VLOOKUP($A56,Master!$D$30:$G$226,4,FALSE)</f>
        <v>Otplata hartija od vrijednosti i kredita rezidentima</v>
      </c>
      <c r="C56" s="537"/>
      <c r="D56" s="537"/>
      <c r="E56" s="537"/>
      <c r="F56" s="537"/>
      <c r="G56" s="211">
        <v>1871833.35</v>
      </c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50">
        <f t="shared" si="4"/>
        <v>1871833.35</v>
      </c>
      <c r="T56" s="471">
        <f t="shared" si="3"/>
        <v>3.0315054416480421E-2</v>
      </c>
    </row>
    <row r="57" spans="1:21" ht="13.5" thickBot="1">
      <c r="A57" s="144">
        <v>4612</v>
      </c>
      <c r="B57" s="520" t="str">
        <f>+VLOOKUP($A57,Master!$D$30:$G$226,4,FALSE)</f>
        <v>Otplata hartija od vrijednosti i kredita nerezidentima</v>
      </c>
      <c r="C57" s="521"/>
      <c r="D57" s="521"/>
      <c r="E57" s="521"/>
      <c r="F57" s="521"/>
      <c r="G57" s="211">
        <v>28024870.949999999</v>
      </c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50">
        <f t="shared" si="4"/>
        <v>28024870.949999999</v>
      </c>
      <c r="T57" s="471">
        <f t="shared" si="3"/>
        <v>0.45387346467787382</v>
      </c>
    </row>
    <row r="58" spans="1:21" ht="13.5" thickBot="1">
      <c r="A58" s="144">
        <v>4418</v>
      </c>
      <c r="B58" s="558" t="str">
        <f>+VLOOKUP($A58,Master!$D$30:$G$226,4,FALSE)</f>
        <v>Izdaci za kupovinu hartija od vrijednosti</v>
      </c>
      <c r="C58" s="559"/>
      <c r="D58" s="559"/>
      <c r="E58" s="559"/>
      <c r="F58" s="559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0</v>
      </c>
      <c r="T58" s="472">
        <f t="shared" si="3"/>
        <v>0</v>
      </c>
    </row>
    <row r="59" spans="1:21" ht="13.5" thickBot="1">
      <c r="A59" s="144">
        <v>1002</v>
      </c>
      <c r="B59" s="540" t="str">
        <f>+VLOOKUP($A59,Master!$D$30:$G$226,4,FALSE)</f>
        <v>Nedostajuća sredstva</v>
      </c>
      <c r="C59" s="541"/>
      <c r="D59" s="541"/>
      <c r="E59" s="541"/>
      <c r="F59" s="541"/>
      <c r="G59" s="217">
        <f>+G53-G55-G58</f>
        <v>23127271.149999972</v>
      </c>
      <c r="H59" s="217">
        <f t="shared" ref="H59:R59" si="12">+H53-H55-H58</f>
        <v>0</v>
      </c>
      <c r="I59" s="217">
        <f t="shared" si="12"/>
        <v>0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23127271.149999972</v>
      </c>
      <c r="T59" s="473">
        <f t="shared" si="3"/>
        <v>0.37455496955268314</v>
      </c>
    </row>
    <row r="60" spans="1:21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-23127271.149999976</v>
      </c>
      <c r="H60" s="151">
        <f t="shared" ref="H60:R60" si="13">+SUM(H61:H64)</f>
        <v>0</v>
      </c>
      <c r="I60" s="151">
        <f t="shared" si="13"/>
        <v>0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-23127271.149999976</v>
      </c>
      <c r="T60" s="474">
        <f t="shared" si="3"/>
        <v>-0.37455496955268319</v>
      </c>
    </row>
    <row r="61" spans="1:21">
      <c r="A61" s="144">
        <v>7511</v>
      </c>
      <c r="B61" s="536" t="str">
        <f>+VLOOKUP($A61,Master!$D$30:$G$226,4,FALSE)</f>
        <v>Pozajmice i krediti od domaćih izvora</v>
      </c>
      <c r="C61" s="537"/>
      <c r="D61" s="537"/>
      <c r="E61" s="537"/>
      <c r="F61" s="537"/>
      <c r="G61" s="211">
        <v>0</v>
      </c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50">
        <f t="shared" si="4"/>
        <v>0</v>
      </c>
      <c r="T61" s="471">
        <f t="shared" si="3"/>
        <v>0</v>
      </c>
    </row>
    <row r="62" spans="1:21">
      <c r="A62" s="144">
        <v>7512</v>
      </c>
      <c r="B62" s="520" t="str">
        <f>+VLOOKUP($A62,Master!$D$30:$G$226,4,FALSE)</f>
        <v>Pozajmice i krediti od inostranih izvora</v>
      </c>
      <c r="C62" s="521"/>
      <c r="D62" s="521"/>
      <c r="E62" s="521"/>
      <c r="F62" s="521"/>
      <c r="G62" s="211">
        <v>21765.27</v>
      </c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50">
        <f t="shared" si="4"/>
        <v>21765.27</v>
      </c>
      <c r="T62" s="471">
        <f t="shared" si="3"/>
        <v>3.5249684190068989E-4</v>
      </c>
    </row>
    <row r="63" spans="1:21">
      <c r="A63" s="144">
        <v>72</v>
      </c>
      <c r="B63" s="520" t="str">
        <f>+VLOOKUP($A63,Master!$D$30:$G$226,4,FALSE)</f>
        <v>Primici od prodaje imovine</v>
      </c>
      <c r="C63" s="521"/>
      <c r="D63" s="521"/>
      <c r="E63" s="521"/>
      <c r="F63" s="521"/>
      <c r="G63" s="211">
        <v>664808.06000000006</v>
      </c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50">
        <f t="shared" si="4"/>
        <v>664808.06000000006</v>
      </c>
      <c r="T63" s="471">
        <f t="shared" si="3"/>
        <v>1.076681987497166E-2</v>
      </c>
    </row>
    <row r="64" spans="1:21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-23813844.479999974</v>
      </c>
      <c r="H64" s="225">
        <f t="shared" ref="H64:L64" si="14">-H59-SUM(H61:H63)</f>
        <v>0</v>
      </c>
      <c r="I64" s="225">
        <f t="shared" si="14"/>
        <v>0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ref="M64:R64" si="15">-M59-SUM(M61:M63)</f>
        <v>0</v>
      </c>
      <c r="N64" s="225">
        <f t="shared" si="15"/>
        <v>0</v>
      </c>
      <c r="O64" s="225">
        <f t="shared" si="15"/>
        <v>0</v>
      </c>
      <c r="P64" s="225">
        <f t="shared" si="15"/>
        <v>0</v>
      </c>
      <c r="Q64" s="225">
        <f t="shared" si="15"/>
        <v>0</v>
      </c>
      <c r="R64" s="225">
        <f t="shared" si="15"/>
        <v>0</v>
      </c>
      <c r="S64" s="253">
        <f>+SUM(G64:R64)</f>
        <v>-23813844.479999974</v>
      </c>
      <c r="T64" s="475">
        <f t="shared" si="3"/>
        <v>-0.38567428626955552</v>
      </c>
    </row>
    <row r="65" spans="7:18">
      <c r="R65" s="312"/>
    </row>
    <row r="66" spans="7:18">
      <c r="G66" s="311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7" spans="7:18">
      <c r="Q77" s="311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2023-01p</v>
      </c>
      <c r="H80" s="68" t="str">
        <f t="shared" si="16"/>
        <v>2023-02p</v>
      </c>
      <c r="I80" s="68" t="str">
        <f t="shared" si="16"/>
        <v>2023-03p</v>
      </c>
      <c r="J80" s="68" t="str">
        <f t="shared" si="16"/>
        <v>2023-04p</v>
      </c>
      <c r="K80" s="68" t="str">
        <f t="shared" si="16"/>
        <v>2023-05p</v>
      </c>
      <c r="L80" s="68" t="str">
        <f t="shared" si="16"/>
        <v>2023-06p</v>
      </c>
      <c r="M80" s="68" t="str">
        <f t="shared" si="16"/>
        <v>2023-07p</v>
      </c>
      <c r="N80" s="68" t="str">
        <f t="shared" si="16"/>
        <v>2023-08p</v>
      </c>
      <c r="O80" s="68" t="str">
        <f t="shared" si="16"/>
        <v>2023-09p</v>
      </c>
      <c r="P80" s="68" t="str">
        <f t="shared" si="16"/>
        <v>2023-10p</v>
      </c>
      <c r="Q80" s="68" t="str">
        <f t="shared" si="16"/>
        <v>2023-11p</v>
      </c>
      <c r="R80" s="68" t="str">
        <f t="shared" si="16"/>
        <v>2023-12p</v>
      </c>
    </row>
    <row r="81" spans="1:26" ht="15.75" customHeight="1" thickBot="1">
      <c r="B81" s="592" t="str">
        <f>+Master!G253</f>
        <v>Plan ostvarenja budžeta</v>
      </c>
      <c r="C81" s="593"/>
      <c r="D81" s="593"/>
      <c r="E81" s="593"/>
      <c r="F81" s="593"/>
      <c r="G81" s="577">
        <v>2022</v>
      </c>
      <c r="H81" s="578"/>
      <c r="I81" s="578"/>
      <c r="J81" s="578"/>
      <c r="K81" s="578"/>
      <c r="L81" s="578"/>
      <c r="M81" s="578"/>
      <c r="N81" s="578"/>
      <c r="O81" s="578"/>
      <c r="P81" s="578"/>
      <c r="Q81" s="578"/>
      <c r="R81" s="579"/>
      <c r="S81" s="107" t="str">
        <f>+S7</f>
        <v>BDP</v>
      </c>
      <c r="T81" s="108">
        <v>6174600000</v>
      </c>
    </row>
    <row r="82" spans="1:26" ht="15.75" customHeight="1">
      <c r="B82" s="594"/>
      <c r="C82" s="595"/>
      <c r="D82" s="595"/>
      <c r="E82" s="595"/>
      <c r="F82" s="596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577" t="str">
        <f>+Master!G247</f>
        <v>Jan - Dec</v>
      </c>
      <c r="T82" s="579">
        <f>+T8</f>
        <v>0</v>
      </c>
    </row>
    <row r="83" spans="1:26" ht="13.5" thickBot="1">
      <c r="B83" s="597"/>
      <c r="C83" s="598"/>
      <c r="D83" s="598"/>
      <c r="E83" s="598"/>
      <c r="F83" s="599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86" t="str">
        <f>+VLOOKUP(LEFT($A84,LEN(A84)-1)*1,Master!$D$30:$G$226,4,FALSE)</f>
        <v>Prihodi budžeta</v>
      </c>
      <c r="C84" s="587"/>
      <c r="D84" s="587"/>
      <c r="E84" s="587"/>
      <c r="F84" s="587"/>
      <c r="G84" s="93">
        <f t="shared" ref="G84:Q84" si="19">+G85+G93+SUM(G98:G102)</f>
        <v>153112731.45240748</v>
      </c>
      <c r="H84" s="93">
        <f t="shared" si="19"/>
        <v>127832756.55548061</v>
      </c>
      <c r="I84" s="93">
        <f t="shared" si="19"/>
        <v>201740232.63025409</v>
      </c>
      <c r="J84" s="93">
        <f t="shared" si="19"/>
        <v>197163981.770235</v>
      </c>
      <c r="K84" s="93">
        <f t="shared" si="19"/>
        <v>158296327.97128749</v>
      </c>
      <c r="L84" s="93">
        <f t="shared" si="19"/>
        <v>167200464.48127508</v>
      </c>
      <c r="M84" s="93">
        <f t="shared" si="19"/>
        <v>181861975.69392896</v>
      </c>
      <c r="N84" s="93">
        <f t="shared" si="19"/>
        <v>202109513.21302867</v>
      </c>
      <c r="O84" s="93">
        <f t="shared" si="19"/>
        <v>185021882.2158348</v>
      </c>
      <c r="P84" s="93">
        <f t="shared" si="19"/>
        <v>177565269.2391125</v>
      </c>
      <c r="Q84" s="93">
        <f t="shared" si="19"/>
        <v>168967337.33964974</v>
      </c>
      <c r="R84" s="93">
        <f>+R85+R93+SUM(R98:R102)</f>
        <v>226593742.01140162</v>
      </c>
      <c r="S84" s="452">
        <f>+SUM(G84:R84)</f>
        <v>2147466214.5738959</v>
      </c>
      <c r="T84" s="476">
        <f>+S84/$T$81*100</f>
        <v>34.779033695687104</v>
      </c>
      <c r="U84" s="258"/>
    </row>
    <row r="85" spans="1:26">
      <c r="A85" s="116" t="str">
        <f t="shared" si="18"/>
        <v>711p</v>
      </c>
      <c r="B85" s="588" t="str">
        <f>+VLOOKUP(LEFT($A85,LEN(A85)-1)*1,Master!$D$30:$G$226,4,FALSE)</f>
        <v>Porezi</v>
      </c>
      <c r="C85" s="589"/>
      <c r="D85" s="589"/>
      <c r="E85" s="589"/>
      <c r="F85" s="589"/>
      <c r="G85" s="79">
        <f t="shared" ref="G85:R85" si="20">+SUM(G86:G92)</f>
        <v>89053259.19649069</v>
      </c>
      <c r="H85" s="79">
        <f t="shared" si="20"/>
        <v>86133720.726993382</v>
      </c>
      <c r="I85" s="79">
        <f t="shared" si="20"/>
        <v>151611174.865978</v>
      </c>
      <c r="J85" s="79">
        <f t="shared" si="20"/>
        <v>145526098.37503338</v>
      </c>
      <c r="K85" s="79">
        <f t="shared" si="20"/>
        <v>114721167.87287787</v>
      </c>
      <c r="L85" s="79">
        <f t="shared" si="20"/>
        <v>116649816.05907366</v>
      </c>
      <c r="M85" s="79">
        <f t="shared" si="20"/>
        <v>123219445.94451815</v>
      </c>
      <c r="N85" s="79">
        <f t="shared" si="20"/>
        <v>144506632.21078962</v>
      </c>
      <c r="O85" s="79">
        <f t="shared" si="20"/>
        <v>130700085.51141171</v>
      </c>
      <c r="P85" s="79">
        <f t="shared" si="20"/>
        <v>120588265.76124729</v>
      </c>
      <c r="Q85" s="79">
        <f t="shared" si="20"/>
        <v>112197774.08556552</v>
      </c>
      <c r="R85" s="80">
        <f t="shared" si="20"/>
        <v>130556572.94447696</v>
      </c>
      <c r="S85" s="111">
        <f t="shared" ref="S85:S137" si="21">+SUM(G85:R85)</f>
        <v>1465464013.5544562</v>
      </c>
      <c r="T85" s="462">
        <f t="shared" ref="T85:T138" si="22">+S85/$T$81*100</f>
        <v>23.733748154608499</v>
      </c>
      <c r="V85" s="311"/>
    </row>
    <row r="86" spans="1:26">
      <c r="A86" s="116" t="str">
        <f t="shared" si="18"/>
        <v>7111p</v>
      </c>
      <c r="B86" s="590" t="str">
        <f>+VLOOKUP(LEFT($A86,LEN(A86)-1)*1,Master!$D$30:$G$229,4,FALSE)</f>
        <v>Porez na dohodak fizičkih lica</v>
      </c>
      <c r="C86" s="591"/>
      <c r="D86" s="591"/>
      <c r="E86" s="591"/>
      <c r="F86" s="591"/>
      <c r="G86" s="87">
        <v>2070902.7064199252</v>
      </c>
      <c r="H86" s="87">
        <v>4571441.5054620681</v>
      </c>
      <c r="I86" s="87">
        <v>4416792.289274618</v>
      </c>
      <c r="J86" s="87">
        <v>5257739.5478638252</v>
      </c>
      <c r="K86" s="87">
        <v>4986046.1475269934</v>
      </c>
      <c r="L86" s="87">
        <v>4944578.7228755346</v>
      </c>
      <c r="M86" s="87">
        <v>5364995.4780979399</v>
      </c>
      <c r="N86" s="87">
        <v>5116178.4586187964</v>
      </c>
      <c r="O86" s="87">
        <v>5045281.5655734073</v>
      </c>
      <c r="P86" s="87">
        <v>5285963.732247252</v>
      </c>
      <c r="Q86" s="87">
        <v>4877225.8311620513</v>
      </c>
      <c r="R86" s="87">
        <v>9102707.6780775897</v>
      </c>
      <c r="S86" s="112">
        <f t="shared" si="21"/>
        <v>61039853.663200006</v>
      </c>
      <c r="T86" s="463">
        <f t="shared" si="22"/>
        <v>0.98856369097917274</v>
      </c>
      <c r="V86" s="311"/>
    </row>
    <row r="87" spans="1:26">
      <c r="A87" s="116" t="str">
        <f t="shared" si="18"/>
        <v>7112p</v>
      </c>
      <c r="B87" s="590" t="str">
        <f>+VLOOKUP(LEFT($A87,LEN(A87)-1)*1,Master!$D$30:$G$229,4,FALSE)</f>
        <v>Porez na dobit pravnih lica</v>
      </c>
      <c r="C87" s="591"/>
      <c r="D87" s="591"/>
      <c r="E87" s="591"/>
      <c r="F87" s="591"/>
      <c r="G87" s="87">
        <v>534161.88979689125</v>
      </c>
      <c r="H87" s="87">
        <v>2931735.7925026831</v>
      </c>
      <c r="I87" s="87">
        <v>52182708.518122546</v>
      </c>
      <c r="J87" s="87">
        <v>38816261.383036874</v>
      </c>
      <c r="K87" s="87">
        <v>2899918.0051999893</v>
      </c>
      <c r="L87" s="87">
        <v>4080555.7993856557</v>
      </c>
      <c r="M87" s="87">
        <v>2527233.3334094649</v>
      </c>
      <c r="N87" s="87">
        <v>3169336.8152234615</v>
      </c>
      <c r="O87" s="87">
        <v>3538278.3583860644</v>
      </c>
      <c r="P87" s="87">
        <v>1664293.4786487306</v>
      </c>
      <c r="Q87" s="87">
        <v>2887333.7182166665</v>
      </c>
      <c r="R87" s="87">
        <v>6416604.0733927749</v>
      </c>
      <c r="S87" s="112">
        <f t="shared" si="21"/>
        <v>121648421.1653218</v>
      </c>
      <c r="T87" s="463">
        <f t="shared" si="22"/>
        <v>1.9701425382263109</v>
      </c>
      <c r="V87" s="311"/>
    </row>
    <row r="88" spans="1:26">
      <c r="A88" s="116" t="str">
        <f t="shared" si="18"/>
        <v>7113p</v>
      </c>
      <c r="B88" s="590" t="str">
        <f>+VLOOKUP(LEFT($A88,LEN(A88)-1)*1,Master!$D$30:$G$229,4,FALSE)</f>
        <v>Porez na promet nepokretnosti</v>
      </c>
      <c r="C88" s="591"/>
      <c r="D88" s="591"/>
      <c r="E88" s="591"/>
      <c r="F88" s="591"/>
      <c r="G88" s="87">
        <v>0</v>
      </c>
      <c r="H88" s="87">
        <v>0</v>
      </c>
      <c r="I88" s="87">
        <v>0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1"/>
        <v>0</v>
      </c>
      <c r="T88" s="463">
        <f t="shared" si="22"/>
        <v>0</v>
      </c>
      <c r="V88" s="311"/>
    </row>
    <row r="89" spans="1:26">
      <c r="A89" s="116" t="str">
        <f t="shared" si="18"/>
        <v>7114p</v>
      </c>
      <c r="B89" s="590" t="str">
        <f>+VLOOKUP(LEFT($A89,LEN(A89)-1)*1,Master!$D$30:$G$229,4,FALSE)</f>
        <v>Porez na dodatu vrijednost</v>
      </c>
      <c r="C89" s="591"/>
      <c r="D89" s="591"/>
      <c r="E89" s="591"/>
      <c r="F89" s="591"/>
      <c r="G89" s="87">
        <v>65000000</v>
      </c>
      <c r="H89" s="87">
        <v>59157257.036181271</v>
      </c>
      <c r="I89" s="87">
        <v>70779064.900745258</v>
      </c>
      <c r="J89" s="87">
        <v>77609564.108106285</v>
      </c>
      <c r="K89" s="87">
        <v>80764321.173744261</v>
      </c>
      <c r="L89" s="87">
        <v>82000000</v>
      </c>
      <c r="M89" s="87">
        <v>86587361.219999999</v>
      </c>
      <c r="N89" s="87">
        <v>99000000</v>
      </c>
      <c r="O89" s="87">
        <v>89355645.696232229</v>
      </c>
      <c r="P89" s="87">
        <v>85000000</v>
      </c>
      <c r="Q89" s="87">
        <v>80002523.512198836</v>
      </c>
      <c r="R89" s="87">
        <v>83726072.568305194</v>
      </c>
      <c r="S89" s="112">
        <f t="shared" si="21"/>
        <v>958981810.21551323</v>
      </c>
      <c r="T89" s="463">
        <f t="shared" si="22"/>
        <v>15.531075862655285</v>
      </c>
      <c r="V89" s="311"/>
    </row>
    <row r="90" spans="1:26">
      <c r="A90" s="116" t="str">
        <f t="shared" si="18"/>
        <v>7115p</v>
      </c>
      <c r="B90" s="590" t="str">
        <f>+VLOOKUP(LEFT($A90,LEN(A90)-1)*1,Master!$D$30:$G$229,4,FALSE)</f>
        <v>Akcize</v>
      </c>
      <c r="C90" s="591"/>
      <c r="D90" s="591"/>
      <c r="E90" s="591"/>
      <c r="F90" s="591"/>
      <c r="G90" s="87">
        <v>18950000</v>
      </c>
      <c r="H90" s="87">
        <v>16468285.819688315</v>
      </c>
      <c r="I90" s="87">
        <v>20008845.7876136</v>
      </c>
      <c r="J90" s="87">
        <v>19694697.412667502</v>
      </c>
      <c r="K90" s="87">
        <v>21753669.00624115</v>
      </c>
      <c r="L90" s="87">
        <v>20861971.060195781</v>
      </c>
      <c r="M90" s="87">
        <v>23890190.547238827</v>
      </c>
      <c r="N90" s="87">
        <v>31837007.557229187</v>
      </c>
      <c r="O90" s="87">
        <v>27952742.360335764</v>
      </c>
      <c r="P90" s="87">
        <v>24243081.612867884</v>
      </c>
      <c r="Q90" s="87">
        <v>19387116.28225591</v>
      </c>
      <c r="R90" s="87">
        <v>26404567.592340976</v>
      </c>
      <c r="S90" s="112">
        <f t="shared" si="21"/>
        <v>271452175.03867495</v>
      </c>
      <c r="T90" s="463">
        <f t="shared" si="22"/>
        <v>4.3962714190178307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90" t="str">
        <f>+VLOOKUP(LEFT($A91,LEN(A91)-1)*1,Master!$D$30:$G$229,4,FALSE)</f>
        <v>Porez na međunarodnu trgovinu i transakcije</v>
      </c>
      <c r="C91" s="591"/>
      <c r="D91" s="591"/>
      <c r="E91" s="591"/>
      <c r="F91" s="591"/>
      <c r="G91" s="87">
        <v>1690050.6290672496</v>
      </c>
      <c r="H91" s="87">
        <v>2149690.2071043747</v>
      </c>
      <c r="I91" s="87">
        <v>3285503.6338270181</v>
      </c>
      <c r="J91" s="87">
        <v>3112309.3959054868</v>
      </c>
      <c r="K91" s="87">
        <v>3395864.9730360894</v>
      </c>
      <c r="L91" s="87">
        <v>3721386.9341526693</v>
      </c>
      <c r="M91" s="87">
        <v>3649795.5179858184</v>
      </c>
      <c r="N91" s="87">
        <v>4254913.4315361446</v>
      </c>
      <c r="O91" s="87">
        <v>3771141.3156107357</v>
      </c>
      <c r="P91" s="87">
        <v>3431995.0529172528</v>
      </c>
      <c r="Q91" s="87">
        <v>3902366.8888178305</v>
      </c>
      <c r="R91" s="87">
        <v>3887332.176758409</v>
      </c>
      <c r="S91" s="112">
        <f t="shared" si="21"/>
        <v>40252350.156719081</v>
      </c>
      <c r="T91" s="463">
        <f t="shared" si="22"/>
        <v>0.6519021500456561</v>
      </c>
      <c r="V91" s="311"/>
    </row>
    <row r="92" spans="1:26">
      <c r="A92" s="116" t="str">
        <f t="shared" si="18"/>
        <v>7118p</v>
      </c>
      <c r="B92" s="590" t="str">
        <f>+VLOOKUP(LEFT($A92,LEN(A92)-1)*1,Master!$D$30:$G$229,4,FALSE)</f>
        <v>Ostali državni porezi</v>
      </c>
      <c r="C92" s="591"/>
      <c r="D92" s="591"/>
      <c r="E92" s="591"/>
      <c r="F92" s="591"/>
      <c r="G92" s="87">
        <v>808143.97120662592</v>
      </c>
      <c r="H92" s="87">
        <v>855310.36605466809</v>
      </c>
      <c r="I92" s="87">
        <v>938259.73639494251</v>
      </c>
      <c r="J92" s="87">
        <v>1035526.5274533973</v>
      </c>
      <c r="K92" s="87">
        <v>921348.56712938857</v>
      </c>
      <c r="L92" s="87">
        <v>1041323.5424640164</v>
      </c>
      <c r="M92" s="87">
        <v>1199869.8477860999</v>
      </c>
      <c r="N92" s="87">
        <v>1129195.9481820336</v>
      </c>
      <c r="O92" s="87">
        <v>1036996.2152735114</v>
      </c>
      <c r="P92" s="87">
        <v>962931.88456615142</v>
      </c>
      <c r="Q92" s="87">
        <v>1141207.8529142153</v>
      </c>
      <c r="R92" s="87">
        <v>1019288.8556020237</v>
      </c>
      <c r="S92" s="112">
        <f t="shared" si="21"/>
        <v>12089403.315027073</v>
      </c>
      <c r="T92" s="463">
        <f t="shared" si="22"/>
        <v>0.19579249368423984</v>
      </c>
      <c r="V92" s="311"/>
    </row>
    <row r="93" spans="1:26">
      <c r="A93" s="116" t="str">
        <f t="shared" si="18"/>
        <v>712p</v>
      </c>
      <c r="B93" s="600" t="str">
        <f>+VLOOKUP(LEFT($A93,LEN(A93)-1)*1,Master!$D$30:$G$229,4,FALSE)</f>
        <v>Doprinosi</v>
      </c>
      <c r="C93" s="601"/>
      <c r="D93" s="601"/>
      <c r="E93" s="601"/>
      <c r="F93" s="601"/>
      <c r="G93" s="81">
        <f>+SUM(G94:G97)</f>
        <v>14028547.954861166</v>
      </c>
      <c r="H93" s="81">
        <f t="shared" ref="H93:R93" si="23">+SUM(H94:H97)</f>
        <v>35494684.891336001</v>
      </c>
      <c r="I93" s="479">
        <f t="shared" si="23"/>
        <v>34746900.973094396</v>
      </c>
      <c r="J93" s="81">
        <f t="shared" si="23"/>
        <v>42833596.089660697</v>
      </c>
      <c r="K93" s="81">
        <f t="shared" si="23"/>
        <v>31865136.166640289</v>
      </c>
      <c r="L93" s="81">
        <f t="shared" si="23"/>
        <v>38887014.54653661</v>
      </c>
      <c r="M93" s="81">
        <f t="shared" si="23"/>
        <v>41674957.146424204</v>
      </c>
      <c r="N93" s="81">
        <f t="shared" si="23"/>
        <v>39623582.115929469</v>
      </c>
      <c r="O93" s="81">
        <f t="shared" si="23"/>
        <v>38556106.773443051</v>
      </c>
      <c r="P93" s="81">
        <f t="shared" si="23"/>
        <v>41225764.80063308</v>
      </c>
      <c r="Q93" s="81">
        <f t="shared" si="23"/>
        <v>39258499.915648282</v>
      </c>
      <c r="R93" s="82">
        <f t="shared" si="23"/>
        <v>76561513.993556961</v>
      </c>
      <c r="S93" s="113">
        <f t="shared" si="21"/>
        <v>474756305.36776417</v>
      </c>
      <c r="T93" s="464">
        <f t="shared" si="22"/>
        <v>7.6888592842899008</v>
      </c>
      <c r="V93" s="311"/>
    </row>
    <row r="94" spans="1:26">
      <c r="A94" s="116" t="str">
        <f t="shared" si="18"/>
        <v>7121p</v>
      </c>
      <c r="B94" s="590" t="str">
        <f>+VLOOKUP(LEFT($A94,LEN(A94)-1)*1,Master!$D$30:$G$229,4,FALSE)</f>
        <v>Doprinosi za penzijsko i invalidsko osiguranje</v>
      </c>
      <c r="C94" s="591"/>
      <c r="D94" s="591"/>
      <c r="E94" s="591"/>
      <c r="F94" s="591"/>
      <c r="G94" s="87">
        <v>12922296.768241206</v>
      </c>
      <c r="H94" s="87">
        <v>32778046.640397433</v>
      </c>
      <c r="I94" s="87">
        <v>31885035.782585178</v>
      </c>
      <c r="J94" s="87">
        <v>39517642.627177365</v>
      </c>
      <c r="K94" s="87">
        <v>29460956.519365169</v>
      </c>
      <c r="L94" s="87">
        <v>35997729.315968178</v>
      </c>
      <c r="M94" s="87">
        <v>38602836.994617537</v>
      </c>
      <c r="N94" s="87">
        <v>36676993.713693559</v>
      </c>
      <c r="O94" s="87">
        <v>35626366.833726309</v>
      </c>
      <c r="P94" s="87">
        <v>38068802.692633055</v>
      </c>
      <c r="Q94" s="87">
        <v>36305288.307839207</v>
      </c>
      <c r="R94" s="87">
        <v>70883550.649357751</v>
      </c>
      <c r="S94" s="112">
        <f t="shared" si="21"/>
        <v>438725546.84560192</v>
      </c>
      <c r="T94" s="463">
        <f t="shared" si="22"/>
        <v>7.1053274195187051</v>
      </c>
      <c r="V94" s="311"/>
      <c r="W94" s="311"/>
    </row>
    <row r="95" spans="1:26">
      <c r="A95" s="116" t="str">
        <f t="shared" si="18"/>
        <v>7122p</v>
      </c>
      <c r="B95" s="590" t="str">
        <f>+VLOOKUP(LEFT($A95,LEN(A95)-1)*1,Master!$D$30:$G$229,4,FALSE)</f>
        <v>Doprinosi za zdravstveno osiguranje</v>
      </c>
      <c r="C95" s="591"/>
      <c r="D95" s="591"/>
      <c r="E95" s="591"/>
      <c r="F95" s="591"/>
      <c r="G95" s="87">
        <v>100023.86869410829</v>
      </c>
      <c r="H95" s="87">
        <v>100023.86869410829</v>
      </c>
      <c r="I95" s="87">
        <v>100023.86869410829</v>
      </c>
      <c r="J95" s="87">
        <v>100023.86869410829</v>
      </c>
      <c r="K95" s="87">
        <v>100023.86869410829</v>
      </c>
      <c r="L95" s="87">
        <v>100023.86869410829</v>
      </c>
      <c r="M95" s="87">
        <v>100023.86869410829</v>
      </c>
      <c r="N95" s="87">
        <v>100023.86869410829</v>
      </c>
      <c r="O95" s="87">
        <v>100023.86869410829</v>
      </c>
      <c r="P95" s="87">
        <v>100023.86869410829</v>
      </c>
      <c r="Q95" s="87">
        <v>100023.86869410829</v>
      </c>
      <c r="R95" s="87">
        <v>100023.86869410829</v>
      </c>
      <c r="S95" s="112">
        <f t="shared" si="21"/>
        <v>1200286.4243292995</v>
      </c>
      <c r="T95" s="463">
        <f t="shared" si="22"/>
        <v>1.9439096043942922E-2</v>
      </c>
      <c r="V95" s="311"/>
    </row>
    <row r="96" spans="1:26">
      <c r="A96" s="116" t="str">
        <f t="shared" si="18"/>
        <v>7123p</v>
      </c>
      <c r="B96" s="590" t="str">
        <f>+VLOOKUP(LEFT($A96,LEN(A96)-1)*1,Master!$D$30:$G$229,4,FALSE)</f>
        <v>Doprinosi za osiguranje od nezaposlenosti</v>
      </c>
      <c r="C96" s="591"/>
      <c r="D96" s="591"/>
      <c r="E96" s="591"/>
      <c r="F96" s="591"/>
      <c r="G96" s="87">
        <v>619197.91655976803</v>
      </c>
      <c r="H96" s="87">
        <v>1562283.5053246473</v>
      </c>
      <c r="I96" s="87">
        <v>1529231.4074864856</v>
      </c>
      <c r="J96" s="87">
        <v>1852310.804590398</v>
      </c>
      <c r="K96" s="87">
        <v>1381579.4426863664</v>
      </c>
      <c r="L96" s="87">
        <v>1646351.3865687051</v>
      </c>
      <c r="M96" s="87">
        <v>1773247.4402761667</v>
      </c>
      <c r="N96" s="87">
        <v>1691805.2177619261</v>
      </c>
      <c r="O96" s="87">
        <v>1673177.7559083714</v>
      </c>
      <c r="P96" s="87">
        <v>1765599.6533184864</v>
      </c>
      <c r="Q96" s="87">
        <v>1660050.5394028926</v>
      </c>
      <c r="R96" s="87">
        <v>3206078.6416049507</v>
      </c>
      <c r="S96" s="112">
        <f t="shared" si="21"/>
        <v>20360913.711489163</v>
      </c>
      <c r="T96" s="463">
        <f t="shared" si="22"/>
        <v>0.32975275663993076</v>
      </c>
      <c r="V96" s="311"/>
    </row>
    <row r="97" spans="1:23">
      <c r="A97" s="116" t="str">
        <f t="shared" si="18"/>
        <v>7124p</v>
      </c>
      <c r="B97" s="590" t="str">
        <f>+VLOOKUP(LEFT($A97,LEN(A97)-1)*1,Master!$D$30:$G$229,4,FALSE)</f>
        <v>Ostali doprinosi</v>
      </c>
      <c r="C97" s="591"/>
      <c r="D97" s="591"/>
      <c r="E97" s="591"/>
      <c r="F97" s="591"/>
      <c r="G97" s="87">
        <v>387029.40136608307</v>
      </c>
      <c r="H97" s="87">
        <v>1054330.8769198155</v>
      </c>
      <c r="I97" s="87">
        <v>1232609.9143286212</v>
      </c>
      <c r="J97" s="87">
        <v>1363618.7891988268</v>
      </c>
      <c r="K97" s="87">
        <v>922576.33589464275</v>
      </c>
      <c r="L97" s="87">
        <v>1142909.9753056148</v>
      </c>
      <c r="M97" s="87">
        <v>1198848.8428363875</v>
      </c>
      <c r="N97" s="87">
        <v>1154759.3157798722</v>
      </c>
      <c r="O97" s="87">
        <v>1156538.3151142579</v>
      </c>
      <c r="P97" s="87">
        <v>1291338.5859874277</v>
      </c>
      <c r="Q97" s="87">
        <v>1193137.199712065</v>
      </c>
      <c r="R97" s="87">
        <v>2371860.8339001467</v>
      </c>
      <c r="S97" s="112">
        <f t="shared" si="21"/>
        <v>14469558.386343762</v>
      </c>
      <c r="T97" s="463">
        <f t="shared" si="22"/>
        <v>0.23434001208732166</v>
      </c>
      <c r="V97" s="311"/>
    </row>
    <row r="98" spans="1:23">
      <c r="A98" s="116" t="str">
        <f t="shared" si="18"/>
        <v>713p</v>
      </c>
      <c r="B98" s="600" t="str">
        <f>+VLOOKUP(LEFT($A98,LEN(A98)-1)*1,Master!$D$30:$G$229,4,FALSE)</f>
        <v>Takse</v>
      </c>
      <c r="C98" s="601"/>
      <c r="D98" s="601"/>
      <c r="E98" s="601"/>
      <c r="F98" s="601"/>
      <c r="G98" s="83">
        <v>670553.32707319653</v>
      </c>
      <c r="H98" s="83">
        <v>853610.81100259756</v>
      </c>
      <c r="I98" s="83">
        <v>866806.93435184658</v>
      </c>
      <c r="J98" s="83">
        <v>1045994.3342145921</v>
      </c>
      <c r="K98" s="83">
        <v>975864.39322560804</v>
      </c>
      <c r="L98" s="83">
        <v>1069123.3509492602</v>
      </c>
      <c r="M98" s="83">
        <v>1754495.9179910745</v>
      </c>
      <c r="N98" s="83">
        <v>1873370.8901127889</v>
      </c>
      <c r="O98" s="83">
        <v>1507509.8465881622</v>
      </c>
      <c r="P98" s="83">
        <v>1219130.6368902784</v>
      </c>
      <c r="Q98" s="83">
        <v>1025348.8829897568</v>
      </c>
      <c r="R98" s="83">
        <v>1389128.8981358397</v>
      </c>
      <c r="S98" s="113">
        <f t="shared" si="21"/>
        <v>14250938.223525003</v>
      </c>
      <c r="T98" s="464">
        <f t="shared" si="22"/>
        <v>0.23079937523928679</v>
      </c>
      <c r="V98" s="311"/>
    </row>
    <row r="99" spans="1:23">
      <c r="A99" s="116" t="str">
        <f t="shared" si="18"/>
        <v>714p</v>
      </c>
      <c r="B99" s="600" t="str">
        <f>+VLOOKUP(LEFT($A99,LEN(A99)-1)*1,Master!$D$30:$G$229,4,FALSE)</f>
        <v>Naknade</v>
      </c>
      <c r="C99" s="601"/>
      <c r="D99" s="601"/>
      <c r="E99" s="601"/>
      <c r="F99" s="601"/>
      <c r="G99" s="83">
        <v>12301859.137453955</v>
      </c>
      <c r="H99" s="83">
        <v>1737839.0434846203</v>
      </c>
      <c r="I99" s="83">
        <v>2414564.2682698909</v>
      </c>
      <c r="J99" s="83">
        <v>2360898.2221326954</v>
      </c>
      <c r="K99" s="83">
        <v>1893341.290231579</v>
      </c>
      <c r="L99" s="83">
        <v>3087651.9216982825</v>
      </c>
      <c r="M99" s="83">
        <v>2833106.8014261499</v>
      </c>
      <c r="N99" s="83">
        <v>1908379.2093100648</v>
      </c>
      <c r="O99" s="83">
        <v>2810433.9965217365</v>
      </c>
      <c r="P99" s="83">
        <v>3370011.6773951356</v>
      </c>
      <c r="Q99" s="83">
        <v>2865853.2964798021</v>
      </c>
      <c r="R99" s="83">
        <v>4104318.4117466188</v>
      </c>
      <c r="S99" s="113">
        <f t="shared" si="21"/>
        <v>41688257.276150532</v>
      </c>
      <c r="T99" s="464">
        <f t="shared" si="22"/>
        <v>0.67515721303648069</v>
      </c>
      <c r="V99" s="311"/>
    </row>
    <row r="100" spans="1:23">
      <c r="A100" s="116" t="str">
        <f t="shared" si="18"/>
        <v>715p</v>
      </c>
      <c r="B100" s="600" t="str">
        <f>+VLOOKUP(LEFT($A100,LEN(A100)-1)*1,Master!$D$30:$G$229,4,FALSE)</f>
        <v>Ostali prihodi</v>
      </c>
      <c r="C100" s="601"/>
      <c r="D100" s="601"/>
      <c r="E100" s="601"/>
      <c r="F100" s="601"/>
      <c r="G100" s="83">
        <v>35476989.500013761</v>
      </c>
      <c r="H100" s="83">
        <v>1666927.9695483148</v>
      </c>
      <c r="I100" s="83">
        <v>1797638.0792588741</v>
      </c>
      <c r="J100" s="83">
        <v>1832014.0594961573</v>
      </c>
      <c r="K100" s="83">
        <v>4733890.0403573457</v>
      </c>
      <c r="L100" s="83">
        <v>2822218.6125436462</v>
      </c>
      <c r="M100" s="83">
        <v>9067540.6215341613</v>
      </c>
      <c r="N100" s="83">
        <v>9516386.4239806794</v>
      </c>
      <c r="O100" s="83">
        <v>8077599.8803823311</v>
      </c>
      <c r="P100" s="83">
        <v>7745200.2754089963</v>
      </c>
      <c r="Q100" s="83">
        <v>8762559.2854723595</v>
      </c>
      <c r="R100" s="83">
        <v>8676446.8240033779</v>
      </c>
      <c r="S100" s="113">
        <f t="shared" si="21"/>
        <v>100175411.57200001</v>
      </c>
      <c r="T100" s="464">
        <f t="shared" si="22"/>
        <v>1.6223789649855862</v>
      </c>
      <c r="V100" s="311"/>
    </row>
    <row r="101" spans="1:23">
      <c r="A101" s="116" t="str">
        <f t="shared" si="18"/>
        <v>73p</v>
      </c>
      <c r="B101" s="600" t="str">
        <f>+VLOOKUP(LEFT($A101,LEN(A101)-1)*1,Master!$D$30:$G$229,4,FALSE)</f>
        <v>Primici od otplate kredita i sredstva prenesena iz prethodne godine</v>
      </c>
      <c r="C101" s="601"/>
      <c r="D101" s="601"/>
      <c r="E101" s="601"/>
      <c r="F101" s="601"/>
      <c r="G101" s="83">
        <v>81522.336514710114</v>
      </c>
      <c r="H101" s="83">
        <v>445973.11311571056</v>
      </c>
      <c r="I101" s="83">
        <v>303147.50930105889</v>
      </c>
      <c r="J101" s="83">
        <v>411671.2919196891</v>
      </c>
      <c r="K101" s="83">
        <v>953218.81017704192</v>
      </c>
      <c r="L101" s="83">
        <v>1530930.5926958604</v>
      </c>
      <c r="M101" s="83">
        <v>158719.86425742233</v>
      </c>
      <c r="N101" s="83">
        <v>1527452.9651282593</v>
      </c>
      <c r="O101" s="83">
        <v>216436.80971001115</v>
      </c>
      <c r="P101" s="83">
        <v>263186.6897599264</v>
      </c>
      <c r="Q101" s="83">
        <v>1703592.4757162347</v>
      </c>
      <c r="R101" s="83">
        <v>2152051.5417040759</v>
      </c>
      <c r="S101" s="113">
        <f t="shared" si="21"/>
        <v>9747904</v>
      </c>
      <c r="T101" s="464">
        <f t="shared" si="22"/>
        <v>0.15787101998510025</v>
      </c>
      <c r="V101" s="311"/>
      <c r="W101" s="311"/>
    </row>
    <row r="102" spans="1:23" ht="13.5" thickBot="1">
      <c r="A102" s="116" t="str">
        <f t="shared" si="18"/>
        <v>74p</v>
      </c>
      <c r="B102" s="602" t="str">
        <f>+VLOOKUP(LEFT($A102,LEN(A102)-1)*1,Master!$D$30:$G$229,4,FALSE)</f>
        <v>Donacije i transferi</v>
      </c>
      <c r="C102" s="603"/>
      <c r="D102" s="603"/>
      <c r="E102" s="603"/>
      <c r="F102" s="603"/>
      <c r="G102" s="83">
        <v>1500000</v>
      </c>
      <c r="H102" s="83">
        <v>1500000</v>
      </c>
      <c r="I102" s="83">
        <v>10000000</v>
      </c>
      <c r="J102" s="83">
        <v>3153709.3977777776</v>
      </c>
      <c r="K102" s="83">
        <v>3153709.3977777776</v>
      </c>
      <c r="L102" s="83">
        <v>3153709.3977777776</v>
      </c>
      <c r="M102" s="83">
        <v>3153709.3977777776</v>
      </c>
      <c r="N102" s="83">
        <v>3153709.3977777776</v>
      </c>
      <c r="O102" s="83">
        <v>3153709.3977777776</v>
      </c>
      <c r="P102" s="83">
        <v>3153709.3977777776</v>
      </c>
      <c r="Q102" s="83">
        <v>3153709.3977777776</v>
      </c>
      <c r="R102" s="83">
        <v>3153709.3977777776</v>
      </c>
      <c r="S102" s="114">
        <f t="shared" si="21"/>
        <v>41383384.580000006</v>
      </c>
      <c r="T102" s="465">
        <f t="shared" si="22"/>
        <v>0.67021968354225381</v>
      </c>
      <c r="V102" s="311"/>
    </row>
    <row r="103" spans="1:23" ht="13.5" thickBot="1">
      <c r="A103" s="116" t="str">
        <f t="shared" si="18"/>
        <v>4p</v>
      </c>
      <c r="B103" s="586" t="str">
        <f>+VLOOKUP(LEFT($A103,LEN(A103)-1)*1,Master!$D$30:$G$229,4,FALSE)</f>
        <v>Izdaci budžeta</v>
      </c>
      <c r="C103" s="587"/>
      <c r="D103" s="587"/>
      <c r="E103" s="587"/>
      <c r="F103" s="587"/>
      <c r="G103" s="93">
        <f t="shared" ref="G103:R103" si="24">+G104+G114+G120+SUM(G121:G125)</f>
        <v>175509865.05999997</v>
      </c>
      <c r="H103" s="93">
        <f t="shared" si="24"/>
        <v>194904102.36999997</v>
      </c>
      <c r="I103" s="93">
        <f t="shared" si="24"/>
        <v>204056525.62</v>
      </c>
      <c r="J103" s="93">
        <f t="shared" si="24"/>
        <v>215049716.38000003</v>
      </c>
      <c r="K103" s="93">
        <f t="shared" si="24"/>
        <v>199767991.34</v>
      </c>
      <c r="L103" s="93">
        <f t="shared" si="24"/>
        <v>194478060.15000001</v>
      </c>
      <c r="M103" s="93">
        <f t="shared" si="24"/>
        <v>237229120.77000004</v>
      </c>
      <c r="N103" s="93">
        <f t="shared" si="24"/>
        <v>208577181.37000003</v>
      </c>
      <c r="O103" s="93">
        <f t="shared" si="24"/>
        <v>212332628.14999998</v>
      </c>
      <c r="P103" s="93">
        <f t="shared" si="24"/>
        <v>219165654.14000002</v>
      </c>
      <c r="Q103" s="93">
        <f t="shared" si="24"/>
        <v>215801622.55000001</v>
      </c>
      <c r="R103" s="93">
        <f t="shared" si="24"/>
        <v>236910680.68000001</v>
      </c>
      <c r="S103" s="450">
        <f>+SUM(G103:R103)</f>
        <v>2513783148.5799999</v>
      </c>
      <c r="T103" s="477">
        <f t="shared" si="22"/>
        <v>40.711676036990248</v>
      </c>
      <c r="V103" s="291"/>
    </row>
    <row r="104" spans="1:23">
      <c r="A104" s="116" t="str">
        <f t="shared" si="18"/>
        <v>41p</v>
      </c>
      <c r="B104" s="604" t="str">
        <f>+VLOOKUP(LEFT($A104,LEN(A104)-1)*1,Master!$D$30:$G$229,4,FALSE)</f>
        <v>Tekući izdaci</v>
      </c>
      <c r="C104" s="605"/>
      <c r="D104" s="605"/>
      <c r="E104" s="605"/>
      <c r="F104" s="605"/>
      <c r="G104" s="85">
        <f t="shared" ref="G104:R104" si="25">+SUM(G105:G113)</f>
        <v>71899625.829999968</v>
      </c>
      <c r="H104" s="85">
        <f t="shared" si="25"/>
        <v>80973595.029999986</v>
      </c>
      <c r="I104" s="85">
        <f t="shared" si="25"/>
        <v>81069361.99000001</v>
      </c>
      <c r="J104" s="85">
        <f t="shared" si="25"/>
        <v>100567396.8</v>
      </c>
      <c r="K104" s="85">
        <f t="shared" si="25"/>
        <v>84597904.25999999</v>
      </c>
      <c r="L104" s="85">
        <f t="shared" si="25"/>
        <v>78964000.50999999</v>
      </c>
      <c r="M104" s="85">
        <f t="shared" si="25"/>
        <v>94970976.420000017</v>
      </c>
      <c r="N104" s="85">
        <f t="shared" si="25"/>
        <v>81866855.860000014</v>
      </c>
      <c r="O104" s="85">
        <f t="shared" si="25"/>
        <v>80815803.73999998</v>
      </c>
      <c r="P104" s="85">
        <f t="shared" si="25"/>
        <v>93936445.850000009</v>
      </c>
      <c r="Q104" s="85">
        <f t="shared" si="25"/>
        <v>91854698.299999997</v>
      </c>
      <c r="R104" s="86">
        <f t="shared" si="25"/>
        <v>112771922.60000001</v>
      </c>
      <c r="S104" s="111">
        <f t="shared" si="21"/>
        <v>1054288587.1899999</v>
      </c>
      <c r="T104" s="462">
        <f t="shared" si="22"/>
        <v>17.074605435007932</v>
      </c>
      <c r="V104" s="291"/>
      <c r="W104" s="291"/>
    </row>
    <row r="105" spans="1:23">
      <c r="A105" s="116" t="str">
        <f t="shared" si="18"/>
        <v>411p</v>
      </c>
      <c r="B105" s="590" t="str">
        <f>+VLOOKUP(LEFT($A105,LEN(A105)-1)*1,Master!$D$30:$G$229,4,FALSE)</f>
        <v>Bruto zarade i doprinosi na teret poslodavca</v>
      </c>
      <c r="C105" s="591"/>
      <c r="D105" s="591"/>
      <c r="E105" s="591"/>
      <c r="F105" s="591"/>
      <c r="G105" s="87">
        <v>40912611.519999981</v>
      </c>
      <c r="H105" s="87">
        <v>53719884.62999998</v>
      </c>
      <c r="I105" s="87">
        <v>53690308.509999998</v>
      </c>
      <c r="J105" s="87">
        <v>51811285.369999997</v>
      </c>
      <c r="K105" s="87">
        <v>51811014.989999995</v>
      </c>
      <c r="L105" s="87">
        <v>51811018.119999997</v>
      </c>
      <c r="M105" s="87">
        <v>51929663.729999997</v>
      </c>
      <c r="N105" s="87">
        <v>51915159.310000002</v>
      </c>
      <c r="O105" s="87">
        <v>51913746.32</v>
      </c>
      <c r="P105" s="87">
        <v>51913177.569999985</v>
      </c>
      <c r="Q105" s="87">
        <v>51907184.879999995</v>
      </c>
      <c r="R105" s="87">
        <f>63970907.57+366.55</f>
        <v>63971274.119999997</v>
      </c>
      <c r="S105" s="112">
        <f t="shared" si="21"/>
        <v>627306329.07000005</v>
      </c>
      <c r="T105" s="463">
        <f t="shared" si="22"/>
        <v>10.159465051501313</v>
      </c>
      <c r="V105" s="516"/>
    </row>
    <row r="106" spans="1:23">
      <c r="A106" s="116" t="str">
        <f t="shared" si="18"/>
        <v>412p</v>
      </c>
      <c r="B106" s="590" t="str">
        <f>+VLOOKUP(LEFT($A106,LEN(A106)-1)*1,Master!$D$30:$G$229,4,FALSE)</f>
        <v>Ostala lična primanja</v>
      </c>
      <c r="C106" s="591"/>
      <c r="D106" s="591"/>
      <c r="E106" s="591"/>
      <c r="F106" s="591"/>
      <c r="G106" s="87">
        <v>1165964.5099999995</v>
      </c>
      <c r="H106" s="87">
        <v>1655470.5600000005</v>
      </c>
      <c r="I106" s="87">
        <v>1609325.4600000002</v>
      </c>
      <c r="J106" s="87">
        <v>1540575.46</v>
      </c>
      <c r="K106" s="87">
        <v>1497392.13</v>
      </c>
      <c r="L106" s="87">
        <v>1495762.0999999996</v>
      </c>
      <c r="M106" s="87">
        <v>1729357.3499999999</v>
      </c>
      <c r="N106" s="87">
        <v>1675061.92</v>
      </c>
      <c r="O106" s="87">
        <v>1685727.83</v>
      </c>
      <c r="P106" s="87">
        <v>1678180.67</v>
      </c>
      <c r="Q106" s="87">
        <v>1850540.7499999998</v>
      </c>
      <c r="R106" s="87">
        <v>2068659.9999999998</v>
      </c>
      <c r="S106" s="112">
        <f t="shared" si="21"/>
        <v>19652018.739999998</v>
      </c>
      <c r="T106" s="463">
        <f t="shared" si="22"/>
        <v>0.31827193243287011</v>
      </c>
      <c r="V106" s="516"/>
    </row>
    <row r="107" spans="1:23">
      <c r="A107" s="116" t="str">
        <f t="shared" si="18"/>
        <v>413p</v>
      </c>
      <c r="B107" s="590" t="str">
        <f>+VLOOKUP(LEFT($A107,LEN(A107)-1)*1,Master!$D$30:$G$229,4,FALSE)</f>
        <v>Rashodi za materijal</v>
      </c>
      <c r="C107" s="591"/>
      <c r="D107" s="591"/>
      <c r="E107" s="591"/>
      <c r="F107" s="591"/>
      <c r="G107" s="87">
        <v>5182242.0599999996</v>
      </c>
      <c r="H107" s="87">
        <v>3920733.4100000006</v>
      </c>
      <c r="I107" s="87">
        <v>3493205.9000000008</v>
      </c>
      <c r="J107" s="87">
        <v>3370769.6700000009</v>
      </c>
      <c r="K107" s="87">
        <v>3856859.5300000012</v>
      </c>
      <c r="L107" s="87">
        <v>5585838.6699999999</v>
      </c>
      <c r="M107" s="87">
        <v>7274194.5</v>
      </c>
      <c r="N107" s="87">
        <v>4335388.25</v>
      </c>
      <c r="O107" s="87">
        <v>4231272.1999999993</v>
      </c>
      <c r="P107" s="87">
        <v>4144269.8699999992</v>
      </c>
      <c r="Q107" s="87">
        <v>4526021.2399999993</v>
      </c>
      <c r="R107" s="87">
        <f>3848934.29-43000</f>
        <v>3805934.29</v>
      </c>
      <c r="S107" s="112">
        <f t="shared" si="21"/>
        <v>53726729.589999996</v>
      </c>
      <c r="T107" s="463">
        <f t="shared" si="22"/>
        <v>0.8701248597479998</v>
      </c>
      <c r="V107" s="516"/>
    </row>
    <row r="108" spans="1:23">
      <c r="A108" s="116" t="str">
        <f t="shared" si="18"/>
        <v>414p</v>
      </c>
      <c r="B108" s="590" t="str">
        <f>+VLOOKUP(LEFT($A108,LEN(A108)-1)*1,Master!$D$30:$G$229,4,FALSE)</f>
        <v>Rashodi za usluge</v>
      </c>
      <c r="C108" s="591"/>
      <c r="D108" s="591"/>
      <c r="E108" s="591"/>
      <c r="F108" s="591"/>
      <c r="G108" s="87">
        <v>4903806.9999999953</v>
      </c>
      <c r="H108" s="87">
        <v>5497012.4799999967</v>
      </c>
      <c r="I108" s="87">
        <v>5255623.4299999969</v>
      </c>
      <c r="J108" s="87">
        <v>4569713.719999996</v>
      </c>
      <c r="K108" s="87">
        <v>4499440.6099999957</v>
      </c>
      <c r="L108" s="87">
        <v>4528417.7899999954</v>
      </c>
      <c r="M108" s="87">
        <v>6713144.6699999999</v>
      </c>
      <c r="N108" s="87">
        <v>6175898.5099999979</v>
      </c>
      <c r="O108" s="87">
        <v>6240994.7799999993</v>
      </c>
      <c r="P108" s="87">
        <v>6091379.0299999975</v>
      </c>
      <c r="Q108" s="87">
        <v>6109468.629999999</v>
      </c>
      <c r="R108" s="87">
        <f>5878859.37-49097</f>
        <v>5829762.3700000001</v>
      </c>
      <c r="S108" s="112">
        <f t="shared" si="21"/>
        <v>66414663.019999959</v>
      </c>
      <c r="T108" s="463">
        <f t="shared" si="22"/>
        <v>1.0756107767304759</v>
      </c>
      <c r="V108" s="516"/>
    </row>
    <row r="109" spans="1:23">
      <c r="A109" s="116" t="str">
        <f t="shared" si="18"/>
        <v>415p</v>
      </c>
      <c r="B109" s="590" t="str">
        <f>+VLOOKUP(LEFT($A109,LEN(A109)-1)*1,Master!$D$30:$G$229,4,FALSE)</f>
        <v>Rashodi za tekuće održavanje</v>
      </c>
      <c r="C109" s="591"/>
      <c r="D109" s="591"/>
      <c r="E109" s="591"/>
      <c r="F109" s="591"/>
      <c r="G109" s="87">
        <v>2513250.9200000004</v>
      </c>
      <c r="H109" s="87">
        <v>2548372.8700000006</v>
      </c>
      <c r="I109" s="87">
        <v>2555227.9700000002</v>
      </c>
      <c r="J109" s="87">
        <v>2542473.6500000004</v>
      </c>
      <c r="K109" s="87">
        <v>2537575.9700000007</v>
      </c>
      <c r="L109" s="87">
        <v>2476854.13</v>
      </c>
      <c r="M109" s="87">
        <v>3526793.7800000003</v>
      </c>
      <c r="N109" s="87">
        <v>3499062.67</v>
      </c>
      <c r="O109" s="87">
        <v>3410065.46</v>
      </c>
      <c r="P109" s="87">
        <v>3389523.09</v>
      </c>
      <c r="Q109" s="87">
        <v>3371550.8900000006</v>
      </c>
      <c r="R109" s="87">
        <v>3208370.3400000008</v>
      </c>
      <c r="S109" s="112">
        <f t="shared" si="21"/>
        <v>35579121.740000002</v>
      </c>
      <c r="T109" s="463">
        <f t="shared" si="22"/>
        <v>0.57621743497554501</v>
      </c>
      <c r="V109" s="516"/>
    </row>
    <row r="110" spans="1:23">
      <c r="A110" s="116" t="str">
        <f t="shared" si="18"/>
        <v>416p</v>
      </c>
      <c r="B110" s="590" t="str">
        <f>+VLOOKUP(LEFT($A110,LEN(A110)-1)*1,Master!$D$30:$G$229,4,FALSE)</f>
        <v>Kamate</v>
      </c>
      <c r="C110" s="591"/>
      <c r="D110" s="591"/>
      <c r="E110" s="591"/>
      <c r="F110" s="591"/>
      <c r="G110" s="87">
        <v>5442120.379999999</v>
      </c>
      <c r="H110" s="87">
        <v>2441310.6099999994</v>
      </c>
      <c r="I110" s="87">
        <v>2001828.5300000005</v>
      </c>
      <c r="J110" s="87">
        <v>24590093.790000003</v>
      </c>
      <c r="K110" s="87">
        <v>10610307.359999999</v>
      </c>
      <c r="L110" s="87">
        <v>3076552.5300000007</v>
      </c>
      <c r="M110" s="87">
        <v>9738888.0899999999</v>
      </c>
      <c r="N110" s="87">
        <v>2779747.3099999996</v>
      </c>
      <c r="O110" s="87">
        <v>1876426.6100000003</v>
      </c>
      <c r="P110" s="87">
        <v>14798289.619999999</v>
      </c>
      <c r="Q110" s="87">
        <v>8831135.459999999</v>
      </c>
      <c r="R110" s="87">
        <v>23741109.09</v>
      </c>
      <c r="S110" s="112">
        <f t="shared" si="21"/>
        <v>109927809.38000001</v>
      </c>
      <c r="T110" s="463">
        <f t="shared" si="22"/>
        <v>1.7803227639037349</v>
      </c>
      <c r="V110" s="516"/>
    </row>
    <row r="111" spans="1:23">
      <c r="A111" s="116" t="str">
        <f t="shared" si="18"/>
        <v>417p</v>
      </c>
      <c r="B111" s="590" t="str">
        <f>+VLOOKUP(LEFT($A111,LEN(A111)-1)*1,Master!$D$30:$G$229,4,FALSE)</f>
        <v>Renta</v>
      </c>
      <c r="C111" s="591"/>
      <c r="D111" s="591"/>
      <c r="E111" s="591"/>
      <c r="F111" s="591"/>
      <c r="G111" s="87">
        <v>1013549.2999999997</v>
      </c>
      <c r="H111" s="87">
        <v>924144.61999999965</v>
      </c>
      <c r="I111" s="87">
        <v>907422.25999999966</v>
      </c>
      <c r="J111" s="87">
        <v>908352.60999999964</v>
      </c>
      <c r="K111" s="87">
        <v>914133.31999999983</v>
      </c>
      <c r="L111" s="87">
        <v>900023.33999999985</v>
      </c>
      <c r="M111" s="87">
        <v>1080755.29</v>
      </c>
      <c r="N111" s="87">
        <v>1073045.7599999998</v>
      </c>
      <c r="O111" s="87">
        <v>1082703.83</v>
      </c>
      <c r="P111" s="87">
        <v>1160848.45</v>
      </c>
      <c r="Q111" s="87">
        <v>1121692.7700000003</v>
      </c>
      <c r="R111" s="87">
        <f>1082716.93+84917.8-0.01</f>
        <v>1167634.72</v>
      </c>
      <c r="S111" s="112">
        <f t="shared" si="21"/>
        <v>12254306.269999998</v>
      </c>
      <c r="T111" s="463">
        <f t="shared" si="22"/>
        <v>0.19846315988080193</v>
      </c>
      <c r="V111" s="516"/>
    </row>
    <row r="112" spans="1:23">
      <c r="A112" s="116" t="str">
        <f t="shared" si="18"/>
        <v>418p</v>
      </c>
      <c r="B112" s="590" t="str">
        <f>+VLOOKUP(LEFT($A112,LEN(A112)-1)*1,Master!$D$30:$G$229,4,FALSE)</f>
        <v>Subvencije</v>
      </c>
      <c r="C112" s="591"/>
      <c r="D112" s="591"/>
      <c r="E112" s="591"/>
      <c r="F112" s="591"/>
      <c r="G112" s="87">
        <v>5902017.9700000007</v>
      </c>
      <c r="H112" s="87">
        <v>5336017.9700000007</v>
      </c>
      <c r="I112" s="87">
        <v>5216117.9700000007</v>
      </c>
      <c r="J112" s="87">
        <v>5169451.3000000007</v>
      </c>
      <c r="K112" s="87">
        <v>4981951.32</v>
      </c>
      <c r="L112" s="87">
        <v>4982351.3599999994</v>
      </c>
      <c r="M112" s="87">
        <v>5318459.6400000006</v>
      </c>
      <c r="N112" s="87">
        <v>4749126.3100000005</v>
      </c>
      <c r="O112" s="87">
        <v>4841793.18</v>
      </c>
      <c r="P112" s="87">
        <v>4841792.9800000004</v>
      </c>
      <c r="Q112" s="87">
        <v>4841792.9800000004</v>
      </c>
      <c r="R112" s="87">
        <v>4792392.9800000004</v>
      </c>
      <c r="S112" s="112">
        <f t="shared" si="21"/>
        <v>60973265.960000008</v>
      </c>
      <c r="T112" s="463">
        <f t="shared" si="22"/>
        <v>0.98748527775078565</v>
      </c>
      <c r="V112" s="516"/>
    </row>
    <row r="113" spans="1:22">
      <c r="A113" s="116" t="str">
        <f t="shared" si="18"/>
        <v>419p</v>
      </c>
      <c r="B113" s="590" t="str">
        <f>+VLOOKUP(LEFT($A113,LEN(A113)-1)*1,Master!$D$30:$G$229,4,FALSE)</f>
        <v>Ostali izdaci</v>
      </c>
      <c r="C113" s="591"/>
      <c r="D113" s="591"/>
      <c r="E113" s="591"/>
      <c r="F113" s="591"/>
      <c r="G113" s="87">
        <v>4864062.17</v>
      </c>
      <c r="H113" s="87">
        <v>4930647.88</v>
      </c>
      <c r="I113" s="87">
        <v>6340301.9600000009</v>
      </c>
      <c r="J113" s="87">
        <v>6064681.2299999986</v>
      </c>
      <c r="K113" s="87">
        <v>3889229.03</v>
      </c>
      <c r="L113" s="87">
        <v>4107182.4699999997</v>
      </c>
      <c r="M113" s="87">
        <v>7659719.3700000038</v>
      </c>
      <c r="N113" s="87">
        <v>5664365.820000004</v>
      </c>
      <c r="O113" s="87">
        <v>5533073.530000004</v>
      </c>
      <c r="P113" s="87">
        <v>5918984.570000004</v>
      </c>
      <c r="Q113" s="87">
        <v>9295310.6999999993</v>
      </c>
      <c r="R113" s="87">
        <f>4255973.43-69188.7-0.04</f>
        <v>4186784.6899999995</v>
      </c>
      <c r="S113" s="112">
        <f t="shared" si="21"/>
        <v>68454343.420000017</v>
      </c>
      <c r="T113" s="463">
        <f t="shared" si="22"/>
        <v>1.1086441780844105</v>
      </c>
      <c r="V113" s="516"/>
    </row>
    <row r="114" spans="1:22">
      <c r="A114" s="116" t="str">
        <f t="shared" si="18"/>
        <v>42p</v>
      </c>
      <c r="B114" s="610" t="str">
        <f>+VLOOKUP(LEFT($A114,LEN(A114)-1)*1,Master!$D$30:$G$229,4,FALSE)</f>
        <v>Transferi za socijalnu zaštitu</v>
      </c>
      <c r="C114" s="611"/>
      <c r="D114" s="611"/>
      <c r="E114" s="611"/>
      <c r="F114" s="611"/>
      <c r="G114" s="84">
        <f t="shared" ref="G114:R114" si="26">+SUM(G115:G119)</f>
        <v>64631162.970000006</v>
      </c>
      <c r="H114" s="84">
        <f t="shared" si="26"/>
        <v>64593275.310000002</v>
      </c>
      <c r="I114" s="84">
        <f t="shared" si="26"/>
        <v>64593275.430000007</v>
      </c>
      <c r="J114" s="84">
        <f t="shared" si="26"/>
        <v>64693275.430000007</v>
      </c>
      <c r="K114" s="84">
        <f t="shared" si="26"/>
        <v>64693275.430000007</v>
      </c>
      <c r="L114" s="84">
        <f t="shared" si="26"/>
        <v>64793279.390000008</v>
      </c>
      <c r="M114" s="84">
        <f t="shared" si="26"/>
        <v>66194886.530000009</v>
      </c>
      <c r="N114" s="84">
        <f t="shared" si="26"/>
        <v>66197971.850000009</v>
      </c>
      <c r="O114" s="84">
        <f t="shared" si="26"/>
        <v>66197971.850000009</v>
      </c>
      <c r="P114" s="84">
        <f t="shared" si="26"/>
        <v>66197971.760000005</v>
      </c>
      <c r="Q114" s="84">
        <f t="shared" si="26"/>
        <v>66197971.850000009</v>
      </c>
      <c r="R114" s="84">
        <f t="shared" si="26"/>
        <v>66197971.939999998</v>
      </c>
      <c r="S114" s="113">
        <f t="shared" si="21"/>
        <v>785182289.74000001</v>
      </c>
      <c r="T114" s="464">
        <f t="shared" si="22"/>
        <v>12.716326397499433</v>
      </c>
      <c r="V114" s="311"/>
    </row>
    <row r="115" spans="1:22">
      <c r="A115" s="116" t="str">
        <f t="shared" si="18"/>
        <v>421p</v>
      </c>
      <c r="B115" s="590" t="str">
        <f>+VLOOKUP(LEFT($A115,LEN(A115)-1)*1,Master!$D$30:$G$229,4,FALSE)</f>
        <v>Prava iz oblasti socijalne zaštite</v>
      </c>
      <c r="C115" s="591"/>
      <c r="D115" s="591"/>
      <c r="E115" s="591"/>
      <c r="F115" s="591"/>
      <c r="G115" s="87">
        <v>15844748.540000001</v>
      </c>
      <c r="H115" s="87">
        <v>15844748.42</v>
      </c>
      <c r="I115" s="87">
        <v>15844748.540000001</v>
      </c>
      <c r="J115" s="87">
        <v>15844748.540000001</v>
      </c>
      <c r="K115" s="87">
        <v>15844748.540000001</v>
      </c>
      <c r="L115" s="87">
        <v>15844748.540000001</v>
      </c>
      <c r="M115" s="87">
        <v>15846148.98</v>
      </c>
      <c r="N115" s="87">
        <v>15849234.300000001</v>
      </c>
      <c r="O115" s="87">
        <v>15849234.300000001</v>
      </c>
      <c r="P115" s="87">
        <v>15849234.300000001</v>
      </c>
      <c r="Q115" s="87">
        <v>15849234.300000001</v>
      </c>
      <c r="R115" s="87">
        <v>15849234.41</v>
      </c>
      <c r="S115" s="112">
        <f t="shared" si="21"/>
        <v>190160811.71000004</v>
      </c>
      <c r="T115" s="463">
        <f t="shared" si="22"/>
        <v>3.0797268116153282</v>
      </c>
      <c r="V115" s="516"/>
    </row>
    <row r="116" spans="1:22">
      <c r="A116" s="116" t="str">
        <f t="shared" si="18"/>
        <v>422p</v>
      </c>
      <c r="B116" s="590" t="str">
        <f>+VLOOKUP(LEFT($A116,LEN(A116)-1)*1,Master!$D$30:$G$229,4,FALSE)</f>
        <v>Sredstva za tehnološke viškove</v>
      </c>
      <c r="C116" s="591"/>
      <c r="D116" s="591"/>
      <c r="E116" s="591"/>
      <c r="F116" s="591"/>
      <c r="G116" s="87">
        <v>1909150.6700000002</v>
      </c>
      <c r="H116" s="87">
        <v>1909150.6700000002</v>
      </c>
      <c r="I116" s="87">
        <v>1909150.6700000002</v>
      </c>
      <c r="J116" s="87">
        <v>1909150.6700000002</v>
      </c>
      <c r="K116" s="87">
        <v>1909150.6700000002</v>
      </c>
      <c r="L116" s="87">
        <v>1909154.6300000001</v>
      </c>
      <c r="M116" s="87">
        <v>2859361.33</v>
      </c>
      <c r="N116" s="87">
        <v>2859361.33</v>
      </c>
      <c r="O116" s="87">
        <v>2859361.33</v>
      </c>
      <c r="P116" s="87">
        <v>2859361.33</v>
      </c>
      <c r="Q116" s="87">
        <v>2859361.33</v>
      </c>
      <c r="R116" s="87">
        <v>2859361.37</v>
      </c>
      <c r="S116" s="112">
        <f t="shared" si="21"/>
        <v>28611075.999999996</v>
      </c>
      <c r="T116" s="463">
        <f t="shared" si="22"/>
        <v>0.46336727885207135</v>
      </c>
      <c r="V116" s="516"/>
    </row>
    <row r="117" spans="1:22">
      <c r="A117" s="116" t="str">
        <f t="shared" si="18"/>
        <v>423p</v>
      </c>
      <c r="B117" s="590" t="str">
        <f>+VLOOKUP(LEFT($A117,LEN(A117)-1)*1,Master!$D$30:$G$229,4,FALSE)</f>
        <v>Prava iz oblasti penzijskog i invalidskog osiguranja</v>
      </c>
      <c r="C117" s="591"/>
      <c r="D117" s="591"/>
      <c r="E117" s="591"/>
      <c r="F117" s="591"/>
      <c r="G117" s="87">
        <v>44272263.760000005</v>
      </c>
      <c r="H117" s="87">
        <v>44134376.220000006</v>
      </c>
      <c r="I117" s="87">
        <v>44134376.220000006</v>
      </c>
      <c r="J117" s="87">
        <v>44134376.220000006</v>
      </c>
      <c r="K117" s="87">
        <v>44134376.220000006</v>
      </c>
      <c r="L117" s="87">
        <v>44134376.220000006</v>
      </c>
      <c r="M117" s="87">
        <v>44134376.220000006</v>
      </c>
      <c r="N117" s="87">
        <v>44134376.220000006</v>
      </c>
      <c r="O117" s="87">
        <v>44134376.220000006</v>
      </c>
      <c r="P117" s="87">
        <v>44134376.130000003</v>
      </c>
      <c r="Q117" s="87">
        <v>44134376.220000006</v>
      </c>
      <c r="R117" s="87">
        <v>44134376.159999996</v>
      </c>
      <c r="S117" s="112">
        <f t="shared" si="21"/>
        <v>529750402.03000009</v>
      </c>
      <c r="T117" s="463">
        <f t="shared" si="22"/>
        <v>8.5795096367376029</v>
      </c>
      <c r="V117" s="516"/>
    </row>
    <row r="118" spans="1:22">
      <c r="A118" s="116" t="str">
        <f t="shared" si="18"/>
        <v>424p</v>
      </c>
      <c r="B118" s="590" t="str">
        <f>+VLOOKUP(LEFT($A118,LEN(A118)-1)*1,Master!$D$30:$G$229,4,FALSE)</f>
        <v>Ostala prava iz oblasti zdravstvene zaštite</v>
      </c>
      <c r="C118" s="591"/>
      <c r="D118" s="591"/>
      <c r="E118" s="591"/>
      <c r="F118" s="591"/>
      <c r="G118" s="87">
        <v>1755000</v>
      </c>
      <c r="H118" s="87">
        <v>1755000</v>
      </c>
      <c r="I118" s="87">
        <v>1755000</v>
      </c>
      <c r="J118" s="87">
        <v>1755000</v>
      </c>
      <c r="K118" s="87">
        <v>1755000</v>
      </c>
      <c r="L118" s="87">
        <v>1755000</v>
      </c>
      <c r="M118" s="87">
        <v>1755000</v>
      </c>
      <c r="N118" s="87">
        <v>1755000</v>
      </c>
      <c r="O118" s="87">
        <v>1755000</v>
      </c>
      <c r="P118" s="87">
        <v>1755000</v>
      </c>
      <c r="Q118" s="87">
        <v>1755000</v>
      </c>
      <c r="R118" s="87">
        <v>1755000</v>
      </c>
      <c r="S118" s="112">
        <f t="shared" si="21"/>
        <v>21060000</v>
      </c>
      <c r="T118" s="463">
        <f t="shared" si="22"/>
        <v>0.34107472548829071</v>
      </c>
      <c r="V118" s="516"/>
    </row>
    <row r="119" spans="1:22">
      <c r="A119" s="116" t="str">
        <f t="shared" si="18"/>
        <v>425p</v>
      </c>
      <c r="B119" s="590" t="str">
        <f>+VLOOKUP(LEFT($A119,LEN(A119)-1)*1,Master!$D$30:$G$229,4,FALSE)</f>
        <v>Ostala prava iz zdravstvenog osiguranja</v>
      </c>
      <c r="C119" s="591"/>
      <c r="D119" s="591"/>
      <c r="E119" s="591"/>
      <c r="F119" s="591"/>
      <c r="G119" s="87">
        <v>850000</v>
      </c>
      <c r="H119" s="87">
        <v>950000</v>
      </c>
      <c r="I119" s="87">
        <v>950000</v>
      </c>
      <c r="J119" s="87">
        <v>1050000</v>
      </c>
      <c r="K119" s="87">
        <v>1050000</v>
      </c>
      <c r="L119" s="87">
        <v>1150000</v>
      </c>
      <c r="M119" s="87">
        <v>1600000</v>
      </c>
      <c r="N119" s="87">
        <v>1600000</v>
      </c>
      <c r="O119" s="87">
        <v>1600000</v>
      </c>
      <c r="P119" s="87">
        <v>1600000</v>
      </c>
      <c r="Q119" s="87">
        <v>1600000</v>
      </c>
      <c r="R119" s="87">
        <v>1600000</v>
      </c>
      <c r="S119" s="112">
        <f t="shared" si="21"/>
        <v>15600000</v>
      </c>
      <c r="T119" s="463">
        <f t="shared" si="22"/>
        <v>0.25264794480614128</v>
      </c>
      <c r="V119" s="516"/>
    </row>
    <row r="120" spans="1:22">
      <c r="A120" s="116" t="str">
        <f t="shared" si="18"/>
        <v>43p</v>
      </c>
      <c r="B120" s="606" t="str">
        <f>+VLOOKUP(LEFT($A120,LEN(A120)-1)*1,Master!$D$30:$G$229,4,FALSE)</f>
        <v xml:space="preserve">Transferi institucijama, pojedincima, nevladinom i javnom sektoru </v>
      </c>
      <c r="C120" s="607"/>
      <c r="D120" s="607"/>
      <c r="E120" s="607"/>
      <c r="F120" s="607"/>
      <c r="G120" s="83">
        <v>13426609.789999997</v>
      </c>
      <c r="H120" s="83">
        <v>24954537.810000002</v>
      </c>
      <c r="I120" s="83">
        <v>33895566.079999998</v>
      </c>
      <c r="J120" s="83">
        <v>24784469.770000003</v>
      </c>
      <c r="K120" s="83">
        <v>25016309.34</v>
      </c>
      <c r="L120" s="83">
        <v>25865702.82</v>
      </c>
      <c r="M120" s="83">
        <v>44313993.49000001</v>
      </c>
      <c r="N120" s="83">
        <v>30937460.280000001</v>
      </c>
      <c r="O120" s="83">
        <v>36630444.020000003</v>
      </c>
      <c r="P120" s="83">
        <v>31446133.059999999</v>
      </c>
      <c r="Q120" s="83">
        <v>30458525.310000002</v>
      </c>
      <c r="R120" s="83">
        <f>31380558.45-680724.2+0.04</f>
        <v>30699834.289999999</v>
      </c>
      <c r="S120" s="113">
        <f>+SUM(G120:R120)</f>
        <v>352429586.06000006</v>
      </c>
      <c r="T120" s="464">
        <f t="shared" si="22"/>
        <v>5.7077314491626998</v>
      </c>
      <c r="V120" s="516"/>
    </row>
    <row r="121" spans="1:22">
      <c r="A121" s="116" t="str">
        <f t="shared" si="18"/>
        <v>44p</v>
      </c>
      <c r="B121" s="606" t="str">
        <f>+VLOOKUP(LEFT($A121,LEN(A121)-1)*1,Master!$D$30:$G$229,4,FALSE)</f>
        <v>Kapitalni izdaci</v>
      </c>
      <c r="C121" s="607"/>
      <c r="D121" s="607"/>
      <c r="E121" s="607"/>
      <c r="F121" s="607"/>
      <c r="G121" s="83">
        <f>20412001.55-G132</f>
        <v>20405334.879999999</v>
      </c>
      <c r="H121" s="83">
        <f>18094316.04-H132</f>
        <v>18087649.369999997</v>
      </c>
      <c r="I121" s="83">
        <f>19062944.96-I132</f>
        <v>18677278.289999999</v>
      </c>
      <c r="J121" s="83">
        <f>19443197.22-J132</f>
        <v>19136530.549999997</v>
      </c>
      <c r="K121" s="83">
        <f>19674125.2-K132</f>
        <v>19667458.529999997</v>
      </c>
      <c r="L121" s="83">
        <f>18915702.28-L132</f>
        <v>18909035.630000003</v>
      </c>
      <c r="M121" s="83">
        <f>26124418.27-M132</f>
        <v>26114418.27</v>
      </c>
      <c r="N121" s="83">
        <f>23948047.32-N132</f>
        <v>23938047.32</v>
      </c>
      <c r="O121" s="83">
        <f>22585312.23-O132</f>
        <v>22575312.23</v>
      </c>
      <c r="P121" s="83">
        <f>21462007.16-P132</f>
        <v>21452007.16</v>
      </c>
      <c r="Q121" s="83">
        <f>21427329.81-Q132</f>
        <v>21417329.809999999</v>
      </c>
      <c r="R121" s="83">
        <f>20634123.89+74001-R132</f>
        <v>20698124.890000001</v>
      </c>
      <c r="S121" s="113">
        <f>+SUM(G121:R121)</f>
        <v>251078526.93000001</v>
      </c>
      <c r="T121" s="464">
        <f t="shared" si="22"/>
        <v>4.0663124239626862</v>
      </c>
      <c r="U121" s="311"/>
      <c r="V121" s="516"/>
    </row>
    <row r="122" spans="1:22">
      <c r="A122" s="116" t="str">
        <f t="shared" si="18"/>
        <v>451p</v>
      </c>
      <c r="B122" s="608" t="str">
        <f>+VLOOKUP(LEFT($A122,LEN(A122)-1)*1,Master!$D$30:$G$229,4,FALSE)</f>
        <v>Pozajmice i krediti</v>
      </c>
      <c r="C122" s="609"/>
      <c r="D122" s="609"/>
      <c r="E122" s="609"/>
      <c r="F122" s="609"/>
      <c r="G122" s="87">
        <v>1607</v>
      </c>
      <c r="H122" s="87">
        <v>1001600</v>
      </c>
      <c r="I122" s="87">
        <v>501600</v>
      </c>
      <c r="J122" s="87">
        <v>501600</v>
      </c>
      <c r="K122" s="87">
        <v>491600</v>
      </c>
      <c r="L122" s="87">
        <v>491600</v>
      </c>
      <c r="M122" s="87">
        <v>2400</v>
      </c>
      <c r="N122" s="87">
        <v>2400</v>
      </c>
      <c r="O122" s="87">
        <v>502400</v>
      </c>
      <c r="P122" s="87">
        <v>502400</v>
      </c>
      <c r="Q122" s="87">
        <v>262400</v>
      </c>
      <c r="R122" s="87">
        <v>262400</v>
      </c>
      <c r="S122" s="112">
        <f t="shared" si="21"/>
        <v>4524007</v>
      </c>
      <c r="T122" s="463">
        <f t="shared" si="22"/>
        <v>7.3268017361448515E-2</v>
      </c>
      <c r="U122" s="311"/>
      <c r="V122" s="516"/>
    </row>
    <row r="123" spans="1:22">
      <c r="A123" s="116" t="str">
        <f t="shared" si="18"/>
        <v>47p</v>
      </c>
      <c r="B123" s="608" t="str">
        <f>+VLOOKUP(LEFT($A123,LEN(A123)-1)*1,Master!$D$30:$G$229,4,FALSE)</f>
        <v>Rezerve</v>
      </c>
      <c r="C123" s="609"/>
      <c r="D123" s="609"/>
      <c r="E123" s="609"/>
      <c r="F123" s="609"/>
      <c r="G123" s="87">
        <v>2554609.09</v>
      </c>
      <c r="H123" s="87">
        <v>3237333.25</v>
      </c>
      <c r="I123" s="87">
        <v>3237333.25</v>
      </c>
      <c r="J123" s="87">
        <v>3237333.25</v>
      </c>
      <c r="K123" s="87">
        <v>3237333.25</v>
      </c>
      <c r="L123" s="87">
        <v>3237333.25</v>
      </c>
      <c r="M123" s="87">
        <v>3237333.25</v>
      </c>
      <c r="N123" s="87">
        <v>3237333.25</v>
      </c>
      <c r="O123" s="87">
        <v>3237333.25</v>
      </c>
      <c r="P123" s="87">
        <v>3237333.25</v>
      </c>
      <c r="Q123" s="87">
        <v>3237333.25</v>
      </c>
      <c r="R123" s="87">
        <f>3237333.25+682724.2-0.04</f>
        <v>3920057.41</v>
      </c>
      <c r="S123" s="112">
        <f t="shared" si="21"/>
        <v>38847999</v>
      </c>
      <c r="T123" s="463">
        <f t="shared" si="22"/>
        <v>0.62915814789621993</v>
      </c>
      <c r="U123" s="311"/>
      <c r="V123" s="516"/>
    </row>
    <row r="124" spans="1:22">
      <c r="A124" s="116" t="str">
        <f t="shared" si="18"/>
        <v>462p</v>
      </c>
      <c r="B124" s="608" t="str">
        <f>+VLOOKUP(LEFT($A124,LEN(A124)-1)*1,Master!$D$30:$G$229,4,FALSE)</f>
        <v>Otplata garancija</v>
      </c>
      <c r="C124" s="609"/>
      <c r="D124" s="609"/>
      <c r="E124" s="609"/>
      <c r="F124" s="609"/>
      <c r="G124" s="87">
        <v>0.16</v>
      </c>
      <c r="H124" s="87">
        <v>0.16</v>
      </c>
      <c r="I124" s="87">
        <v>0.16</v>
      </c>
      <c r="J124" s="87">
        <v>0.16</v>
      </c>
      <c r="K124" s="87">
        <v>0.16</v>
      </c>
      <c r="L124" s="87">
        <v>0.16</v>
      </c>
      <c r="M124" s="87">
        <v>0.16</v>
      </c>
      <c r="N124" s="87">
        <v>0.16</v>
      </c>
      <c r="O124" s="87">
        <v>0.16</v>
      </c>
      <c r="P124" s="87">
        <v>0.16</v>
      </c>
      <c r="Q124" s="87">
        <v>0.16</v>
      </c>
      <c r="R124" s="87">
        <v>0.24</v>
      </c>
      <c r="S124" s="112">
        <f t="shared" si="21"/>
        <v>1.9999999999999998</v>
      </c>
      <c r="T124" s="463">
        <f t="shared" si="22"/>
        <v>3.23907621546335E-8</v>
      </c>
      <c r="U124" s="311"/>
      <c r="V124" s="516"/>
    </row>
    <row r="125" spans="1:22">
      <c r="A125" s="117" t="str">
        <f t="shared" si="18"/>
        <v>4630p</v>
      </c>
      <c r="B125" s="608" t="str">
        <f>+VLOOKUP(LEFT($A125,LEN(A125)-1)*1,Master!$D$30:$G$229,4,FALSE)</f>
        <v>Otplata obaveza iz prethodnog perioda</v>
      </c>
      <c r="C125" s="609"/>
      <c r="D125" s="609"/>
      <c r="E125" s="609"/>
      <c r="F125" s="609"/>
      <c r="G125" s="87">
        <v>2590915.3400000045</v>
      </c>
      <c r="H125" s="87">
        <v>2056111.4400000044</v>
      </c>
      <c r="I125" s="87">
        <v>2082110.4200000043</v>
      </c>
      <c r="J125" s="87">
        <v>2129110.4200000046</v>
      </c>
      <c r="K125" s="87">
        <v>2064110.3700000043</v>
      </c>
      <c r="L125" s="87">
        <v>2217108.3900000043</v>
      </c>
      <c r="M125" s="87">
        <v>2395112.6500000046</v>
      </c>
      <c r="N125" s="87">
        <v>2397112.6500000046</v>
      </c>
      <c r="O125" s="87">
        <v>2373362.9000000046</v>
      </c>
      <c r="P125" s="87">
        <v>2393362.9000000046</v>
      </c>
      <c r="Q125" s="87">
        <v>2373363.8700000048</v>
      </c>
      <c r="R125" s="87">
        <v>2360369.3100000061</v>
      </c>
      <c r="S125" s="103">
        <f>+SUM(G125:R125)</f>
        <v>27432150.66000006</v>
      </c>
      <c r="T125" s="471">
        <f t="shared" si="22"/>
        <v>0.44427413370906715</v>
      </c>
      <c r="U125" s="311"/>
      <c r="V125" s="516"/>
    </row>
    <row r="126" spans="1:22" ht="13.5" thickBot="1">
      <c r="A126" s="116" t="str">
        <f t="shared" si="18"/>
        <v>1005p</v>
      </c>
      <c r="B126" s="608" t="str">
        <f>+VLOOKUP(LEFT($A126,LEN(A126)-1)*1,Master!$D$30:$G$229,4,FALSE)</f>
        <v>Neto povećanje obaveza</v>
      </c>
      <c r="C126" s="609"/>
      <c r="D126" s="609"/>
      <c r="E126" s="609"/>
      <c r="F126" s="60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616" t="str">
        <f>+VLOOKUP(LEFT($A127,LEN(A127)-1)*1,Master!$D$30:$G$226,4,FALSE)</f>
        <v>Suficit / deficit</v>
      </c>
      <c r="C127" s="617"/>
      <c r="D127" s="617"/>
      <c r="E127" s="617"/>
      <c r="F127" s="617"/>
      <c r="G127" s="93">
        <f t="shared" ref="G127:R127" si="27">+G84-G103</f>
        <v>-22397133.607592493</v>
      </c>
      <c r="H127" s="93">
        <f t="shared" si="27"/>
        <v>-67071345.814519361</v>
      </c>
      <c r="I127" s="93">
        <f t="shared" si="27"/>
        <v>-2316292.9897459149</v>
      </c>
      <c r="J127" s="93">
        <f t="shared" si="27"/>
        <v>-17885734.609765023</v>
      </c>
      <c r="K127" s="93">
        <f t="shared" si="27"/>
        <v>-41471663.368712515</v>
      </c>
      <c r="L127" s="93">
        <f t="shared" si="27"/>
        <v>-27277595.668724924</v>
      </c>
      <c r="M127" s="93">
        <f t="shared" si="27"/>
        <v>-55367145.076071084</v>
      </c>
      <c r="N127" s="93">
        <f t="shared" si="27"/>
        <v>-6467668.1569713652</v>
      </c>
      <c r="O127" s="93">
        <f t="shared" si="27"/>
        <v>-27310745.93416518</v>
      </c>
      <c r="P127" s="93">
        <f t="shared" si="27"/>
        <v>-41600384.900887519</v>
      </c>
      <c r="Q127" s="93">
        <f t="shared" si="27"/>
        <v>-46834285.210350275</v>
      </c>
      <c r="R127" s="93">
        <f t="shared" si="27"/>
        <v>-10316938.668598384</v>
      </c>
      <c r="S127" s="106">
        <f t="shared" si="21"/>
        <v>-366316934.00610411</v>
      </c>
      <c r="T127" s="469">
        <f t="shared" si="22"/>
        <v>-5.932642341303147</v>
      </c>
      <c r="U127" s="311"/>
      <c r="V127" s="311"/>
    </row>
    <row r="128" spans="1:22" ht="13.5" thickBot="1">
      <c r="A128" s="117" t="str">
        <f t="shared" si="18"/>
        <v>1001p</v>
      </c>
      <c r="B128" s="618" t="str">
        <f>+VLOOKUP(LEFT($A128,LEN(A128)-1)*1,Master!$D$30:$G$226,4,FALSE)</f>
        <v>Primarni suficit/deficit</v>
      </c>
      <c r="C128" s="619"/>
      <c r="D128" s="619"/>
      <c r="E128" s="619"/>
      <c r="F128" s="619"/>
      <c r="G128" s="94">
        <f>+G127+G110</f>
        <v>-16955013.227592494</v>
      </c>
      <c r="H128" s="94">
        <f t="shared" ref="H128:R128" si="28">+H127+H110</f>
        <v>-64630035.204519361</v>
      </c>
      <c r="I128" s="94">
        <f t="shared" si="28"/>
        <v>-314464.45974591444</v>
      </c>
      <c r="J128" s="94">
        <f t="shared" si="28"/>
        <v>6704359.1802349798</v>
      </c>
      <c r="K128" s="94">
        <f t="shared" si="28"/>
        <v>-30861356.008712515</v>
      </c>
      <c r="L128" s="94">
        <f t="shared" si="28"/>
        <v>-24201043.138724923</v>
      </c>
      <c r="M128" s="94">
        <f t="shared" si="28"/>
        <v>-45628256.98607108</v>
      </c>
      <c r="N128" s="94">
        <f t="shared" si="28"/>
        <v>-3687920.8469713656</v>
      </c>
      <c r="O128" s="94">
        <f t="shared" si="28"/>
        <v>-25434319.32416518</v>
      </c>
      <c r="P128" s="94">
        <f t="shared" si="28"/>
        <v>-26802095.280887522</v>
      </c>
      <c r="Q128" s="94">
        <f t="shared" si="28"/>
        <v>-38003149.750350274</v>
      </c>
      <c r="R128" s="94">
        <f t="shared" si="28"/>
        <v>13424170.421401616</v>
      </c>
      <c r="S128" s="106">
        <f t="shared" si="21"/>
        <v>-256389124.626104</v>
      </c>
      <c r="T128" s="469">
        <f t="shared" si="22"/>
        <v>-4.1523195773994104</v>
      </c>
      <c r="U128" s="311"/>
      <c r="V128" s="311"/>
    </row>
    <row r="129" spans="1:22">
      <c r="A129" s="117" t="str">
        <f t="shared" si="18"/>
        <v>46p</v>
      </c>
      <c r="B129" s="610" t="str">
        <f>+VLOOKUP(LEFT($A129,LEN(A129)-1)*1,Master!$D$30:$G$226,4,FALSE)</f>
        <v>Otplata dugova</v>
      </c>
      <c r="C129" s="611"/>
      <c r="D129" s="611"/>
      <c r="E129" s="611"/>
      <c r="F129" s="611"/>
      <c r="G129" s="84">
        <f>+SUM(G130:G131)</f>
        <v>30842089.259999998</v>
      </c>
      <c r="H129" s="84">
        <f t="shared" ref="H129:R129" si="29">+SUM(H130:H131)</f>
        <v>6803111.790000001</v>
      </c>
      <c r="I129" s="84">
        <f t="shared" si="29"/>
        <v>9004349.7899999991</v>
      </c>
      <c r="J129" s="84">
        <f t="shared" si="29"/>
        <v>7976370.0700000003</v>
      </c>
      <c r="K129" s="84">
        <f t="shared" si="29"/>
        <v>92780108.99000001</v>
      </c>
      <c r="L129" s="84">
        <f t="shared" si="29"/>
        <v>14226825.530000001</v>
      </c>
      <c r="M129" s="483">
        <f t="shared" ref="M129" si="30">+SUM(M130:M131)</f>
        <v>40968432.359999999</v>
      </c>
      <c r="N129" s="84">
        <f t="shared" si="29"/>
        <v>9320542.290000001</v>
      </c>
      <c r="O129" s="84">
        <f t="shared" si="29"/>
        <v>19467352.800000001</v>
      </c>
      <c r="P129" s="84">
        <f t="shared" si="29"/>
        <v>19749872.740000002</v>
      </c>
      <c r="Q129" s="84">
        <f t="shared" si="29"/>
        <v>64752298.200000003</v>
      </c>
      <c r="R129" s="84">
        <f t="shared" si="29"/>
        <v>22194542.870000001</v>
      </c>
      <c r="S129" s="104">
        <f t="shared" si="21"/>
        <v>338085896.69000006</v>
      </c>
      <c r="T129" s="470">
        <f t="shared" si="22"/>
        <v>5.4754299337608927</v>
      </c>
      <c r="U129" s="311"/>
      <c r="V129" s="311"/>
    </row>
    <row r="130" spans="1:22">
      <c r="A130" s="117" t="str">
        <f t="shared" si="18"/>
        <v>4611p</v>
      </c>
      <c r="B130" s="614" t="str">
        <f>+VLOOKUP(LEFT($A130,LEN(A130)-1)*1,Master!$D$30:$G$226,4,FALSE)</f>
        <v>Otplata hartija od vrijednosti i kredita rezidentima</v>
      </c>
      <c r="C130" s="615"/>
      <c r="D130" s="615"/>
      <c r="E130" s="615"/>
      <c r="F130" s="615"/>
      <c r="G130" s="96">
        <v>2477159.06</v>
      </c>
      <c r="H130" s="96">
        <v>2428191.7600000002</v>
      </c>
      <c r="I130" s="96">
        <v>938890.91</v>
      </c>
      <c r="J130" s="96">
        <v>2699238.12</v>
      </c>
      <c r="K130" s="96">
        <v>45296973.57</v>
      </c>
      <c r="L130" s="96">
        <v>3740213.81</v>
      </c>
      <c r="M130" s="96">
        <v>2522037.56</v>
      </c>
      <c r="N130" s="96">
        <v>2461861.56</v>
      </c>
      <c r="O130" s="96">
        <v>746378.5</v>
      </c>
      <c r="P130" s="96">
        <v>12943542.380000001</v>
      </c>
      <c r="Q130" s="96">
        <v>19547811.449999999</v>
      </c>
      <c r="R130" s="96">
        <v>753598.01</v>
      </c>
      <c r="S130" s="103">
        <f t="shared" si="21"/>
        <v>96555896.690000013</v>
      </c>
      <c r="T130" s="471">
        <f t="shared" si="22"/>
        <v>1.5637595421565773</v>
      </c>
      <c r="U130" s="311"/>
      <c r="V130" s="311"/>
    </row>
    <row r="131" spans="1:22" ht="13.5" thickBot="1">
      <c r="A131" s="117" t="str">
        <f t="shared" si="18"/>
        <v>4612p</v>
      </c>
      <c r="B131" s="608" t="str">
        <f>+VLOOKUP(LEFT($A131,LEN(A131)-1)*1,Master!$D$30:$G$226,4,FALSE)</f>
        <v>Otplata hartija od vrijednosti i kredita nerezidentima</v>
      </c>
      <c r="C131" s="609"/>
      <c r="D131" s="609"/>
      <c r="E131" s="609"/>
      <c r="F131" s="609"/>
      <c r="G131" s="96">
        <v>28364930.199999999</v>
      </c>
      <c r="H131" s="96">
        <v>4374920.03</v>
      </c>
      <c r="I131" s="96">
        <v>8065458.8799999999</v>
      </c>
      <c r="J131" s="96">
        <v>5277131.95</v>
      </c>
      <c r="K131" s="96">
        <v>47483135.420000002</v>
      </c>
      <c r="L131" s="96">
        <v>10486611.720000001</v>
      </c>
      <c r="M131" s="96">
        <v>38446394.799999997</v>
      </c>
      <c r="N131" s="96">
        <v>6858680.7300000004</v>
      </c>
      <c r="O131" s="96">
        <v>18720974.300000001</v>
      </c>
      <c r="P131" s="96">
        <v>6806330.3600000003</v>
      </c>
      <c r="Q131" s="96">
        <v>45204486.75</v>
      </c>
      <c r="R131" s="96">
        <v>21440944.859999999</v>
      </c>
      <c r="S131" s="103">
        <f t="shared" si="21"/>
        <v>241530000</v>
      </c>
      <c r="T131" s="471">
        <f t="shared" si="22"/>
        <v>3.9116703916043147</v>
      </c>
      <c r="U131" s="311"/>
      <c r="V131" s="311"/>
    </row>
    <row r="132" spans="1:22" ht="13.5" thickBot="1">
      <c r="A132" s="117" t="str">
        <f t="shared" si="18"/>
        <v>4418p</v>
      </c>
      <c r="B132" s="586" t="str">
        <f>+VLOOKUP(LEFT($A132,LEN(A132)-1)*1,Master!$D$30:$G$226,4,FALSE)</f>
        <v>Izdaci za kupovinu hartija od vrijednosti</v>
      </c>
      <c r="C132" s="587"/>
      <c r="D132" s="587"/>
      <c r="E132" s="587"/>
      <c r="F132" s="587"/>
      <c r="G132" s="93">
        <v>6666.67</v>
      </c>
      <c r="H132" s="93">
        <v>6666.67</v>
      </c>
      <c r="I132" s="93">
        <v>385666.67</v>
      </c>
      <c r="J132" s="93">
        <v>306666.67</v>
      </c>
      <c r="K132" s="93">
        <v>6666.67</v>
      </c>
      <c r="L132" s="93">
        <v>6666.65</v>
      </c>
      <c r="M132" s="93">
        <v>10000</v>
      </c>
      <c r="N132" s="93">
        <v>10000</v>
      </c>
      <c r="O132" s="93">
        <v>10000</v>
      </c>
      <c r="P132" s="93">
        <v>10000</v>
      </c>
      <c r="Q132" s="93">
        <v>10000</v>
      </c>
      <c r="R132" s="93">
        <v>10000</v>
      </c>
      <c r="S132" s="448">
        <f t="shared" si="21"/>
        <v>779000</v>
      </c>
      <c r="T132" s="478">
        <f t="shared" si="22"/>
        <v>1.2616201859229747E-2</v>
      </c>
      <c r="U132" s="311"/>
      <c r="V132" s="311"/>
    </row>
    <row r="133" spans="1:22" ht="13.5" thickBot="1">
      <c r="A133" s="117" t="str">
        <f t="shared" si="18"/>
        <v>1002p</v>
      </c>
      <c r="B133" s="612" t="str">
        <f>+VLOOKUP(LEFT($A133,LEN(A133)-1)*1,Master!$D$30:$G$226,4,FALSE)</f>
        <v>Nedostajuća sredstva</v>
      </c>
      <c r="C133" s="613"/>
      <c r="D133" s="613"/>
      <c r="E133" s="613"/>
      <c r="F133" s="613"/>
      <c r="G133" s="77">
        <f t="shared" ref="G133:R133" si="31">+G127-G129-G132</f>
        <v>-53245889.537592493</v>
      </c>
      <c r="H133" s="77">
        <f t="shared" si="31"/>
        <v>-73881124.274519369</v>
      </c>
      <c r="I133" s="77">
        <f t="shared" si="31"/>
        <v>-11706309.449745914</v>
      </c>
      <c r="J133" s="77">
        <f t="shared" si="31"/>
        <v>-26168771.349765025</v>
      </c>
      <c r="K133" s="77">
        <f t="shared" si="31"/>
        <v>-134258439.02871251</v>
      </c>
      <c r="L133" s="77">
        <f t="shared" si="31"/>
        <v>-41511087.848724924</v>
      </c>
      <c r="M133" s="77">
        <f t="shared" si="31"/>
        <v>-96345577.436071083</v>
      </c>
      <c r="N133" s="77">
        <f t="shared" si="31"/>
        <v>-15798210.446971366</v>
      </c>
      <c r="O133" s="77">
        <f t="shared" si="31"/>
        <v>-46788098.734165177</v>
      </c>
      <c r="P133" s="77">
        <f t="shared" si="31"/>
        <v>-61360257.640887521</v>
      </c>
      <c r="Q133" s="77">
        <f t="shared" si="31"/>
        <v>-111596583.41035028</v>
      </c>
      <c r="R133" s="77">
        <f t="shared" si="31"/>
        <v>-32521481.538598385</v>
      </c>
      <c r="S133" s="109">
        <f t="shared" si="21"/>
        <v>-705181830.69610417</v>
      </c>
      <c r="T133" s="473">
        <f t="shared" si="22"/>
        <v>-11.420688476923269</v>
      </c>
      <c r="U133" s="311"/>
      <c r="V133" s="311"/>
    </row>
    <row r="134" spans="1:22" ht="13.5" thickBot="1">
      <c r="A134" s="117" t="str">
        <f t="shared" si="18"/>
        <v>1003p</v>
      </c>
      <c r="B134" s="586" t="str">
        <f>+VLOOKUP(LEFT($A134,LEN(A134)-1)*1,Master!$D$30:$G$226,4,FALSE)</f>
        <v>Finansiranje</v>
      </c>
      <c r="C134" s="587"/>
      <c r="D134" s="587"/>
      <c r="E134" s="587"/>
      <c r="F134" s="587"/>
      <c r="G134" s="93">
        <f t="shared" ref="G134:R134" si="32">+SUM(G135:G138)</f>
        <v>53245889.537592493</v>
      </c>
      <c r="H134" s="93">
        <f t="shared" si="32"/>
        <v>73881124.274519369</v>
      </c>
      <c r="I134" s="93">
        <f t="shared" si="32"/>
        <v>11706309.449745908</v>
      </c>
      <c r="J134" s="93">
        <f t="shared" si="32"/>
        <v>26168771.349765025</v>
      </c>
      <c r="K134" s="93">
        <f t="shared" si="32"/>
        <v>134258439.02871251</v>
      </c>
      <c r="L134" s="93">
        <f t="shared" si="32"/>
        <v>41511087.848724924</v>
      </c>
      <c r="M134" s="93">
        <f t="shared" si="32"/>
        <v>96345577.436071083</v>
      </c>
      <c r="N134" s="93">
        <f t="shared" si="32"/>
        <v>15798210.446971366</v>
      </c>
      <c r="O134" s="93">
        <f t="shared" si="32"/>
        <v>46788098.734165192</v>
      </c>
      <c r="P134" s="93">
        <f t="shared" si="32"/>
        <v>61360257.640887521</v>
      </c>
      <c r="Q134" s="93">
        <f t="shared" si="32"/>
        <v>111596583.41035028</v>
      </c>
      <c r="R134" s="93">
        <f t="shared" si="32"/>
        <v>32521481.538598385</v>
      </c>
      <c r="S134" s="110">
        <f t="shared" si="21"/>
        <v>705181830.69610417</v>
      </c>
      <c r="T134" s="474">
        <f t="shared" si="22"/>
        <v>11.420688476923269</v>
      </c>
      <c r="U134" s="311"/>
      <c r="V134" s="311"/>
    </row>
    <row r="135" spans="1:22">
      <c r="A135" s="117" t="str">
        <f t="shared" si="18"/>
        <v>7511p</v>
      </c>
      <c r="B135" s="614" t="str">
        <f>+VLOOKUP(LEFT($A135,LEN(A135)-1)*1,Master!$D$30:$G$226,4,FALSE)</f>
        <v>Pozajmice i krediti od domaćih izvora</v>
      </c>
      <c r="C135" s="615"/>
      <c r="D135" s="615"/>
      <c r="E135" s="615"/>
      <c r="F135" s="615"/>
      <c r="G135" s="96">
        <v>0</v>
      </c>
      <c r="H135" s="96">
        <v>0</v>
      </c>
      <c r="I135" s="96">
        <v>100000000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1"/>
        <v>100000000</v>
      </c>
      <c r="T135" s="471">
        <f t="shared" si="22"/>
        <v>1.6195381077316748</v>
      </c>
      <c r="U135" s="311"/>
      <c r="V135" s="311"/>
    </row>
    <row r="136" spans="1:22">
      <c r="A136" s="117" t="str">
        <f t="shared" si="18"/>
        <v>7512p</v>
      </c>
      <c r="B136" s="608" t="str">
        <f>+VLOOKUP(LEFT($A136,LEN(A136)-1)*1,Master!$D$30:$G$226,4,FALSE)</f>
        <v>Pozajmice i krediti od inostranih izvora</v>
      </c>
      <c r="C136" s="609"/>
      <c r="D136" s="609"/>
      <c r="E136" s="609"/>
      <c r="F136" s="609"/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517">
        <v>499181830.68901968</v>
      </c>
      <c r="P136" s="96">
        <v>0</v>
      </c>
      <c r="Q136" s="96">
        <v>0</v>
      </c>
      <c r="R136" s="96">
        <v>0</v>
      </c>
      <c r="S136" s="103">
        <f t="shared" si="21"/>
        <v>499181830.68901968</v>
      </c>
      <c r="T136" s="471">
        <f t="shared" si="22"/>
        <v>8.084439974881283</v>
      </c>
      <c r="U136" s="311"/>
      <c r="V136" s="311"/>
    </row>
    <row r="137" spans="1:22">
      <c r="A137" s="117" t="str">
        <f t="shared" si="18"/>
        <v>72p</v>
      </c>
      <c r="B137" s="608" t="str">
        <f>+VLOOKUP(LEFT($A137,LEN(A137)-1)*1,Master!$D$30:$G$226,4,FALSE)</f>
        <v>Primici od prodaje imovine</v>
      </c>
      <c r="C137" s="609"/>
      <c r="D137" s="609"/>
      <c r="E137" s="609"/>
      <c r="F137" s="609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1"/>
        <v>6000000</v>
      </c>
      <c r="T137" s="471">
        <f t="shared" si="22"/>
        <v>9.7172286463900498E-2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>-G133-SUM(G135:G137)</f>
        <v>52745889.537592493</v>
      </c>
      <c r="H138" s="97">
        <f t="shared" ref="H138:R138" si="33">-H133-SUM(H135:H137)</f>
        <v>73381124.274519369</v>
      </c>
      <c r="I138" s="97">
        <f t="shared" si="33"/>
        <v>-88793690.550254092</v>
      </c>
      <c r="J138" s="97">
        <f t="shared" si="33"/>
        <v>25668771.349765025</v>
      </c>
      <c r="K138" s="97">
        <f t="shared" si="33"/>
        <v>133758439.02871251</v>
      </c>
      <c r="L138" s="97">
        <f t="shared" si="33"/>
        <v>41011087.848724924</v>
      </c>
      <c r="M138" s="97">
        <f t="shared" si="33"/>
        <v>95845577.436071083</v>
      </c>
      <c r="N138" s="97">
        <f t="shared" si="33"/>
        <v>15298210.446971366</v>
      </c>
      <c r="O138" s="97">
        <f t="shared" si="33"/>
        <v>-452893731.95485449</v>
      </c>
      <c r="P138" s="97">
        <f t="shared" si="33"/>
        <v>60860257.640887521</v>
      </c>
      <c r="Q138" s="97">
        <f t="shared" si="33"/>
        <v>111096583.41035028</v>
      </c>
      <c r="R138" s="97">
        <f t="shared" si="33"/>
        <v>32021481.538598385</v>
      </c>
      <c r="S138" s="105">
        <f>+SUM(G138:R138)</f>
        <v>100000000.00708437</v>
      </c>
      <c r="T138" s="475">
        <f t="shared" si="22"/>
        <v>1.6195381078464091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sheetProtection algorithmName="SHA-512" hashValue="O9KETANc4GEwhie2O0PO0M+CVspLTHpnneDOqyQxJXVleV+ipCudrGX/JduhkoKZUVQJUZ76oaexX24ehZskeA==" saltValue="3drw9xzIwJLgJmUqATxuow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U83" sqref="U83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3.453125" style="258" customWidth="1"/>
    <col min="7" max="7" width="12" style="258" customWidth="1"/>
    <col min="8" max="8" width="12.26953125" style="258" customWidth="1"/>
    <col min="9" max="9" width="10.7265625" style="258" customWidth="1"/>
    <col min="10" max="10" width="14.453125" style="258" customWidth="1"/>
    <col min="11" max="11" width="10.7265625" style="258" customWidth="1"/>
    <col min="12" max="12" width="12.26953125" style="258" customWidth="1"/>
    <col min="13" max="14" width="10.7265625" style="258" customWidth="1"/>
    <col min="15" max="16" width="12.26953125" style="258" customWidth="1"/>
    <col min="17" max="17" width="15.453125" style="258" customWidth="1"/>
    <col min="18" max="18" width="10.7265625" style="258" customWidth="1"/>
    <col min="19" max="19" width="13.26953125" style="258" customWidth="1"/>
    <col min="20" max="20" width="10.7265625" style="258" customWidth="1"/>
    <col min="21" max="21" width="16.81640625" style="291" bestFit="1" customWidth="1"/>
    <col min="22" max="22" width="15.81640625" style="258" bestFit="1" customWidth="1"/>
    <col min="23" max="23" width="12" style="258" bestFit="1" customWidth="1"/>
    <col min="24" max="16384" width="9.179687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4.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570" t="str">
        <f>+Master!G252</f>
        <v>Ostvarenje budžeta</v>
      </c>
      <c r="C7" s="523"/>
      <c r="D7" s="523"/>
      <c r="E7" s="523"/>
      <c r="F7" s="523"/>
      <c r="G7" s="531">
        <v>2022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tr">
        <f>+Master!G249</f>
        <v>BDP</v>
      </c>
      <c r="T7" s="236">
        <v>5700400000</v>
      </c>
    </row>
    <row r="8" spans="1:23" ht="16.5" customHeight="1">
      <c r="A8" s="144"/>
      <c r="B8" s="524"/>
      <c r="C8" s="525"/>
      <c r="D8" s="525"/>
      <c r="E8" s="525"/>
      <c r="F8" s="52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1" t="str">
        <f>+Master!G247</f>
        <v>Jan - Dec</v>
      </c>
      <c r="T8" s="535"/>
    </row>
    <row r="9" spans="1:23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51">
        <f>+G11+G19+SUM(G24:G28)</f>
        <v>107815206.7</v>
      </c>
      <c r="H10" s="151">
        <f t="shared" ref="H10:R10" si="1">+H11+H19+SUM(H24:H28)</f>
        <v>124648051.66</v>
      </c>
      <c r="I10" s="151">
        <f t="shared" si="1"/>
        <v>184181987.21000001</v>
      </c>
      <c r="J10" s="151">
        <f t="shared" si="1"/>
        <v>182005041.20000002</v>
      </c>
      <c r="K10" s="151">
        <f t="shared" si="1"/>
        <v>154779104.03</v>
      </c>
      <c r="L10" s="151">
        <f t="shared" si="1"/>
        <v>169115492.40000004</v>
      </c>
      <c r="M10" s="151">
        <f t="shared" si="1"/>
        <v>165776838.45999998</v>
      </c>
      <c r="N10" s="151">
        <f t="shared" si="1"/>
        <v>195547069.71999997</v>
      </c>
      <c r="O10" s="151">
        <f t="shared" si="1"/>
        <v>175643820.18000001</v>
      </c>
      <c r="P10" s="151">
        <f t="shared" si="1"/>
        <v>168345789.88</v>
      </c>
      <c r="Q10" s="151">
        <f t="shared" si="1"/>
        <v>162487550.83000001</v>
      </c>
      <c r="R10" s="151">
        <f t="shared" si="1"/>
        <v>220027103.44000003</v>
      </c>
      <c r="S10" s="239">
        <f>+SUM(G10:R10)</f>
        <v>2010373055.71</v>
      </c>
      <c r="T10" s="461">
        <f>+S10/$T$7*100</f>
        <v>35.267227838572737</v>
      </c>
    </row>
    <row r="11" spans="1:23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4" si="3">+S11/$T$7*100</f>
        <v>24.228705975194725</v>
      </c>
    </row>
    <row r="12" spans="1:23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3" si="4">+SUM(G12:R12)</f>
        <v>83041010.100000009</v>
      </c>
      <c r="T12" s="463">
        <f t="shared" si="3"/>
        <v>1.4567575977124414</v>
      </c>
    </row>
    <row r="13" spans="1:23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1.581804069188127</v>
      </c>
    </row>
    <row r="14" spans="1:23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2.5990137007929268E-2</v>
      </c>
    </row>
    <row r="15" spans="1:23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15.9295330899586</v>
      </c>
    </row>
    <row r="16" spans="1:23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4.3132519081117122</v>
      </c>
      <c r="W16" s="311"/>
    </row>
    <row r="17" spans="1:23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0.7059064912988563</v>
      </c>
    </row>
    <row r="18" spans="1:23">
      <c r="A18" s="150">
        <v>7118</v>
      </c>
      <c r="B18" s="552" t="str">
        <f>+VLOOKUP($A18,Master!$D$30:$G$226,4,FALSE)</f>
        <v>Ostali državni porezi</v>
      </c>
      <c r="C18" s="553"/>
      <c r="D18" s="553"/>
      <c r="E18" s="553"/>
      <c r="F18" s="553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0.21546268191705845</v>
      </c>
    </row>
    <row r="19" spans="1:23">
      <c r="A19" s="150">
        <v>712</v>
      </c>
      <c r="B19" s="554" t="str">
        <f>+VLOOKUP($A19,Master!$D$30:$G$226,4,FALSE)</f>
        <v>Doprinosi</v>
      </c>
      <c r="C19" s="555"/>
      <c r="D19" s="555"/>
      <c r="E19" s="555"/>
      <c r="F19" s="555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8.1186766593572379</v>
      </c>
    </row>
    <row r="20" spans="1:23">
      <c r="A20" s="150">
        <v>7121</v>
      </c>
      <c r="B20" s="552" t="str">
        <f>+VLOOKUP($A20,Master!$D$30:$G$226,4,FALSE)</f>
        <v>Doprinosi za penzijsko i invalidsko osiguranje</v>
      </c>
      <c r="C20" s="553"/>
      <c r="D20" s="553"/>
      <c r="E20" s="553"/>
      <c r="F20" s="553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7.1204700935022114</v>
      </c>
    </row>
    <row r="21" spans="1:23">
      <c r="A21" s="150">
        <v>7122</v>
      </c>
      <c r="B21" s="552" t="str">
        <f>+VLOOKUP($A21,Master!$D$30:$G$226,4,FALSE)</f>
        <v>Doprinosi za zdravstveno osiguranje</v>
      </c>
      <c r="C21" s="553"/>
      <c r="D21" s="553"/>
      <c r="E21" s="553"/>
      <c r="F21" s="553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0.43953371570416105</v>
      </c>
    </row>
    <row r="22" spans="1:23">
      <c r="A22" s="150">
        <v>7123</v>
      </c>
      <c r="B22" s="552" t="str">
        <f>+VLOOKUP($A22,Master!$D$30:$G$226,4,FALSE)</f>
        <v>Doprinosi za osiguranje od nezaposlenosti</v>
      </c>
      <c r="C22" s="553"/>
      <c r="D22" s="553"/>
      <c r="E22" s="553"/>
      <c r="F22" s="553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0.32269890253315558</v>
      </c>
    </row>
    <row r="23" spans="1:23">
      <c r="A23" s="150">
        <v>7124</v>
      </c>
      <c r="B23" s="552" t="str">
        <f>+VLOOKUP($A23,Master!$D$30:$G$226,4,FALSE)</f>
        <v>Ostali doprinosi</v>
      </c>
      <c r="C23" s="553"/>
      <c r="D23" s="553"/>
      <c r="E23" s="553"/>
      <c r="F23" s="553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0.23597394761771107</v>
      </c>
      <c r="W23" s="305"/>
    </row>
    <row r="24" spans="1:23">
      <c r="A24" s="150">
        <v>713</v>
      </c>
      <c r="B24" s="554" t="str">
        <f>+VLOOKUP($A24,Master!$D$30:$G$226,4,FALSE)</f>
        <v>Takse</v>
      </c>
      <c r="C24" s="555"/>
      <c r="D24" s="555"/>
      <c r="E24" s="555"/>
      <c r="F24" s="555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0.25911106974949133</v>
      </c>
      <c r="V24" s="291"/>
      <c r="W24" s="305"/>
    </row>
    <row r="25" spans="1:23">
      <c r="A25" s="150">
        <v>714</v>
      </c>
      <c r="B25" s="554" t="str">
        <f>+VLOOKUP($A25,Master!$D$30:$G$226,4,FALSE)</f>
        <v>Naknade</v>
      </c>
      <c r="C25" s="555"/>
      <c r="D25" s="555"/>
      <c r="E25" s="555"/>
      <c r="F25" s="555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72749273.989999995</v>
      </c>
      <c r="T25" s="464">
        <f t="shared" si="3"/>
        <v>1.2762134936144831</v>
      </c>
      <c r="V25" s="291"/>
    </row>
    <row r="26" spans="1:23">
      <c r="A26" s="150">
        <v>715</v>
      </c>
      <c r="B26" s="554" t="str">
        <f>+VLOOKUP($A26,Master!$D$30:$G$226,4,FALSE)</f>
        <v>Ostali prihodi</v>
      </c>
      <c r="C26" s="555"/>
      <c r="D26" s="555"/>
      <c r="E26" s="555"/>
      <c r="F26" s="555"/>
      <c r="G26" s="175">
        <v>1327068.83</v>
      </c>
      <c r="H26" s="175">
        <v>1641264.93</v>
      </c>
      <c r="I26" s="175">
        <v>1734944.59</v>
      </c>
      <c r="J26" s="175">
        <v>1799637.23</v>
      </c>
      <c r="K26" s="175">
        <v>3468030.97</v>
      </c>
      <c r="L26" s="175">
        <v>2782233.96</v>
      </c>
      <c r="M26" s="175">
        <v>3218905.03</v>
      </c>
      <c r="N26" s="175">
        <v>3788670.26</v>
      </c>
      <c r="O26" s="175">
        <v>1549879.63</v>
      </c>
      <c r="P26" s="175">
        <v>1870982.8</v>
      </c>
      <c r="Q26" s="175">
        <v>3172693.52</v>
      </c>
      <c r="R26" s="175">
        <v>3043810.92</v>
      </c>
      <c r="S26" s="243">
        <f t="shared" si="4"/>
        <v>29398122.670000002</v>
      </c>
      <c r="T26" s="464">
        <f t="shared" si="3"/>
        <v>0.51572034716861981</v>
      </c>
      <c r="V26" s="291"/>
    </row>
    <row r="27" spans="1:23">
      <c r="A27" s="150">
        <v>73</v>
      </c>
      <c r="B27" s="554" t="str">
        <f>+VLOOKUP($A27,Master!$D$30:$G$226,4,FALSE)</f>
        <v>Primici od otplate kredita i sredstva prenesena iz prethodne godine</v>
      </c>
      <c r="C27" s="555"/>
      <c r="D27" s="555"/>
      <c r="E27" s="555"/>
      <c r="F27" s="555"/>
      <c r="G27" s="175">
        <v>78071.73</v>
      </c>
      <c r="H27" s="175">
        <v>522875.5</v>
      </c>
      <c r="I27" s="175">
        <v>672874.07</v>
      </c>
      <c r="J27" s="175">
        <v>2383498.4</v>
      </c>
      <c r="K27" s="175">
        <v>848688.86</v>
      </c>
      <c r="L27" s="175">
        <v>3720729.37</v>
      </c>
      <c r="M27" s="175">
        <v>215690.69</v>
      </c>
      <c r="N27" s="175">
        <v>2401895.3199999998</v>
      </c>
      <c r="O27" s="175">
        <v>1142900.81</v>
      </c>
      <c r="P27" s="175">
        <v>327625.15999999997</v>
      </c>
      <c r="Q27" s="175">
        <v>1007680.03</v>
      </c>
      <c r="R27" s="175">
        <v>1811357.71</v>
      </c>
      <c r="S27" s="243">
        <f t="shared" si="4"/>
        <v>15133887.649999999</v>
      </c>
      <c r="T27" s="464">
        <f t="shared" si="3"/>
        <v>0.26548817012841203</v>
      </c>
      <c r="V27" s="291"/>
    </row>
    <row r="28" spans="1:23" ht="13.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v>944706.6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34391204.280000001</v>
      </c>
      <c r="T28" s="465">
        <f t="shared" si="3"/>
        <v>0.60331212335976425</v>
      </c>
      <c r="V28" s="291"/>
    </row>
    <row r="29" spans="1:23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140577484.35999998</v>
      </c>
      <c r="H29" s="151">
        <f t="shared" ref="H29:R29" si="6">+H30+H40+H46+SUM(H47:H51)</f>
        <v>152256027.76000002</v>
      </c>
      <c r="I29" s="151">
        <f t="shared" si="6"/>
        <v>152362009.60999998</v>
      </c>
      <c r="J29" s="151">
        <f t="shared" si="6"/>
        <v>202925562.00999996</v>
      </c>
      <c r="K29" s="151">
        <f t="shared" si="6"/>
        <v>146788072.56</v>
      </c>
      <c r="L29" s="151">
        <f t="shared" si="6"/>
        <v>189259865.58000001</v>
      </c>
      <c r="M29" s="151">
        <f t="shared" si="6"/>
        <v>178471424.60999998</v>
      </c>
      <c r="N29" s="151">
        <f t="shared" si="6"/>
        <v>159491927.06</v>
      </c>
      <c r="O29" s="151">
        <f t="shared" si="6"/>
        <v>187478301.55000001</v>
      </c>
      <c r="P29" s="151">
        <f t="shared" si="6"/>
        <v>188595274.17999998</v>
      </c>
      <c r="Q29" s="151">
        <f t="shared" si="6"/>
        <v>201395904.19</v>
      </c>
      <c r="R29" s="151">
        <f t="shared" si="6"/>
        <v>370986932.47999996</v>
      </c>
      <c r="S29" s="245">
        <f t="shared" si="4"/>
        <v>2270588785.9499998</v>
      </c>
      <c r="T29" s="466">
        <f t="shared" si="3"/>
        <v>39.832095746789697</v>
      </c>
    </row>
    <row r="30" spans="1:23">
      <c r="A30" s="150">
        <v>41</v>
      </c>
      <c r="B30" s="560" t="str">
        <f>+VLOOKUP($A30,Master!$D$30:$G$226,4,FALSE)</f>
        <v>Tekući izdaci</v>
      </c>
      <c r="C30" s="561"/>
      <c r="D30" s="561"/>
      <c r="E30" s="561"/>
      <c r="F30" s="561"/>
      <c r="G30" s="187">
        <f t="shared" ref="G30:R30" si="7">+SUM(G31:G39)</f>
        <v>50888106.359999992</v>
      </c>
      <c r="H30" s="187">
        <f t="shared" si="7"/>
        <v>61673752.410000004</v>
      </c>
      <c r="I30" s="187">
        <f t="shared" si="7"/>
        <v>59813276.339999996</v>
      </c>
      <c r="J30" s="187">
        <f t="shared" si="7"/>
        <v>96810470.349999994</v>
      </c>
      <c r="K30" s="187">
        <f t="shared" si="7"/>
        <v>58712713.210000008</v>
      </c>
      <c r="L30" s="187">
        <f t="shared" si="7"/>
        <v>71876967.500000015</v>
      </c>
      <c r="M30" s="187">
        <f t="shared" si="7"/>
        <v>67798911.25999999</v>
      </c>
      <c r="N30" s="187">
        <f t="shared" si="7"/>
        <v>64013753.580000006</v>
      </c>
      <c r="O30" s="187">
        <f t="shared" si="7"/>
        <v>80373188.560000002</v>
      </c>
      <c r="P30" s="187">
        <f t="shared" si="7"/>
        <v>70488168.920000002</v>
      </c>
      <c r="Q30" s="187">
        <f t="shared" si="7"/>
        <v>81390129.499999985</v>
      </c>
      <c r="R30" s="246">
        <f t="shared" si="7"/>
        <v>160347896.06999999</v>
      </c>
      <c r="S30" s="423">
        <f t="shared" si="4"/>
        <v>924187334.05999994</v>
      </c>
      <c r="T30" s="462">
        <f t="shared" si="3"/>
        <v>16.212675146656373</v>
      </c>
      <c r="U30" s="500"/>
    </row>
    <row r="31" spans="1:23">
      <c r="A31" s="150">
        <v>411</v>
      </c>
      <c r="B31" s="552" t="str">
        <f>+VLOOKUP($A31,Master!$D$30:$G$226,4,FALSE)</f>
        <v>Bruto zarade i doprinosi na teret poslodavca</v>
      </c>
      <c r="C31" s="553"/>
      <c r="D31" s="553"/>
      <c r="E31" s="553"/>
      <c r="F31" s="553"/>
      <c r="G31" s="163">
        <v>44240125.009999998</v>
      </c>
      <c r="H31" s="163">
        <v>44550830.43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542476672.95999992</v>
      </c>
      <c r="T31" s="463">
        <f t="shared" si="3"/>
        <v>9.5164667911023777</v>
      </c>
      <c r="U31" s="500"/>
      <c r="V31" s="291"/>
    </row>
    <row r="32" spans="1:23">
      <c r="A32" s="150">
        <v>412</v>
      </c>
      <c r="B32" s="552" t="str">
        <f>+VLOOKUP($A32,Master!$D$30:$G$226,4,FALSE)</f>
        <v>Ostala lična primanja</v>
      </c>
      <c r="C32" s="553"/>
      <c r="D32" s="553"/>
      <c r="E32" s="553"/>
      <c r="F32" s="553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0.32927494298645704</v>
      </c>
      <c r="U32" s="500"/>
      <c r="V32" s="291"/>
    </row>
    <row r="33" spans="1:24">
      <c r="A33" s="150">
        <v>413</v>
      </c>
      <c r="B33" s="552" t="str">
        <f>+VLOOKUP($A33,Master!$D$30:$G$226,4,FALSE)</f>
        <v>Rashodi za materijal</v>
      </c>
      <c r="C33" s="553"/>
      <c r="D33" s="553"/>
      <c r="E33" s="553"/>
      <c r="F33" s="553"/>
      <c r="G33" s="163">
        <v>140372.01</v>
      </c>
      <c r="H33" s="163">
        <v>3489117.82</v>
      </c>
      <c r="I33" s="163">
        <v>2628375.67</v>
      </c>
      <c r="J33" s="163">
        <v>2038640.9</v>
      </c>
      <c r="K33" s="163">
        <v>1012773.5900000001</v>
      </c>
      <c r="L33" s="163">
        <v>4898255.55</v>
      </c>
      <c r="M33" s="163">
        <v>2336323.2999999998</v>
      </c>
      <c r="N33" s="163">
        <v>4632464.3099999996</v>
      </c>
      <c r="O33" s="163">
        <v>2320647.6999999997</v>
      </c>
      <c r="P33" s="163">
        <v>2181537.3199999998</v>
      </c>
      <c r="Q33" s="163">
        <v>3647509.22</v>
      </c>
      <c r="R33" s="163">
        <v>7788430.6500000004</v>
      </c>
      <c r="S33" s="242">
        <f t="shared" si="4"/>
        <v>37114448.039999999</v>
      </c>
      <c r="T33" s="463">
        <f t="shared" si="3"/>
        <v>0.6510849771945828</v>
      </c>
      <c r="U33" s="500"/>
      <c r="V33" s="291"/>
    </row>
    <row r="34" spans="1:24" s="360" customFormat="1">
      <c r="A34" s="359">
        <v>414</v>
      </c>
      <c r="B34" s="571" t="str">
        <f>+VLOOKUP($A34,Master!$D$30:$G$226,4,FALSE)</f>
        <v>Rashodi za usluge</v>
      </c>
      <c r="C34" s="572"/>
      <c r="D34" s="572"/>
      <c r="E34" s="572"/>
      <c r="F34" s="572"/>
      <c r="G34" s="163">
        <v>1078189.54</v>
      </c>
      <c r="H34" s="163">
        <v>2912682.95</v>
      </c>
      <c r="I34" s="163">
        <v>4470638.24</v>
      </c>
      <c r="J34" s="163">
        <v>6147088.3099999996</v>
      </c>
      <c r="K34" s="163">
        <v>2627107.14</v>
      </c>
      <c r="L34" s="163">
        <v>5657064.25</v>
      </c>
      <c r="M34" s="163">
        <v>3947126.9</v>
      </c>
      <c r="N34" s="163">
        <v>4242766.29</v>
      </c>
      <c r="O34" s="163">
        <v>4862742.16</v>
      </c>
      <c r="P34" s="163">
        <v>4656337.17</v>
      </c>
      <c r="Q34" s="163">
        <v>8320732.3700000001</v>
      </c>
      <c r="R34" s="163">
        <v>14670510.310000001</v>
      </c>
      <c r="S34" s="242">
        <f t="shared" si="4"/>
        <v>63592985.630000003</v>
      </c>
      <c r="T34" s="463">
        <f t="shared" si="3"/>
        <v>1.1155881276752508</v>
      </c>
      <c r="U34" s="500"/>
      <c r="V34" s="291"/>
    </row>
    <row r="35" spans="1:24">
      <c r="A35" s="150">
        <v>415</v>
      </c>
      <c r="B35" s="552" t="str">
        <f>+VLOOKUP($A35,Master!$D$30:$G$226,4,FALSE)</f>
        <v>Rashodi za tekuće održavanje</v>
      </c>
      <c r="C35" s="553"/>
      <c r="D35" s="553"/>
      <c r="E35" s="553"/>
      <c r="F35" s="553"/>
      <c r="G35" s="163">
        <v>51153.02</v>
      </c>
      <c r="H35" s="163">
        <v>1786959.03</v>
      </c>
      <c r="I35" s="163">
        <v>1812618.69</v>
      </c>
      <c r="J35" s="163">
        <v>1718005.59</v>
      </c>
      <c r="K35" s="163">
        <v>1522624.21</v>
      </c>
      <c r="L35" s="163">
        <v>1758456.51</v>
      </c>
      <c r="M35" s="163">
        <v>1897624.19</v>
      </c>
      <c r="N35" s="163">
        <v>1129451.49</v>
      </c>
      <c r="O35" s="163">
        <v>2940859.11</v>
      </c>
      <c r="P35" s="163">
        <v>1955111.39</v>
      </c>
      <c r="Q35" s="163">
        <v>2416502.7999999998</v>
      </c>
      <c r="R35" s="163">
        <v>8351347.4500000002</v>
      </c>
      <c r="S35" s="242">
        <f t="shared" si="4"/>
        <v>27340713.48</v>
      </c>
      <c r="T35" s="463">
        <f t="shared" si="3"/>
        <v>0.4796279818960073</v>
      </c>
      <c r="U35" s="500"/>
      <c r="V35" s="291"/>
    </row>
    <row r="36" spans="1:24">
      <c r="A36" s="150">
        <v>416</v>
      </c>
      <c r="B36" s="552" t="str">
        <f>+VLOOKUP($A36,Master!$D$30:$G$226,4,FALSE)</f>
        <v>Kamate</v>
      </c>
      <c r="C36" s="553"/>
      <c r="D36" s="553"/>
      <c r="E36" s="553"/>
      <c r="F36" s="553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1.6131492509297594</v>
      </c>
      <c r="U36" s="500"/>
      <c r="V36" s="291"/>
    </row>
    <row r="37" spans="1:24">
      <c r="A37" s="150">
        <v>417</v>
      </c>
      <c r="B37" s="552" t="str">
        <f>+VLOOKUP($A37,Master!$D$30:$G$226,4,FALSE)</f>
        <v>Renta</v>
      </c>
      <c r="C37" s="553"/>
      <c r="D37" s="553"/>
      <c r="E37" s="553"/>
      <c r="F37" s="553"/>
      <c r="G37" s="163">
        <v>222069.04</v>
      </c>
      <c r="H37" s="163">
        <v>743329.49</v>
      </c>
      <c r="I37" s="163">
        <v>821318.4</v>
      </c>
      <c r="J37" s="163">
        <v>1247632.42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2885819.2</v>
      </c>
      <c r="S37" s="242">
        <f t="shared" si="4"/>
        <v>12257814.830000002</v>
      </c>
      <c r="T37" s="463">
        <f t="shared" si="3"/>
        <v>0.21503429285664169</v>
      </c>
      <c r="U37" s="500"/>
      <c r="V37" s="291"/>
    </row>
    <row r="38" spans="1:24">
      <c r="A38" s="150">
        <v>418</v>
      </c>
      <c r="B38" s="552" t="str">
        <f>+VLOOKUP($A38,Master!$D$30:$G$226,4,FALSE)</f>
        <v>Subvencije</v>
      </c>
      <c r="C38" s="553"/>
      <c r="D38" s="553"/>
      <c r="E38" s="553"/>
      <c r="F38" s="553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1.2004390400673639</v>
      </c>
      <c r="U38" s="500"/>
      <c r="V38" s="291"/>
    </row>
    <row r="39" spans="1:24">
      <c r="A39" s="150">
        <v>419</v>
      </c>
      <c r="B39" s="552" t="str">
        <f>+VLOOKUP($A39,Master!$D$30:$G$226,4,FALSE)</f>
        <v>Ostali izdaci</v>
      </c>
      <c r="C39" s="553"/>
      <c r="D39" s="553"/>
      <c r="E39" s="553"/>
      <c r="F39" s="553"/>
      <c r="G39" s="163">
        <v>653504.72</v>
      </c>
      <c r="H39" s="163">
        <v>3021749.14</v>
      </c>
      <c r="I39" s="163">
        <v>3078547.62</v>
      </c>
      <c r="J39" s="163">
        <v>3065166.29</v>
      </c>
      <c r="K39" s="163">
        <v>2982573.9299999988</v>
      </c>
      <c r="L39" s="163">
        <v>4726257.42</v>
      </c>
      <c r="M39" s="163">
        <v>4637159.87</v>
      </c>
      <c r="N39" s="163">
        <v>2834575.68</v>
      </c>
      <c r="O39" s="163">
        <v>2654237.6199999996</v>
      </c>
      <c r="P39" s="163">
        <v>4806029.32</v>
      </c>
      <c r="Q39" s="163">
        <v>3940926.96</v>
      </c>
      <c r="R39" s="163">
        <v>25848194.760000002</v>
      </c>
      <c r="S39" s="242">
        <f t="shared" si="4"/>
        <v>62248923.329999998</v>
      </c>
      <c r="T39" s="463">
        <f t="shared" si="3"/>
        <v>1.0920097419479335</v>
      </c>
      <c r="U39" s="500"/>
      <c r="V39" s="291"/>
    </row>
    <row r="40" spans="1:24">
      <c r="A40" s="150">
        <v>42</v>
      </c>
      <c r="B40" s="548" t="str">
        <f>+VLOOKUP($A40,Master!$D$30:$G$226,4,FALSE)</f>
        <v>Transferi za socijalnu zaštitu</v>
      </c>
      <c r="C40" s="549"/>
      <c r="D40" s="549"/>
      <c r="E40" s="549"/>
      <c r="F40" s="549"/>
      <c r="G40" s="193">
        <f>+SUM(G41:G45)</f>
        <v>43461857.619999997</v>
      </c>
      <c r="H40" s="193">
        <f t="shared" ref="H40:Q40" si="8">+SUM(H41:H45)</f>
        <v>49030666.979999997</v>
      </c>
      <c r="I40" s="193">
        <f t="shared" si="8"/>
        <v>50283198.670000002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54392412.859999999</v>
      </c>
      <c r="O40" s="193">
        <f t="shared" si="8"/>
        <v>55114295.5</v>
      </c>
      <c r="P40" s="193">
        <f t="shared" si="8"/>
        <v>71199555.839999989</v>
      </c>
      <c r="Q40" s="193">
        <f t="shared" si="8"/>
        <v>63369274.630000003</v>
      </c>
      <c r="R40" s="247">
        <v>71605715.590000004</v>
      </c>
      <c r="S40" s="486">
        <f t="shared" si="4"/>
        <v>668385420.07000005</v>
      </c>
      <c r="T40" s="487">
        <f t="shared" si="3"/>
        <v>11.725237177566488</v>
      </c>
      <c r="U40" s="500"/>
    </row>
    <row r="41" spans="1:24">
      <c r="A41" s="150">
        <v>421</v>
      </c>
      <c r="B41" s="552" t="str">
        <f>+VLOOKUP($A41,Master!$D$30:$G$226,4,FALSE)</f>
        <v>Prava iz oblasti socijalne zaštite</v>
      </c>
      <c r="C41" s="553"/>
      <c r="D41" s="553"/>
      <c r="E41" s="553"/>
      <c r="F41" s="553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12016260.289999999</v>
      </c>
      <c r="O41" s="163">
        <v>12319371.459999999</v>
      </c>
      <c r="P41" s="163">
        <v>12711953.75</v>
      </c>
      <c r="Q41" s="163">
        <v>14820839.539999999</v>
      </c>
      <c r="R41" s="163">
        <v>15256032.029999999</v>
      </c>
      <c r="S41" s="242">
        <f t="shared" si="4"/>
        <v>136395893.81</v>
      </c>
      <c r="T41" s="463">
        <f t="shared" si="3"/>
        <v>2.3927425059644936</v>
      </c>
      <c r="U41" s="500"/>
      <c r="V41" s="291"/>
    </row>
    <row r="42" spans="1:24">
      <c r="A42" s="150">
        <v>422</v>
      </c>
      <c r="B42" s="552" t="str">
        <f>+VLOOKUP($A42,Master!$D$30:$G$226,4,FALSE)</f>
        <v>Sredstva za tehnološke viškove</v>
      </c>
      <c r="C42" s="553"/>
      <c r="D42" s="553"/>
      <c r="E42" s="553"/>
      <c r="F42" s="553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0.48629616360255418</v>
      </c>
      <c r="U42" s="500"/>
      <c r="V42" s="291"/>
    </row>
    <row r="43" spans="1:24">
      <c r="A43" s="150">
        <v>423</v>
      </c>
      <c r="B43" s="552" t="str">
        <f>+VLOOKUP($A43,Master!$D$30:$G$226,4,FALSE)</f>
        <v>Prava iz oblasti penzijskog i invalidskog osiguranja</v>
      </c>
      <c r="C43" s="553"/>
      <c r="D43" s="553"/>
      <c r="E43" s="553"/>
      <c r="F43" s="553"/>
      <c r="G43" s="163">
        <v>35149513.420000002</v>
      </c>
      <c r="H43" s="163">
        <v>36354430.689999998</v>
      </c>
      <c r="I43" s="163">
        <v>36069832.590000004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470084623.38</v>
      </c>
      <c r="T43" s="463">
        <f t="shared" si="3"/>
        <v>8.2465199526349018</v>
      </c>
      <c r="U43" s="500"/>
      <c r="V43" s="291"/>
    </row>
    <row r="44" spans="1:24">
      <c r="A44" s="150">
        <v>424</v>
      </c>
      <c r="B44" s="552" t="str">
        <f>+VLOOKUP($A44,Master!$D$30:$G$226,4,FALSE)</f>
        <v>Ostala prava iz oblasti zdravstvene zaštite</v>
      </c>
      <c r="C44" s="553"/>
      <c r="D44" s="553"/>
      <c r="E44" s="553"/>
      <c r="F44" s="553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0.29372064539330572</v>
      </c>
      <c r="U44" s="500"/>
      <c r="V44" s="291"/>
    </row>
    <row r="45" spans="1:24" s="360" customFormat="1">
      <c r="A45" s="359">
        <v>425</v>
      </c>
      <c r="B45" s="573" t="str">
        <f>+VLOOKUP($A45,Master!$D$30:$G$226,4,FALSE)</f>
        <v>Ostala prava iz zdravstvenog osiguranja</v>
      </c>
      <c r="C45" s="574"/>
      <c r="D45" s="574"/>
      <c r="E45" s="574"/>
      <c r="F45" s="574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0.30595346098519394</v>
      </c>
      <c r="U45" s="500"/>
      <c r="V45" s="291"/>
    </row>
    <row r="46" spans="1:24">
      <c r="A46" s="150">
        <v>43</v>
      </c>
      <c r="B46" s="550" t="str">
        <f>+VLOOKUP($A46,Master!$D$30:$G$226,4,FALSE)</f>
        <v xml:space="preserve">Transferi institucijama, pojedincima, nevladinom i javnom sektoru </v>
      </c>
      <c r="C46" s="551"/>
      <c r="D46" s="551"/>
      <c r="E46" s="551"/>
      <c r="F46" s="551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18685909.34</v>
      </c>
      <c r="O46" s="175">
        <v>29625279.100000001</v>
      </c>
      <c r="P46" s="175">
        <v>32210015.350000001</v>
      </c>
      <c r="Q46" s="175">
        <v>34251568.18</v>
      </c>
      <c r="R46" s="175">
        <v>74451779.75</v>
      </c>
      <c r="S46" s="243">
        <f t="shared" si="4"/>
        <v>353560769.17999995</v>
      </c>
      <c r="T46" s="464">
        <f t="shared" si="3"/>
        <v>6.2023852568240816</v>
      </c>
      <c r="U46" s="500"/>
      <c r="V46" s="291"/>
    </row>
    <row r="47" spans="1:24">
      <c r="A47" s="150">
        <v>44</v>
      </c>
      <c r="B47" s="550" t="str">
        <f>+VLOOKUP($A47,Master!$D$30:$G$226,4,FALSE)</f>
        <v>Kapitalni izdaci</v>
      </c>
      <c r="C47" s="551"/>
      <c r="D47" s="551"/>
      <c r="E47" s="551"/>
      <c r="F47" s="551"/>
      <c r="G47" s="175">
        <v>16016474.34</v>
      </c>
      <c r="H47" s="175">
        <v>11650538.710000001</v>
      </c>
      <c r="I47" s="175">
        <v>7995861.7599999998</v>
      </c>
      <c r="J47" s="175">
        <v>25620437.93</v>
      </c>
      <c r="K47" s="175">
        <v>18640717.440000001</v>
      </c>
      <c r="L47" s="175">
        <v>23469892.199999999</v>
      </c>
      <c r="M47" s="175">
        <v>25044307.620000001</v>
      </c>
      <c r="N47" s="175">
        <v>7683091.5899999999</v>
      </c>
      <c r="O47" s="175">
        <v>16121479.170000002</v>
      </c>
      <c r="P47" s="175">
        <v>11335391.99</v>
      </c>
      <c r="Q47" s="175">
        <v>20288966.399999999</v>
      </c>
      <c r="R47" s="175">
        <v>56633833.889999993</v>
      </c>
      <c r="S47" s="243">
        <f t="shared" si="4"/>
        <v>240500993.03999999</v>
      </c>
      <c r="T47" s="464">
        <f t="shared" si="3"/>
        <v>4.2190195958178371</v>
      </c>
      <c r="U47" s="500"/>
      <c r="V47" s="291"/>
      <c r="W47" s="311"/>
      <c r="X47" s="311"/>
    </row>
    <row r="48" spans="1:24">
      <c r="A48" s="150">
        <v>451</v>
      </c>
      <c r="B48" s="575" t="str">
        <f>+VLOOKUP($A48,Master!$D$30:$G$226,4,FALSE)</f>
        <v>Pozajmice i krediti</v>
      </c>
      <c r="C48" s="576"/>
      <c r="D48" s="576"/>
      <c r="E48" s="576"/>
      <c r="F48" s="576"/>
      <c r="G48" s="163">
        <v>5063275.62</v>
      </c>
      <c r="H48" s="163">
        <v>1133077.69</v>
      </c>
      <c r="I48" s="163">
        <v>130819.33</v>
      </c>
      <c r="J48" s="163">
        <v>464635.33</v>
      </c>
      <c r="K48" s="163">
        <v>722142.79</v>
      </c>
      <c r="L48" s="163">
        <v>956574.97</v>
      </c>
      <c r="M48" s="163">
        <v>271871.64</v>
      </c>
      <c r="N48" s="163">
        <v>12519446.189999999</v>
      </c>
      <c r="O48" s="163">
        <v>36205.230000000003</v>
      </c>
      <c r="P48" s="163">
        <v>1061879.26</v>
      </c>
      <c r="Q48" s="163">
        <v>245090.2</v>
      </c>
      <c r="R48" s="163">
        <v>516876.49</v>
      </c>
      <c r="S48" s="242">
        <f t="shared" si="4"/>
        <v>23121894.740000002</v>
      </c>
      <c r="T48" s="463">
        <f t="shared" si="3"/>
        <v>0.40561881166233954</v>
      </c>
      <c r="U48" s="500"/>
      <c r="V48" s="311"/>
    </row>
    <row r="49" spans="1:22" s="360" customFormat="1">
      <c r="A49" s="359">
        <v>47</v>
      </c>
      <c r="B49" s="580" t="str">
        <f>+VLOOKUP($A49,Master!$D$30:$G$226,4,FALSE)</f>
        <v>Rezerve</v>
      </c>
      <c r="C49" s="581"/>
      <c r="D49" s="581"/>
      <c r="E49" s="581"/>
      <c r="F49" s="581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0.43778908936215005</v>
      </c>
      <c r="U49" s="500"/>
    </row>
    <row r="50" spans="1:22" ht="13.5" thickBot="1">
      <c r="A50" s="150">
        <v>462</v>
      </c>
      <c r="B50" s="538" t="str">
        <f>+VLOOKUP($A50,Master!$D$30:$G$226,4,FALSE)</f>
        <v>Otplata garancija</v>
      </c>
      <c r="C50" s="539"/>
      <c r="D50" s="539"/>
      <c r="E50" s="539"/>
      <c r="F50" s="539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8.7713142937337722E-3</v>
      </c>
      <c r="U50" s="500"/>
    </row>
    <row r="51" spans="1:22" ht="13.5" thickBot="1">
      <c r="A51" s="144">
        <v>4630</v>
      </c>
      <c r="B51" s="582" t="str">
        <f>+VLOOKUP($A51,Master!$D$30:$G$226,4,TRUE)</f>
        <v>Otplata obaveza iz prethodnog perioda</v>
      </c>
      <c r="C51" s="583"/>
      <c r="D51" s="583"/>
      <c r="E51" s="583"/>
      <c r="F51" s="583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0.62059935460669424</v>
      </c>
      <c r="U51" s="500"/>
      <c r="V51" s="291"/>
    </row>
    <row r="52" spans="1:22" ht="13.5" thickBot="1">
      <c r="A52" s="70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-32762277.659999982</v>
      </c>
      <c r="H53" s="151">
        <f t="shared" si="9"/>
        <v>-27607976.100000024</v>
      </c>
      <c r="I53" s="151">
        <f t="shared" si="9"/>
        <v>31819977.600000024</v>
      </c>
      <c r="J53" s="151">
        <f t="shared" si="9"/>
        <v>-20920520.809999943</v>
      </c>
      <c r="K53" s="151">
        <f t="shared" si="9"/>
        <v>7991031.4699999988</v>
      </c>
      <c r="L53" s="151">
        <f t="shared" si="9"/>
        <v>-20144373.179999977</v>
      </c>
      <c r="M53" s="151">
        <f t="shared" si="9"/>
        <v>-12694586.150000006</v>
      </c>
      <c r="N53" s="151">
        <f t="shared" si="9"/>
        <v>36055142.659999967</v>
      </c>
      <c r="O53" s="151">
        <f t="shared" si="9"/>
        <v>-11834481.370000005</v>
      </c>
      <c r="P53" s="151">
        <f t="shared" si="9"/>
        <v>-20249484.299999982</v>
      </c>
      <c r="Q53" s="151">
        <f t="shared" si="9"/>
        <v>-38908353.359999985</v>
      </c>
      <c r="R53" s="151">
        <f t="shared" si="9"/>
        <v>-150959829.03999993</v>
      </c>
      <c r="S53" s="248">
        <f>SUM(G53:R53)</f>
        <v>-260215730.23999983</v>
      </c>
      <c r="T53" s="469">
        <f t="shared" si="3"/>
        <v>-4.5648679082169643</v>
      </c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-28907515.409999982</v>
      </c>
      <c r="H54" s="205">
        <f t="shared" si="10"/>
        <v>-26337631.910000023</v>
      </c>
      <c r="I54" s="205">
        <f t="shared" si="10"/>
        <v>32769060.160000023</v>
      </c>
      <c r="J54" s="205">
        <f t="shared" si="10"/>
        <v>6275100.2600000575</v>
      </c>
      <c r="K54" s="205">
        <f t="shared" si="10"/>
        <v>12579505.25</v>
      </c>
      <c r="L54" s="205">
        <f t="shared" si="10"/>
        <v>-18927574.149999976</v>
      </c>
      <c r="M54" s="205">
        <f t="shared" si="10"/>
        <v>-8910523.3300000057</v>
      </c>
      <c r="N54" s="205">
        <f t="shared" si="10"/>
        <v>37386207.239999965</v>
      </c>
      <c r="O54" s="205">
        <f t="shared" si="10"/>
        <v>1730051.4599999953</v>
      </c>
      <c r="P54" s="205">
        <f t="shared" si="10"/>
        <v>-19402352.019999981</v>
      </c>
      <c r="Q54" s="205">
        <f t="shared" si="10"/>
        <v>-28659877.819999985</v>
      </c>
      <c r="R54" s="205">
        <f t="shared" si="10"/>
        <v>-127854220.06999993</v>
      </c>
      <c r="S54" s="248">
        <f t="shared" si="4"/>
        <v>-168259770.33999985</v>
      </c>
      <c r="T54" s="469">
        <f t="shared" si="3"/>
        <v>-2.9517186572872052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5.1150216332187215</v>
      </c>
    </row>
    <row r="56" spans="1:22">
      <c r="A56" s="144">
        <v>4611</v>
      </c>
      <c r="B56" s="536" t="str">
        <f>+VLOOKUP($A56,Master!$D$30:$G$226,4,FALSE)</f>
        <v>Otplata hartija od vrijednosti i kredita rezidentima</v>
      </c>
      <c r="C56" s="537"/>
      <c r="D56" s="537"/>
      <c r="E56" s="537"/>
      <c r="F56" s="537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0.71088631903024346</v>
      </c>
      <c r="V56" s="291"/>
    </row>
    <row r="57" spans="1:22" ht="13.5" thickBot="1">
      <c r="A57" s="144">
        <v>4612</v>
      </c>
      <c r="B57" s="520" t="str">
        <f>+VLOOKUP($A57,Master!$D$30:$G$226,4,FALSE)</f>
        <v>Otplata hartija od vrijednosti i kredita nerezidentima</v>
      </c>
      <c r="C57" s="521"/>
      <c r="D57" s="521"/>
      <c r="E57" s="521"/>
      <c r="F57" s="521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4.404135314188478</v>
      </c>
      <c r="V57" s="291"/>
    </row>
    <row r="58" spans="1:22" ht="13.5" thickBot="1">
      <c r="A58" s="144">
        <v>4418</v>
      </c>
      <c r="B58" s="558" t="str">
        <f>+VLOOKUP($A58,Master!$D$30:$G$226,4,FALSE)</f>
        <v>Izdaci za kupovinu hartija od vrijednosti</v>
      </c>
      <c r="C58" s="559"/>
      <c r="D58" s="559"/>
      <c r="E58" s="559"/>
      <c r="F58" s="559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0.4858038351694618</v>
      </c>
      <c r="V58" s="291"/>
    </row>
    <row r="59" spans="1:22" ht="13.5" thickBot="1">
      <c r="A59" s="144">
        <v>1002</v>
      </c>
      <c r="B59" s="540" t="str">
        <f>+VLOOKUP($A59,Master!$D$30:$G$226,4,FALSE)</f>
        <v>Nedostajuća sredstva</v>
      </c>
      <c r="C59" s="541"/>
      <c r="D59" s="541"/>
      <c r="E59" s="541"/>
      <c r="F59" s="541"/>
      <c r="G59" s="217">
        <f>+G53-G55-G58</f>
        <v>-61193536.62999998</v>
      </c>
      <c r="H59" s="217">
        <f t="shared" ref="H59:R59" si="12">+H53-H55-H58</f>
        <v>-41816977.230000027</v>
      </c>
      <c r="I59" s="217">
        <f t="shared" si="12"/>
        <v>20148294.610000022</v>
      </c>
      <c r="J59" s="217">
        <f t="shared" si="12"/>
        <v>-78394746.439999938</v>
      </c>
      <c r="K59" s="217">
        <f t="shared" si="12"/>
        <v>-31090954.68</v>
      </c>
      <c r="L59" s="217">
        <f t="shared" si="12"/>
        <v>-31772549.749999978</v>
      </c>
      <c r="M59" s="217">
        <f t="shared" si="12"/>
        <v>-43094195.570000008</v>
      </c>
      <c r="N59" s="217">
        <f t="shared" si="12"/>
        <v>22109675.229999967</v>
      </c>
      <c r="O59" s="217">
        <f t="shared" si="12"/>
        <v>-36893795.300000004</v>
      </c>
      <c r="P59" s="217">
        <f t="shared" si="12"/>
        <v>-26307764.37999998</v>
      </c>
      <c r="Q59" s="217">
        <f t="shared" si="12"/>
        <v>-96672638.73999998</v>
      </c>
      <c r="R59" s="217">
        <f t="shared" si="12"/>
        <v>-174505996.35999995</v>
      </c>
      <c r="S59" s="251">
        <f t="shared" si="4"/>
        <v>-579485185.24000001</v>
      </c>
      <c r="T59" s="473">
        <f t="shared" si="3"/>
        <v>-10.16569337660515</v>
      </c>
    </row>
    <row r="60" spans="1:22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61193536.62999998</v>
      </c>
      <c r="H60" s="151">
        <f t="shared" ref="H60:R60" si="13">+SUM(H61:H64)</f>
        <v>41816977.230000027</v>
      </c>
      <c r="I60" s="151">
        <f t="shared" si="13"/>
        <v>-20148294.610000022</v>
      </c>
      <c r="J60" s="151">
        <f t="shared" si="13"/>
        <v>78394746.439999938</v>
      </c>
      <c r="K60" s="151">
        <f t="shared" si="13"/>
        <v>31090954.68</v>
      </c>
      <c r="L60" s="151">
        <f t="shared" si="13"/>
        <v>31772549.749999978</v>
      </c>
      <c r="M60" s="151">
        <f t="shared" si="13"/>
        <v>43094195.570000008</v>
      </c>
      <c r="N60" s="151">
        <f t="shared" si="13"/>
        <v>-22109675.229999967</v>
      </c>
      <c r="O60" s="151">
        <f t="shared" si="13"/>
        <v>36893795.300000004</v>
      </c>
      <c r="P60" s="151">
        <f t="shared" si="13"/>
        <v>26307764.37999998</v>
      </c>
      <c r="Q60" s="151">
        <f t="shared" si="13"/>
        <v>96672638.73999998</v>
      </c>
      <c r="R60" s="151">
        <f t="shared" si="13"/>
        <v>174505996.35999995</v>
      </c>
      <c r="S60" s="252">
        <f t="shared" si="4"/>
        <v>579485185.24000001</v>
      </c>
      <c r="T60" s="474">
        <f t="shared" si="3"/>
        <v>10.16569337660515</v>
      </c>
    </row>
    <row r="61" spans="1:22">
      <c r="A61" s="144">
        <v>7511</v>
      </c>
      <c r="B61" s="536" t="str">
        <f>+VLOOKUP($A61,Master!$D$30:$G$226,4,FALSE)</f>
        <v>Pozajmice i krediti od domaćih izvora</v>
      </c>
      <c r="C61" s="537"/>
      <c r="D61" s="537"/>
      <c r="E61" s="537"/>
      <c r="F61" s="537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52000000</v>
      </c>
      <c r="R61" s="211">
        <v>53000000</v>
      </c>
      <c r="S61" s="250">
        <f t="shared" si="4"/>
        <v>105000000</v>
      </c>
      <c r="T61" s="471">
        <f t="shared" si="3"/>
        <v>1.8419760016840925</v>
      </c>
      <c r="V61" s="291"/>
    </row>
    <row r="62" spans="1:22">
      <c r="A62" s="144">
        <v>7512</v>
      </c>
      <c r="B62" s="520" t="str">
        <f>+VLOOKUP($A62,Master!$D$30:$G$226,4,FALSE)</f>
        <v>Pozajmice i krediti od inostranih izvora</v>
      </c>
      <c r="C62" s="521"/>
      <c r="D62" s="521"/>
      <c r="E62" s="521"/>
      <c r="F62" s="521"/>
      <c r="G62" s="211">
        <v>17854744.760000002</v>
      </c>
      <c r="H62" s="211">
        <v>11882727.800000001</v>
      </c>
      <c r="I62" s="211">
        <v>1402734.23</v>
      </c>
      <c r="J62" s="211">
        <v>8517591.6899999995</v>
      </c>
      <c r="K62" s="211">
        <v>11751788.779999999</v>
      </c>
      <c r="L62" s="211">
        <v>22366566.559999999</v>
      </c>
      <c r="M62" s="211">
        <v>8724081.3399999999</v>
      </c>
      <c r="N62" s="211">
        <v>15376543.26</v>
      </c>
      <c r="O62" s="211">
        <v>2997713.2</v>
      </c>
      <c r="P62" s="211">
        <v>885932.07</v>
      </c>
      <c r="Q62" s="211">
        <v>1836259.97</v>
      </c>
      <c r="R62" s="211">
        <v>7590650.9500000002</v>
      </c>
      <c r="S62" s="250">
        <f t="shared" si="4"/>
        <v>111187334.61000001</v>
      </c>
      <c r="T62" s="471">
        <f t="shared" si="3"/>
        <v>1.9505181146937061</v>
      </c>
      <c r="V62" s="291"/>
    </row>
    <row r="63" spans="1:22">
      <c r="A63" s="144">
        <v>72</v>
      </c>
      <c r="B63" s="520" t="str">
        <f>+VLOOKUP($A63,Master!$D$30:$G$226,4,FALSE)</f>
        <v>Primici od prodaje imovine</v>
      </c>
      <c r="C63" s="521"/>
      <c r="D63" s="521"/>
      <c r="E63" s="521"/>
      <c r="F63" s="521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363375.9</v>
      </c>
      <c r="R63" s="211">
        <v>148667.54</v>
      </c>
      <c r="S63" s="250">
        <f t="shared" si="4"/>
        <v>4515414.7</v>
      </c>
      <c r="T63" s="471">
        <f t="shared" si="3"/>
        <v>7.9212243000491192E-2</v>
      </c>
      <c r="V63" s="29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42628578.889999978</v>
      </c>
      <c r="H64" s="225">
        <f t="shared" ref="H64:L64" si="14">-H59-SUM(H61:H63)</f>
        <v>29863710.210000023</v>
      </c>
      <c r="I64" s="225">
        <f t="shared" si="14"/>
        <v>-21934821.320000023</v>
      </c>
      <c r="J64" s="225">
        <f t="shared" si="14"/>
        <v>69110887.009999931</v>
      </c>
      <c r="K64" s="225">
        <f t="shared" si="14"/>
        <v>19312752.27</v>
      </c>
      <c r="L64" s="225">
        <f t="shared" si="14"/>
        <v>9162487.7999999784</v>
      </c>
      <c r="M64" s="225">
        <f t="shared" ref="M64:R64" si="15">-M59-SUM(M61:M63)</f>
        <v>34160485.530000009</v>
      </c>
      <c r="N64" s="225">
        <f t="shared" si="15"/>
        <v>-37799282.989999965</v>
      </c>
      <c r="O64" s="225">
        <f t="shared" si="15"/>
        <v>33190992.540000003</v>
      </c>
      <c r="P64" s="225">
        <f t="shared" si="15"/>
        <v>24846965.249999981</v>
      </c>
      <c r="Q64" s="225">
        <f t="shared" si="15"/>
        <v>42473002.869999982</v>
      </c>
      <c r="R64" s="225">
        <f t="shared" si="15"/>
        <v>113766677.86999995</v>
      </c>
      <c r="S64" s="253">
        <f>+SUM(G64:R64)</f>
        <v>358782435.92999983</v>
      </c>
      <c r="T64" s="475">
        <f t="shared" si="3"/>
        <v>6.2939870172268586</v>
      </c>
    </row>
    <row r="65" spans="7:18">
      <c r="R65" s="312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7" spans="7:18">
      <c r="Q77" s="311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92" t="str">
        <f>+Master!G253</f>
        <v>Plan ostvarenja budžeta</v>
      </c>
      <c r="C81" s="593"/>
      <c r="D81" s="593"/>
      <c r="E81" s="593"/>
      <c r="F81" s="593"/>
      <c r="G81" s="577">
        <v>2022</v>
      </c>
      <c r="H81" s="578"/>
      <c r="I81" s="578"/>
      <c r="J81" s="578"/>
      <c r="K81" s="578"/>
      <c r="L81" s="578"/>
      <c r="M81" s="578"/>
      <c r="N81" s="578"/>
      <c r="O81" s="578"/>
      <c r="P81" s="578"/>
      <c r="Q81" s="578"/>
      <c r="R81" s="579"/>
      <c r="S81" s="107" t="str">
        <f>+S7</f>
        <v>BDP</v>
      </c>
      <c r="T81" s="108">
        <v>5700400000</v>
      </c>
    </row>
    <row r="82" spans="1:26" ht="15.75" customHeight="1">
      <c r="B82" s="594"/>
      <c r="C82" s="595"/>
      <c r="D82" s="595"/>
      <c r="E82" s="595"/>
      <c r="F82" s="596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577" t="str">
        <f>+Master!G247</f>
        <v>Jan - Dec</v>
      </c>
      <c r="T82" s="579">
        <f>+T8</f>
        <v>0</v>
      </c>
    </row>
    <row r="83" spans="1:26" ht="13.5" thickBot="1">
      <c r="B83" s="597"/>
      <c r="C83" s="598"/>
      <c r="D83" s="598"/>
      <c r="E83" s="598"/>
      <c r="F83" s="599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86" t="str">
        <f>+VLOOKUP(LEFT($A84,LEN(A84)-1)*1,Master!$D$30:$G$226,4,FALSE)</f>
        <v>Prihodi budžeta</v>
      </c>
      <c r="C84" s="587"/>
      <c r="D84" s="587"/>
      <c r="E84" s="587"/>
      <c r="F84" s="587"/>
      <c r="G84" s="93">
        <f t="shared" ref="G84:Q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>+R85+R93+SUM(R98:R102)</f>
        <v>196108732.88999999</v>
      </c>
      <c r="S84" s="452">
        <f>+SUM(G84:R84)</f>
        <v>1931027140.8600001</v>
      </c>
      <c r="T84" s="476">
        <f>+S84/$T$81*100</f>
        <v>33.875291924426357</v>
      </c>
      <c r="U84" s="258"/>
    </row>
    <row r="85" spans="1:26">
      <c r="A85" s="116" t="str">
        <f t="shared" si="18"/>
        <v>711p</v>
      </c>
      <c r="B85" s="588" t="str">
        <f>+VLOOKUP(LEFT($A85,LEN(A85)-1)*1,Master!$D$30:$G$226,4,FALSE)</f>
        <v>Porezi</v>
      </c>
      <c r="C85" s="589"/>
      <c r="D85" s="589"/>
      <c r="E85" s="589"/>
      <c r="F85" s="589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2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90" t="str">
        <f>+VLOOKUP(LEFT($A86,LEN(A86)-1)*1,Master!$D$30:$G$229,4,FALSE)</f>
        <v>Porez na dohodak fizičkih lica</v>
      </c>
      <c r="C86" s="591"/>
      <c r="D86" s="591"/>
      <c r="E86" s="591"/>
      <c r="F86" s="591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3">
        <f t="shared" si="22"/>
        <v>1.6628638746403763</v>
      </c>
      <c r="V86" s="311"/>
    </row>
    <row r="87" spans="1:26">
      <c r="A87" s="116" t="str">
        <f t="shared" si="18"/>
        <v>7112p</v>
      </c>
      <c r="B87" s="590" t="str">
        <f>+VLOOKUP(LEFT($A87,LEN(A87)-1)*1,Master!$D$30:$G$229,4,FALSE)</f>
        <v>Porez na dobit pravnih lica</v>
      </c>
      <c r="C87" s="591"/>
      <c r="D87" s="591"/>
      <c r="E87" s="591"/>
      <c r="F87" s="591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3">
        <f t="shared" si="22"/>
        <v>1.4785690221738825</v>
      </c>
      <c r="V87" s="311"/>
    </row>
    <row r="88" spans="1:26">
      <c r="A88" s="116" t="str">
        <f t="shared" si="18"/>
        <v>7113p</v>
      </c>
      <c r="B88" s="590" t="str">
        <f>+VLOOKUP(LEFT($A88,LEN(A88)-1)*1,Master!$D$30:$G$229,4,FALSE)</f>
        <v>Porez na promet nepokretnosti</v>
      </c>
      <c r="C88" s="591"/>
      <c r="D88" s="591"/>
      <c r="E88" s="591"/>
      <c r="F88" s="591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3">
        <f t="shared" si="22"/>
        <v>2.5990563293803944E-2</v>
      </c>
      <c r="V88" s="311"/>
    </row>
    <row r="89" spans="1:26">
      <c r="A89" s="116" t="str">
        <f t="shared" si="18"/>
        <v>7114p</v>
      </c>
      <c r="B89" s="590" t="str">
        <f>+VLOOKUP(LEFT($A89,LEN(A89)-1)*1,Master!$D$30:$G$229,4,FALSE)</f>
        <v>Porez na dodatu vrijednost</v>
      </c>
      <c r="C89" s="591"/>
      <c r="D89" s="591"/>
      <c r="E89" s="591"/>
      <c r="F89" s="591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3">
        <f t="shared" si="22"/>
        <v>14.294050535927305</v>
      </c>
      <c r="V89" s="311"/>
    </row>
    <row r="90" spans="1:26">
      <c r="A90" s="116" t="str">
        <f t="shared" si="18"/>
        <v>7115p</v>
      </c>
      <c r="B90" s="590" t="str">
        <f>+VLOOKUP(LEFT($A90,LEN(A90)-1)*1,Master!$D$30:$G$229,4,FALSE)</f>
        <v>Akcize</v>
      </c>
      <c r="C90" s="591"/>
      <c r="D90" s="591"/>
      <c r="E90" s="591"/>
      <c r="F90" s="591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3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90" t="str">
        <f>+VLOOKUP(LEFT($A91,LEN(A91)-1)*1,Master!$D$30:$G$229,4,FALSE)</f>
        <v>Porez na međunarodnu trgovinu i transakcije</v>
      </c>
      <c r="C91" s="591"/>
      <c r="D91" s="591"/>
      <c r="E91" s="591"/>
      <c r="F91" s="591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3">
        <f t="shared" si="22"/>
        <v>0.52044508578345383</v>
      </c>
      <c r="V91" s="311"/>
    </row>
    <row r="92" spans="1:26">
      <c r="A92" s="116" t="str">
        <f t="shared" si="18"/>
        <v>7118p</v>
      </c>
      <c r="B92" s="590" t="str">
        <f>+VLOOKUP(LEFT($A92,LEN(A92)-1)*1,Master!$D$30:$G$229,4,FALSE)</f>
        <v>Ostali državni porezi</v>
      </c>
      <c r="C92" s="591"/>
      <c r="D92" s="591"/>
      <c r="E92" s="591"/>
      <c r="F92" s="591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3">
        <f t="shared" si="22"/>
        <v>0.2036292963651673</v>
      </c>
      <c r="V92" s="311"/>
    </row>
    <row r="93" spans="1:26">
      <c r="A93" s="116" t="str">
        <f t="shared" si="18"/>
        <v>712p</v>
      </c>
      <c r="B93" s="600" t="str">
        <f>+VLOOKUP(LEFT($A93,LEN(A93)-1)*1,Master!$D$30:$G$229,4,FALSE)</f>
        <v>Doprinosi</v>
      </c>
      <c r="C93" s="601"/>
      <c r="D93" s="601"/>
      <c r="E93" s="601"/>
      <c r="F93" s="601"/>
      <c r="G93" s="81">
        <f>+SUM(G94:G97)</f>
        <v>11731802.159999998</v>
      </c>
      <c r="H93" s="81">
        <f t="shared" ref="H93:R93" si="23">+SUM(H94:H97)</f>
        <v>34984293.990000002</v>
      </c>
      <c r="I93" s="479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4">
        <f t="shared" si="22"/>
        <v>8.3865217886464105</v>
      </c>
      <c r="V93" s="311"/>
    </row>
    <row r="94" spans="1:26">
      <c r="A94" s="116" t="str">
        <f t="shared" si="18"/>
        <v>7121p</v>
      </c>
      <c r="B94" s="590" t="str">
        <f>+VLOOKUP(LEFT($A94,LEN(A94)-1)*1,Master!$D$30:$G$229,4,FALSE)</f>
        <v>Doprinosi za penzijsko i invalidsko osiguranje</v>
      </c>
      <c r="C94" s="591"/>
      <c r="D94" s="591"/>
      <c r="E94" s="591"/>
      <c r="F94" s="591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3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90" t="str">
        <f>+VLOOKUP(LEFT($A95,LEN(A95)-1)*1,Master!$D$30:$G$229,4,FALSE)</f>
        <v>Doprinosi za zdravstveno osiguranje</v>
      </c>
      <c r="C95" s="591"/>
      <c r="D95" s="591"/>
      <c r="E95" s="591"/>
      <c r="F95" s="591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3">
        <f t="shared" si="22"/>
        <v>0.39427960774682491</v>
      </c>
      <c r="V95" s="311"/>
    </row>
    <row r="96" spans="1:26">
      <c r="A96" s="116" t="str">
        <f t="shared" si="18"/>
        <v>7123p</v>
      </c>
      <c r="B96" s="590" t="str">
        <f>+VLOOKUP(LEFT($A96,LEN(A96)-1)*1,Master!$D$30:$G$229,4,FALSE)</f>
        <v>Doprinosi za osiguranje od nezaposlenosti</v>
      </c>
      <c r="C96" s="591"/>
      <c r="D96" s="591"/>
      <c r="E96" s="591"/>
      <c r="F96" s="591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3">
        <f t="shared" si="22"/>
        <v>0.36231755911865848</v>
      </c>
      <c r="V96" s="311"/>
    </row>
    <row r="97" spans="1:23">
      <c r="A97" s="116" t="str">
        <f t="shared" si="18"/>
        <v>7124p</v>
      </c>
      <c r="B97" s="590" t="str">
        <f>+VLOOKUP(LEFT($A97,LEN(A97)-1)*1,Master!$D$30:$G$229,4,FALSE)</f>
        <v>Ostali doprinosi</v>
      </c>
      <c r="C97" s="591"/>
      <c r="D97" s="591"/>
      <c r="E97" s="591"/>
      <c r="F97" s="591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3">
        <f t="shared" si="22"/>
        <v>0.28264751964774393</v>
      </c>
      <c r="V97" s="311"/>
    </row>
    <row r="98" spans="1:23">
      <c r="A98" s="116" t="str">
        <f t="shared" si="18"/>
        <v>713p</v>
      </c>
      <c r="B98" s="600" t="str">
        <f>+VLOOKUP(LEFT($A98,LEN(A98)-1)*1,Master!$D$30:$G$229,4,FALSE)</f>
        <v>Takse</v>
      </c>
      <c r="C98" s="601"/>
      <c r="D98" s="601"/>
      <c r="E98" s="601"/>
      <c r="F98" s="601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4">
        <f t="shared" si="22"/>
        <v>0.23465990369096892</v>
      </c>
      <c r="V98" s="311"/>
    </row>
    <row r="99" spans="1:23">
      <c r="A99" s="116" t="str">
        <f t="shared" si="18"/>
        <v>714p</v>
      </c>
      <c r="B99" s="600" t="str">
        <f>+VLOOKUP(LEFT($A99,LEN(A99)-1)*1,Master!$D$30:$G$229,4,FALSE)</f>
        <v>Naknade</v>
      </c>
      <c r="C99" s="601"/>
      <c r="D99" s="601"/>
      <c r="E99" s="601"/>
      <c r="F99" s="601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4">
        <f t="shared" si="22"/>
        <v>0.96000005824152701</v>
      </c>
      <c r="V99" s="311"/>
    </row>
    <row r="100" spans="1:23">
      <c r="A100" s="116" t="str">
        <f t="shared" si="18"/>
        <v>715p</v>
      </c>
      <c r="B100" s="600" t="str">
        <f>+VLOOKUP(LEFT($A100,LEN(A100)-1)*1,Master!$D$30:$G$229,4,FALSE)</f>
        <v>Ostali prihodi</v>
      </c>
      <c r="C100" s="601"/>
      <c r="D100" s="601"/>
      <c r="E100" s="601"/>
      <c r="F100" s="601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4">
        <f t="shared" si="22"/>
        <v>0.53759870167005819</v>
      </c>
      <c r="V100" s="311"/>
    </row>
    <row r="101" spans="1:23">
      <c r="A101" s="116" t="str">
        <f t="shared" si="18"/>
        <v>73p</v>
      </c>
      <c r="B101" s="600" t="str">
        <f>+VLOOKUP(LEFT($A101,LEN(A101)-1)*1,Master!$D$30:$G$229,4,FALSE)</f>
        <v>Primici od otplate kredita i sredstva prenesena iz prethodne godine</v>
      </c>
      <c r="C101" s="601"/>
      <c r="D101" s="601"/>
      <c r="E101" s="601"/>
      <c r="F101" s="601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4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602" t="str">
        <f>+VLOOKUP(LEFT($A102,LEN(A102)-1)*1,Master!$D$30:$G$229,4,FALSE)</f>
        <v>Donacije i transferi</v>
      </c>
      <c r="C102" s="603"/>
      <c r="D102" s="603"/>
      <c r="E102" s="603"/>
      <c r="F102" s="603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5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86" t="str">
        <f>+VLOOKUP(LEFT($A103,LEN(A103)-1)*1,Master!$D$30:$G$229,4,FALSE)</f>
        <v>Izdaci budžeta</v>
      </c>
      <c r="C103" s="587"/>
      <c r="D103" s="587"/>
      <c r="E103" s="587"/>
      <c r="F103" s="587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0">
        <f>+SUM(G103:R103)</f>
        <v>2384264044.0300002</v>
      </c>
      <c r="T103" s="477">
        <f t="shared" si="22"/>
        <v>41.826258578871659</v>
      </c>
      <c r="V103" s="291"/>
    </row>
    <row r="104" spans="1:23">
      <c r="A104" s="116" t="str">
        <f t="shared" si="18"/>
        <v>41p</v>
      </c>
      <c r="B104" s="604" t="str">
        <f>+VLOOKUP(LEFT($A104,LEN(A104)-1)*1,Master!$D$30:$G$229,4,FALSE)</f>
        <v>Tekući izdaci</v>
      </c>
      <c r="C104" s="605"/>
      <c r="D104" s="605"/>
      <c r="E104" s="605"/>
      <c r="F104" s="605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2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90" t="str">
        <f>+VLOOKUP(LEFT($A105,LEN(A105)-1)*1,Master!$D$30:$G$229,4,FALSE)</f>
        <v>Bruto zarade i doprinosi na teret poslodavca</v>
      </c>
      <c r="C105" s="591"/>
      <c r="D105" s="591"/>
      <c r="E105" s="591"/>
      <c r="F105" s="591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3">
        <f t="shared" si="22"/>
        <v>9.828236431829346</v>
      </c>
      <c r="V105" s="311"/>
    </row>
    <row r="106" spans="1:23">
      <c r="A106" s="116" t="str">
        <f t="shared" si="18"/>
        <v>412p</v>
      </c>
      <c r="B106" s="590" t="str">
        <f>+VLOOKUP(LEFT($A106,LEN(A106)-1)*1,Master!$D$30:$G$229,4,FALSE)</f>
        <v>Ostala lična primanja</v>
      </c>
      <c r="C106" s="591"/>
      <c r="D106" s="591"/>
      <c r="E106" s="591"/>
      <c r="F106" s="591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3">
        <f t="shared" si="22"/>
        <v>0.33874638200828017</v>
      </c>
      <c r="V106" s="311"/>
    </row>
    <row r="107" spans="1:23">
      <c r="A107" s="116" t="str">
        <f t="shared" si="18"/>
        <v>413p</v>
      </c>
      <c r="B107" s="590" t="str">
        <f>+VLOOKUP(LEFT($A107,LEN(A107)-1)*1,Master!$D$30:$G$229,4,FALSE)</f>
        <v>Rashodi za materijal</v>
      </c>
      <c r="C107" s="591"/>
      <c r="D107" s="591"/>
      <c r="E107" s="591"/>
      <c r="F107" s="591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3">
        <f t="shared" si="22"/>
        <v>0.84524817293523258</v>
      </c>
      <c r="V107" s="311"/>
    </row>
    <row r="108" spans="1:23">
      <c r="A108" s="116" t="str">
        <f t="shared" si="18"/>
        <v>414p</v>
      </c>
      <c r="B108" s="590" t="str">
        <f>+VLOOKUP(LEFT($A108,LEN(A108)-1)*1,Master!$D$30:$G$229,4,FALSE)</f>
        <v>Rashodi za usluge</v>
      </c>
      <c r="C108" s="591"/>
      <c r="D108" s="591"/>
      <c r="E108" s="591"/>
      <c r="F108" s="591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3">
        <f t="shared" si="22"/>
        <v>1.1608803850606979</v>
      </c>
      <c r="V108" s="311"/>
    </row>
    <row r="109" spans="1:23">
      <c r="A109" s="116" t="str">
        <f t="shared" si="18"/>
        <v>415p</v>
      </c>
      <c r="B109" s="590" t="str">
        <f>+VLOOKUP(LEFT($A109,LEN(A109)-1)*1,Master!$D$30:$G$229,4,FALSE)</f>
        <v>Rashodi za tekuće održavanje</v>
      </c>
      <c r="C109" s="591"/>
      <c r="D109" s="591"/>
      <c r="E109" s="591"/>
      <c r="F109" s="591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3">
        <f t="shared" si="22"/>
        <v>0.49123141691811095</v>
      </c>
      <c r="V109" s="311"/>
    </row>
    <row r="110" spans="1:23">
      <c r="A110" s="116" t="str">
        <f t="shared" si="18"/>
        <v>416p</v>
      </c>
      <c r="B110" s="590" t="str">
        <f>+VLOOKUP(LEFT($A110,LEN(A110)-1)*1,Master!$D$30:$G$229,4,FALSE)</f>
        <v>Kamate</v>
      </c>
      <c r="C110" s="591"/>
      <c r="D110" s="591"/>
      <c r="E110" s="591"/>
      <c r="F110" s="591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3">
        <f t="shared" si="22"/>
        <v>1.6215886729001472</v>
      </c>
      <c r="V110" s="311"/>
    </row>
    <row r="111" spans="1:23">
      <c r="A111" s="116" t="str">
        <f t="shared" si="18"/>
        <v>417p</v>
      </c>
      <c r="B111" s="590" t="str">
        <f>+VLOOKUP(LEFT($A111,LEN(A111)-1)*1,Master!$D$30:$G$229,4,FALSE)</f>
        <v>Renta</v>
      </c>
      <c r="C111" s="591"/>
      <c r="D111" s="591"/>
      <c r="E111" s="591"/>
      <c r="F111" s="591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3">
        <f t="shared" si="22"/>
        <v>0.20478580432952073</v>
      </c>
      <c r="V111" s="311"/>
    </row>
    <row r="112" spans="1:23">
      <c r="A112" s="116" t="str">
        <f t="shared" si="18"/>
        <v>418p</v>
      </c>
      <c r="B112" s="590" t="str">
        <f>+VLOOKUP(LEFT($A112,LEN(A112)-1)*1,Master!$D$30:$G$229,4,FALSE)</f>
        <v>Subvencije</v>
      </c>
      <c r="C112" s="591"/>
      <c r="D112" s="591"/>
      <c r="E112" s="591"/>
      <c r="F112" s="591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3">
        <f t="shared" si="22"/>
        <v>1.1723845516104137</v>
      </c>
      <c r="V112" s="311"/>
    </row>
    <row r="113" spans="1:22">
      <c r="A113" s="116" t="str">
        <f t="shared" si="18"/>
        <v>419p</v>
      </c>
      <c r="B113" s="590" t="str">
        <f>+VLOOKUP(LEFT($A113,LEN(A113)-1)*1,Master!$D$30:$G$229,4,FALSE)</f>
        <v>Ostali izdaci</v>
      </c>
      <c r="C113" s="591"/>
      <c r="D113" s="591"/>
      <c r="E113" s="591"/>
      <c r="F113" s="591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3">
        <f t="shared" si="22"/>
        <v>1.1380142535611533</v>
      </c>
      <c r="V113" s="311"/>
    </row>
    <row r="114" spans="1:22">
      <c r="A114" s="116" t="str">
        <f t="shared" si="18"/>
        <v>42p</v>
      </c>
      <c r="B114" s="610" t="str">
        <f>+VLOOKUP(LEFT($A114,LEN(A114)-1)*1,Master!$D$30:$G$229,4,FALSE)</f>
        <v>Transferi za socijalnu zaštitu</v>
      </c>
      <c r="C114" s="611"/>
      <c r="D114" s="611"/>
      <c r="E114" s="611"/>
      <c r="F114" s="611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4">
        <f t="shared" si="22"/>
        <v>12.245424980703106</v>
      </c>
      <c r="V114" s="311"/>
    </row>
    <row r="115" spans="1:22">
      <c r="A115" s="116" t="str">
        <f t="shared" si="18"/>
        <v>421p</v>
      </c>
      <c r="B115" s="590" t="str">
        <f>+VLOOKUP(LEFT($A115,LEN(A115)-1)*1,Master!$D$30:$G$229,4,FALSE)</f>
        <v>Prava iz oblasti socijalne zaštite</v>
      </c>
      <c r="C115" s="591"/>
      <c r="D115" s="591"/>
      <c r="E115" s="591"/>
      <c r="F115" s="591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3">
        <f t="shared" si="22"/>
        <v>2.5412251771805487</v>
      </c>
      <c r="V115" s="311"/>
    </row>
    <row r="116" spans="1:22">
      <c r="A116" s="116" t="str">
        <f t="shared" si="18"/>
        <v>422p</v>
      </c>
      <c r="B116" s="590" t="str">
        <f>+VLOOKUP(LEFT($A116,LEN(A116)-1)*1,Master!$D$30:$G$229,4,FALSE)</f>
        <v>Sredstva za tehnološke viškove</v>
      </c>
      <c r="C116" s="591"/>
      <c r="D116" s="591"/>
      <c r="E116" s="591"/>
      <c r="F116" s="591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3">
        <f t="shared" si="22"/>
        <v>0.52695404357588937</v>
      </c>
      <c r="V116" s="311"/>
    </row>
    <row r="117" spans="1:22">
      <c r="A117" s="116" t="str">
        <f t="shared" si="18"/>
        <v>423p</v>
      </c>
      <c r="B117" s="590" t="str">
        <f>+VLOOKUP(LEFT($A117,LEN(A117)-1)*1,Master!$D$30:$G$229,4,FALSE)</f>
        <v>Prava iz oblasti penzijskog i invalidskog osiguranja</v>
      </c>
      <c r="C117" s="591"/>
      <c r="D117" s="591"/>
      <c r="E117" s="591"/>
      <c r="F117" s="591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3">
        <f t="shared" si="22"/>
        <v>8.6844713744649518</v>
      </c>
      <c r="V117" s="311"/>
    </row>
    <row r="118" spans="1:22">
      <c r="A118" s="116" t="str">
        <f t="shared" si="18"/>
        <v>424p</v>
      </c>
      <c r="B118" s="590" t="str">
        <f>+VLOOKUP(LEFT($A118,LEN(A118)-1)*1,Master!$D$30:$G$229,4,FALSE)</f>
        <v>Ostala prava iz oblasti zdravstvene zaštite</v>
      </c>
      <c r="C118" s="591"/>
      <c r="D118" s="591"/>
      <c r="E118" s="591"/>
      <c r="F118" s="591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3">
        <f t="shared" si="22"/>
        <v>0.25752485720300322</v>
      </c>
      <c r="V118" s="311"/>
    </row>
    <row r="119" spans="1:22">
      <c r="A119" s="116" t="str">
        <f t="shared" si="18"/>
        <v>425p</v>
      </c>
      <c r="B119" s="590" t="str">
        <f>+VLOOKUP(LEFT($A119,LEN(A119)-1)*1,Master!$D$30:$G$229,4,FALSE)</f>
        <v>Ostala prava iz zdravstvenog osiguranja</v>
      </c>
      <c r="C119" s="591"/>
      <c r="D119" s="591"/>
      <c r="E119" s="591"/>
      <c r="F119" s="591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3">
        <f t="shared" si="22"/>
        <v>0.23524952827871734</v>
      </c>
      <c r="V119" s="311"/>
    </row>
    <row r="120" spans="1:22">
      <c r="A120" s="116" t="str">
        <f t="shared" si="18"/>
        <v>43p</v>
      </c>
      <c r="B120" s="606" t="str">
        <f>+VLOOKUP(LEFT($A120,LEN(A120)-1)*1,Master!$D$30:$G$229,4,FALSE)</f>
        <v xml:space="preserve">Transferi institucijama, pojedincima, nevladinom i javnom sektoru </v>
      </c>
      <c r="C120" s="607"/>
      <c r="D120" s="607"/>
      <c r="E120" s="607"/>
      <c r="F120" s="607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4">
        <f t="shared" si="22"/>
        <v>5.4726585909760717</v>
      </c>
      <c r="V120" s="311"/>
    </row>
    <row r="121" spans="1:22">
      <c r="A121" s="116" t="str">
        <f t="shared" si="18"/>
        <v>44p</v>
      </c>
      <c r="B121" s="606" t="str">
        <f>+VLOOKUP(LEFT($A121,LEN(A121)-1)*1,Master!$D$30:$G$229,4,FALSE)</f>
        <v>Kapitalni izdaci</v>
      </c>
      <c r="C121" s="607"/>
      <c r="D121" s="607"/>
      <c r="E121" s="607"/>
      <c r="F121" s="607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4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608" t="str">
        <f>+VLOOKUP(LEFT($A122,LEN(A122)-1)*1,Master!$D$30:$G$229,4,FALSE)</f>
        <v>Pozajmice i krediti</v>
      </c>
      <c r="C122" s="609"/>
      <c r="D122" s="609"/>
      <c r="E122" s="609"/>
      <c r="F122" s="609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3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608" t="str">
        <f>+VLOOKUP(LEFT($A123,LEN(A123)-1)*1,Master!$D$30:$G$229,4,FALSE)</f>
        <v>Rezerve</v>
      </c>
      <c r="C123" s="609"/>
      <c r="D123" s="609"/>
      <c r="E123" s="609"/>
      <c r="F123" s="609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3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608" t="str">
        <f>+VLOOKUP(LEFT($A124,LEN(A124)-1)*1,Master!$D$30:$G$229,4,FALSE)</f>
        <v>Otplata garancija</v>
      </c>
      <c r="C124" s="609"/>
      <c r="D124" s="609"/>
      <c r="E124" s="609"/>
      <c r="F124" s="609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3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608" t="str">
        <f>+VLOOKUP(LEFT($A125,LEN(A125)-1)*1,Master!$D$30:$G$229,4,FALSE)</f>
        <v>Otplata obaveza iz prethodnog perioda</v>
      </c>
      <c r="C125" s="609"/>
      <c r="D125" s="609"/>
      <c r="E125" s="609"/>
      <c r="F125" s="609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1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608" t="str">
        <f>+VLOOKUP(LEFT($A126,LEN(A126)-1)*1,Master!$D$30:$G$229,4,FALSE)</f>
        <v>Neto povećanje obaveza</v>
      </c>
      <c r="C126" s="609"/>
      <c r="D126" s="609"/>
      <c r="E126" s="609"/>
      <c r="F126" s="60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616" t="str">
        <f>+VLOOKUP(LEFT($A127,LEN(A127)-1)*1,Master!$D$30:$G$226,4,FALSE)</f>
        <v>Suficit / deficit</v>
      </c>
      <c r="C127" s="617"/>
      <c r="D127" s="617"/>
      <c r="E127" s="617"/>
      <c r="F127" s="617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69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618" t="str">
        <f>+VLOOKUP(LEFT($A128,LEN(A128)-1)*1,Master!$D$30:$G$226,4,FALSE)</f>
        <v>Primarni suficit/deficit</v>
      </c>
      <c r="C128" s="619"/>
      <c r="D128" s="619"/>
      <c r="E128" s="619"/>
      <c r="F128" s="619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69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610" t="str">
        <f>+VLOOKUP(LEFT($A129,LEN(A129)-1)*1,Master!$D$30:$G$226,4,FALSE)</f>
        <v>Otplata dugova</v>
      </c>
      <c r="C129" s="611"/>
      <c r="D129" s="611"/>
      <c r="E129" s="611"/>
      <c r="F129" s="611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3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0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614" t="str">
        <f>+VLOOKUP(LEFT($A130,LEN(A130)-1)*1,Master!$D$30:$G$226,4,FALSE)</f>
        <v>Otplata hartija od vrijednosti i kredita rezidentima</v>
      </c>
      <c r="C130" s="615"/>
      <c r="D130" s="615"/>
      <c r="E130" s="615"/>
      <c r="F130" s="615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1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608" t="str">
        <f>+VLOOKUP(LEFT($A131,LEN(A131)-1)*1,Master!$D$30:$G$226,4,FALSE)</f>
        <v>Otplata hartija od vrijednosti i kredita nerezidentima</v>
      </c>
      <c r="C131" s="609"/>
      <c r="D131" s="609"/>
      <c r="E131" s="609"/>
      <c r="F131" s="609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1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86" t="str">
        <f>+VLOOKUP(LEFT($A132,LEN(A132)-1)*1,Master!$D$30:$G$226,4,FALSE)</f>
        <v>Izdaci za kupovinu hartija od vrijednosti</v>
      </c>
      <c r="C132" s="587"/>
      <c r="D132" s="587"/>
      <c r="E132" s="587"/>
      <c r="F132" s="587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8">
        <f t="shared" si="21"/>
        <v>10609010</v>
      </c>
      <c r="T132" s="478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612" t="str">
        <f>+VLOOKUP(LEFT($A133,LEN(A133)-1)*1,Master!$D$30:$G$226,4,FALSE)</f>
        <v>Nedostajuća sredstva</v>
      </c>
      <c r="C133" s="613"/>
      <c r="D133" s="613"/>
      <c r="E133" s="613"/>
      <c r="F133" s="613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3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86" t="str">
        <f>+VLOOKUP(LEFT($A134,LEN(A134)-1)*1,Master!$D$30:$G$226,4,FALSE)</f>
        <v>Finansiranje</v>
      </c>
      <c r="C134" s="587"/>
      <c r="D134" s="587"/>
      <c r="E134" s="587"/>
      <c r="F134" s="587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4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614" t="str">
        <f>+VLOOKUP(LEFT($A135,LEN(A135)-1)*1,Master!$D$30:$G$226,4,FALSE)</f>
        <v>Pozajmice i krediti od domaćih izvora</v>
      </c>
      <c r="C135" s="615"/>
      <c r="D135" s="615"/>
      <c r="E135" s="615"/>
      <c r="F135" s="61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1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608" t="str">
        <f>+VLOOKUP(LEFT($A136,LEN(A136)-1)*1,Master!$D$30:$G$226,4,FALSE)</f>
        <v>Pozajmice i krediti od inostranih izvora</v>
      </c>
      <c r="C136" s="609"/>
      <c r="D136" s="609"/>
      <c r="E136" s="609"/>
      <c r="F136" s="609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1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608" t="str">
        <f>+VLOOKUP(LEFT($A137,LEN(A137)-1)*1,Master!$D$30:$G$226,4,FALSE)</f>
        <v>Primici od prodaje imovine</v>
      </c>
      <c r="C137" s="609"/>
      <c r="D137" s="609"/>
      <c r="E137" s="609"/>
      <c r="F137" s="609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1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5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4.81640625" style="258" bestFit="1" customWidth="1"/>
    <col min="23" max="23" width="11.26953125" style="258" bestFit="1" customWidth="1"/>
    <col min="24" max="24" width="10.453125" style="258" bestFit="1" customWidth="1"/>
    <col min="25" max="16384" width="9.1796875" style="258"/>
  </cols>
  <sheetData>
    <row r="1" spans="1:22" s="1" customFormat="1" ht="3" customHeight="1">
      <c r="A1" s="69"/>
    </row>
    <row r="2" spans="1:22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4.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570" t="str">
        <f>+Master!G252</f>
        <v>Ostvarenje budžeta</v>
      </c>
      <c r="C7" s="523"/>
      <c r="D7" s="523"/>
      <c r="E7" s="523"/>
      <c r="F7" s="523"/>
      <c r="G7" s="531">
        <v>2021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tr">
        <f>+Master!G249</f>
        <v>BDP</v>
      </c>
      <c r="T7" s="236">
        <v>4955116000</v>
      </c>
    </row>
    <row r="8" spans="1:22" ht="16.5" customHeight="1">
      <c r="A8" s="144"/>
      <c r="B8" s="524"/>
      <c r="C8" s="525"/>
      <c r="D8" s="525"/>
      <c r="E8" s="525"/>
      <c r="F8" s="52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1" t="str">
        <f>+Master!G247</f>
        <v>Jan - Dec</v>
      </c>
      <c r="T8" s="535"/>
    </row>
    <row r="9" spans="1:22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64" t="str">
        <f>+VLOOKUP($A10,Master!$D$30:$G$226,4,FALSE)</f>
        <v>Prihodi budžeta</v>
      </c>
      <c r="C10" s="565"/>
      <c r="D10" s="565"/>
      <c r="E10" s="565"/>
      <c r="F10" s="565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52" t="str">
        <f>+VLOOKUP($A18,Master!$D$30:$G$226,4,FALSE)</f>
        <v>Ostali državni porezi</v>
      </c>
      <c r="C18" s="553"/>
      <c r="D18" s="553"/>
      <c r="E18" s="553"/>
      <c r="F18" s="553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52" t="str">
        <f>+VLOOKUP($A20,Master!$D$30:$G$226,4,FALSE)</f>
        <v>Doprinosi za penzijsko i invalidsko osiguranje</v>
      </c>
      <c r="C20" s="553"/>
      <c r="D20" s="553"/>
      <c r="E20" s="553"/>
      <c r="F20" s="553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52" t="str">
        <f>+VLOOKUP($A21,Master!$D$30:$G$226,4,FALSE)</f>
        <v>Doprinosi za zdravstveno osiguranje</v>
      </c>
      <c r="C21" s="553"/>
      <c r="D21" s="553"/>
      <c r="E21" s="553"/>
      <c r="F21" s="553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52" t="str">
        <f>+VLOOKUP($A22,Master!$D$30:$G$226,4,FALSE)</f>
        <v>Doprinosi za osiguranje od nezaposlenosti</v>
      </c>
      <c r="C22" s="553"/>
      <c r="D22" s="553"/>
      <c r="E22" s="553"/>
      <c r="F22" s="553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52" t="str">
        <f>+VLOOKUP($A23,Master!$D$30:$G$226,4,FALSE)</f>
        <v>Ostali doprinosi</v>
      </c>
      <c r="C23" s="553"/>
      <c r="D23" s="553"/>
      <c r="E23" s="553"/>
      <c r="F23" s="553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54" t="str">
        <f>+VLOOKUP($A24,Master!$D$30:$G$226,4,FALSE)</f>
        <v>Takse</v>
      </c>
      <c r="C24" s="555"/>
      <c r="D24" s="555"/>
      <c r="E24" s="555"/>
      <c r="F24" s="555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54" t="str">
        <f>+VLOOKUP($A25,Master!$D$30:$G$226,4,FALSE)</f>
        <v>Naknade</v>
      </c>
      <c r="C25" s="555"/>
      <c r="D25" s="555"/>
      <c r="E25" s="555"/>
      <c r="F25" s="555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54" t="str">
        <f>+VLOOKUP($A26,Master!$D$30:$G$226,4,FALSE)</f>
        <v>Ostali prihodi</v>
      </c>
      <c r="C26" s="555"/>
      <c r="D26" s="555"/>
      <c r="E26" s="555"/>
      <c r="F26" s="555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54" t="str">
        <f>+VLOOKUP($A27,Master!$D$30:$G$226,4,FALSE)</f>
        <v>Primici od otplate kredita i sredstva prenesena iz prethodne godine</v>
      </c>
      <c r="C27" s="555"/>
      <c r="D27" s="555"/>
      <c r="E27" s="555"/>
      <c r="F27" s="555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60" t="str">
        <f>+VLOOKUP($A30,Master!$D$30:$G$226,4,FALSE)</f>
        <v>Tekući izdaci</v>
      </c>
      <c r="C30" s="561"/>
      <c r="D30" s="561"/>
      <c r="E30" s="561"/>
      <c r="F30" s="561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52" t="str">
        <f>+VLOOKUP($A31,Master!$D$30:$G$226,4,FALSE)</f>
        <v>Bruto zarade i doprinosi na teret poslodavca</v>
      </c>
      <c r="C31" s="553"/>
      <c r="D31" s="553"/>
      <c r="E31" s="553"/>
      <c r="F31" s="553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52" t="str">
        <f>+VLOOKUP($A32,Master!$D$30:$G$226,4,FALSE)</f>
        <v>Ostala lična primanja</v>
      </c>
      <c r="C32" s="553"/>
      <c r="D32" s="553"/>
      <c r="E32" s="553"/>
      <c r="F32" s="553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52" t="str">
        <f>+VLOOKUP($A33,Master!$D$30:$G$226,4,FALSE)</f>
        <v>Rashodi za materijal</v>
      </c>
      <c r="C33" s="553"/>
      <c r="D33" s="553"/>
      <c r="E33" s="553"/>
      <c r="F33" s="553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571" t="str">
        <f>+VLOOKUP($A34,Master!$D$30:$G$226,4,FALSE)</f>
        <v>Rashodi za usluge</v>
      </c>
      <c r="C34" s="572"/>
      <c r="D34" s="572"/>
      <c r="E34" s="572"/>
      <c r="F34" s="572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52" t="str">
        <f>+VLOOKUP($A35,Master!$D$30:$G$226,4,FALSE)</f>
        <v>Rashodi za tekuće održavanje</v>
      </c>
      <c r="C35" s="553"/>
      <c r="D35" s="553"/>
      <c r="E35" s="553"/>
      <c r="F35" s="553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52" t="str">
        <f>+VLOOKUP($A36,Master!$D$30:$G$226,4,FALSE)</f>
        <v>Kamate</v>
      </c>
      <c r="C36" s="553"/>
      <c r="D36" s="553"/>
      <c r="E36" s="553"/>
      <c r="F36" s="553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52" t="str">
        <f>+VLOOKUP($A37,Master!$D$30:$G$226,4,FALSE)</f>
        <v>Renta</v>
      </c>
      <c r="C37" s="553"/>
      <c r="D37" s="553"/>
      <c r="E37" s="553"/>
      <c r="F37" s="553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52" t="str">
        <f>+VLOOKUP($A38,Master!$D$30:$G$226,4,FALSE)</f>
        <v>Subvencije</v>
      </c>
      <c r="C38" s="553"/>
      <c r="D38" s="553"/>
      <c r="E38" s="553"/>
      <c r="F38" s="553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571" t="str">
        <f>+VLOOKUP($A39,Master!$D$30:$G$226,4,FALSE)</f>
        <v>Ostali izdaci</v>
      </c>
      <c r="C39" s="572"/>
      <c r="D39" s="572"/>
      <c r="E39" s="572"/>
      <c r="F39" s="572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48" t="str">
        <f>+VLOOKUP($A40,Master!$D$30:$G$226,4,FALSE)</f>
        <v>Transferi za socijalnu zaštitu</v>
      </c>
      <c r="C40" s="549"/>
      <c r="D40" s="549"/>
      <c r="E40" s="549"/>
      <c r="F40" s="549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52" t="str">
        <f>+VLOOKUP($A41,Master!$D$30:$G$226,4,FALSE)</f>
        <v>Prava iz oblasti socijalne zaštite</v>
      </c>
      <c r="C41" s="553"/>
      <c r="D41" s="553"/>
      <c r="E41" s="553"/>
      <c r="F41" s="553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52" t="str">
        <f>+VLOOKUP($A42,Master!$D$30:$G$226,4,FALSE)</f>
        <v>Sredstva za tehnološke viškove</v>
      </c>
      <c r="C42" s="553"/>
      <c r="D42" s="553"/>
      <c r="E42" s="553"/>
      <c r="F42" s="553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52" t="str">
        <f>+VLOOKUP($A43,Master!$D$30:$G$226,4,FALSE)</f>
        <v>Prava iz oblasti penzijskog i invalidskog osiguranja</v>
      </c>
      <c r="C43" s="553"/>
      <c r="D43" s="553"/>
      <c r="E43" s="553"/>
      <c r="F43" s="553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52" t="str">
        <f>+VLOOKUP($A44,Master!$D$30:$G$226,4,FALSE)</f>
        <v>Ostala prava iz oblasti zdravstvene zaštite</v>
      </c>
      <c r="C44" s="553"/>
      <c r="D44" s="553"/>
      <c r="E44" s="553"/>
      <c r="F44" s="553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573" t="str">
        <f>+VLOOKUP($A45,Master!$D$30:$G$226,4,FALSE)</f>
        <v>Ostala prava iz zdravstvenog osiguranja</v>
      </c>
      <c r="C45" s="574"/>
      <c r="D45" s="574"/>
      <c r="E45" s="574"/>
      <c r="F45" s="574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50" t="str">
        <f>+VLOOKUP($A46,Master!$D$30:$G$226,4,FALSE)</f>
        <v xml:space="preserve">Transferi institucijama, pojedincima, nevladinom i javnom sektoru </v>
      </c>
      <c r="C46" s="551"/>
      <c r="D46" s="551"/>
      <c r="E46" s="551"/>
      <c r="F46" s="551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50" t="str">
        <f>+VLOOKUP($A47,Master!$D$30:$G$226,4,FALSE)</f>
        <v>Kapitalni izdaci</v>
      </c>
      <c r="C47" s="551"/>
      <c r="D47" s="551"/>
      <c r="E47" s="551"/>
      <c r="F47" s="551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575" t="str">
        <f>+VLOOKUP($A48,Master!$D$30:$G$226,4,FALSE)</f>
        <v>Pozajmice i krediti</v>
      </c>
      <c r="C48" s="576"/>
      <c r="D48" s="576"/>
      <c r="E48" s="576"/>
      <c r="F48" s="576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580" t="str">
        <f>+VLOOKUP($A49,Master!$D$30:$G$226,4,FALSE)</f>
        <v>Rezerve</v>
      </c>
      <c r="C49" s="581"/>
      <c r="D49" s="581"/>
      <c r="E49" s="581"/>
      <c r="F49" s="581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38" t="str">
        <f>+VLOOKUP($A50,Master!$D$30:$G$226,4,FALSE)</f>
        <v>Otplata garancija</v>
      </c>
      <c r="C50" s="539"/>
      <c r="D50" s="539"/>
      <c r="E50" s="539"/>
      <c r="F50" s="539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582" t="str">
        <f>+VLOOKUP($A51,Master!$D$30:$G$226,4,TRUE)</f>
        <v>Otplata obaveza iz prethodnog perioda</v>
      </c>
      <c r="C51" s="583"/>
      <c r="D51" s="583"/>
      <c r="E51" s="583"/>
      <c r="F51" s="583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36" t="str">
        <f>+VLOOKUP($A56,Master!$D$30:$G$226,4,FALSE)</f>
        <v>Otplata hartija od vrijednosti i kredita rezidentima</v>
      </c>
      <c r="C56" s="537"/>
      <c r="D56" s="537"/>
      <c r="E56" s="537"/>
      <c r="F56" s="537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20" t="str">
        <f>+VLOOKUP($A57,Master!$D$30:$G$226,4,FALSE)</f>
        <v>Otplata hartija od vrijednosti i kredita nerezidentima</v>
      </c>
      <c r="C57" s="521"/>
      <c r="D57" s="521"/>
      <c r="E57" s="521"/>
      <c r="F57" s="521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58" t="str">
        <f>+VLOOKUP($A58,Master!$D$30:$G$226,4,FALSE)</f>
        <v>Izdaci za kupovinu hartija od vrijednosti</v>
      </c>
      <c r="C58" s="559"/>
      <c r="D58" s="559"/>
      <c r="E58" s="559"/>
      <c r="F58" s="559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40" t="str">
        <f>+VLOOKUP($A59,Master!$D$30:$G$226,4,FALSE)</f>
        <v>Nedostajuća sredstva</v>
      </c>
      <c r="C59" s="541"/>
      <c r="D59" s="541"/>
      <c r="E59" s="541"/>
      <c r="F59" s="541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36" t="str">
        <f>+VLOOKUP($A61,Master!$D$30:$G$226,4,FALSE)</f>
        <v>Pozajmice i krediti od domaćih izvora</v>
      </c>
      <c r="C61" s="537"/>
      <c r="D61" s="537"/>
      <c r="E61" s="537"/>
      <c r="F61" s="537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20" t="str">
        <f>+VLOOKUP($A62,Master!$D$30:$G$226,4,FALSE)</f>
        <v>Pozajmice i krediti od inostranih izvora</v>
      </c>
      <c r="C62" s="521"/>
      <c r="D62" s="521"/>
      <c r="E62" s="521"/>
      <c r="F62" s="521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20" t="str">
        <f>+VLOOKUP($A63,Master!$D$30:$G$226,4,FALSE)</f>
        <v>Primici od prodaje imovine</v>
      </c>
      <c r="C63" s="521"/>
      <c r="D63" s="521"/>
      <c r="E63" s="521"/>
      <c r="F63" s="521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2" t="str">
        <f>+Master!G253</f>
        <v>Plan ostvarenja budžeta</v>
      </c>
      <c r="C81" s="593"/>
      <c r="D81" s="593"/>
      <c r="E81" s="593"/>
      <c r="F81" s="593"/>
      <c r="G81" s="577">
        <v>2021</v>
      </c>
      <c r="H81" s="578"/>
      <c r="I81" s="578"/>
      <c r="J81" s="578"/>
      <c r="K81" s="578"/>
      <c r="L81" s="578"/>
      <c r="M81" s="578"/>
      <c r="N81" s="578"/>
      <c r="O81" s="578"/>
      <c r="P81" s="578"/>
      <c r="Q81" s="578"/>
      <c r="R81" s="579"/>
      <c r="S81" s="107" t="str">
        <f>+S7</f>
        <v>BDP</v>
      </c>
      <c r="T81" s="108">
        <v>4636600000</v>
      </c>
    </row>
    <row r="82" spans="1:21" ht="15.75" customHeight="1">
      <c r="B82" s="594"/>
      <c r="C82" s="595"/>
      <c r="D82" s="595"/>
      <c r="E82" s="595"/>
      <c r="F82" s="596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7" t="str">
        <f>+Master!G247</f>
        <v>Jan - Dec</v>
      </c>
      <c r="T82" s="579">
        <f>+T8</f>
        <v>0</v>
      </c>
    </row>
    <row r="83" spans="1:21" ht="13.5" thickBot="1">
      <c r="B83" s="597"/>
      <c r="C83" s="598"/>
      <c r="D83" s="598"/>
      <c r="E83" s="598"/>
      <c r="F83" s="599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2" t="str">
        <f>+VLOOKUP(LEFT($A84,LEN(A84)-1)*1,Master!$D$30:$G$226,4,FALSE)</f>
        <v>Prihodi budžeta</v>
      </c>
      <c r="C84" s="623"/>
      <c r="D84" s="623"/>
      <c r="E84" s="623"/>
      <c r="F84" s="623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88" t="str">
        <f>+VLOOKUP(LEFT($A85,LEN(A85)-1)*1,Master!$D$30:$G$226,4,FALSE)</f>
        <v>Porezi</v>
      </c>
      <c r="C85" s="589"/>
      <c r="D85" s="589"/>
      <c r="E85" s="589"/>
      <c r="F85" s="589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90" t="str">
        <f>+VLOOKUP(LEFT($A86,LEN(A86)-1)*1,Master!$D$30:$G$229,4,FALSE)</f>
        <v>Porez na dohodak fizičkih lica</v>
      </c>
      <c r="C86" s="591"/>
      <c r="D86" s="591"/>
      <c r="E86" s="591"/>
      <c r="F86" s="59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90" t="str">
        <f>+VLOOKUP(LEFT($A87,LEN(A87)-1)*1,Master!$D$30:$G$229,4,FALSE)</f>
        <v>Porez na dobit pravnih lica</v>
      </c>
      <c r="C87" s="591"/>
      <c r="D87" s="591"/>
      <c r="E87" s="591"/>
      <c r="F87" s="59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90" t="str">
        <f>+VLOOKUP(LEFT($A88,LEN(A88)-1)*1,Master!$D$30:$G$229,4,FALSE)</f>
        <v>Porez na promet nepokretnosti</v>
      </c>
      <c r="C88" s="591"/>
      <c r="D88" s="591"/>
      <c r="E88" s="591"/>
      <c r="F88" s="59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90" t="str">
        <f>+VLOOKUP(LEFT($A89,LEN(A89)-1)*1,Master!$D$30:$G$229,4,FALSE)</f>
        <v>Porez na dodatu vrijednost</v>
      </c>
      <c r="C89" s="591"/>
      <c r="D89" s="591"/>
      <c r="E89" s="591"/>
      <c r="F89" s="59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90" t="str">
        <f>+VLOOKUP(LEFT($A90,LEN(A90)-1)*1,Master!$D$30:$G$229,4,FALSE)</f>
        <v>Akcize</v>
      </c>
      <c r="C90" s="591"/>
      <c r="D90" s="591"/>
      <c r="E90" s="591"/>
      <c r="F90" s="59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90" t="str">
        <f>+VLOOKUP(LEFT($A91,LEN(A91)-1)*1,Master!$D$30:$G$229,4,FALSE)</f>
        <v>Porez na međunarodnu trgovinu i transakcije</v>
      </c>
      <c r="C91" s="591"/>
      <c r="D91" s="591"/>
      <c r="E91" s="591"/>
      <c r="F91" s="59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90" t="str">
        <f>+VLOOKUP(LEFT($A92,LEN(A92)-1)*1,Master!$D$30:$G$229,4,FALSE)</f>
        <v>Ostali državni porezi</v>
      </c>
      <c r="C92" s="591"/>
      <c r="D92" s="591"/>
      <c r="E92" s="591"/>
      <c r="F92" s="59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0" t="str">
        <f>+VLOOKUP(LEFT($A93,LEN(A93)-1)*1,Master!$D$30:$G$229,4,FALSE)</f>
        <v>Doprinosi</v>
      </c>
      <c r="C93" s="621"/>
      <c r="D93" s="621"/>
      <c r="E93" s="621"/>
      <c r="F93" s="621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90" t="str">
        <f>+VLOOKUP(LEFT($A94,LEN(A94)-1)*1,Master!$D$30:$G$229,4,FALSE)</f>
        <v>Doprinosi za penzijsko i invalidsko osiguranje</v>
      </c>
      <c r="C94" s="591"/>
      <c r="D94" s="591"/>
      <c r="E94" s="591"/>
      <c r="F94" s="59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90" t="str">
        <f>+VLOOKUP(LEFT($A95,LEN(A95)-1)*1,Master!$D$30:$G$229,4,FALSE)</f>
        <v>Doprinosi za zdravstveno osiguranje</v>
      </c>
      <c r="C95" s="591"/>
      <c r="D95" s="591"/>
      <c r="E95" s="591"/>
      <c r="F95" s="59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90" t="str">
        <f>+VLOOKUP(LEFT($A96,LEN(A96)-1)*1,Master!$D$30:$G$229,4,FALSE)</f>
        <v>Doprinosi za osiguranje od nezaposlenosti</v>
      </c>
      <c r="C96" s="591"/>
      <c r="D96" s="591"/>
      <c r="E96" s="591"/>
      <c r="F96" s="59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90" t="str">
        <f>+VLOOKUP(LEFT($A97,LEN(A97)-1)*1,Master!$D$30:$G$229,4,FALSE)</f>
        <v>Ostali doprinosi</v>
      </c>
      <c r="C97" s="591"/>
      <c r="D97" s="591"/>
      <c r="E97" s="591"/>
      <c r="F97" s="59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600" t="str">
        <f>+VLOOKUP(LEFT($A98,LEN(A98)-1)*1,Master!$D$30:$G$229,4,FALSE)</f>
        <v>Takse</v>
      </c>
      <c r="C98" s="601"/>
      <c r="D98" s="601"/>
      <c r="E98" s="601"/>
      <c r="F98" s="601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600" t="str">
        <f>+VLOOKUP(LEFT($A99,LEN(A99)-1)*1,Master!$D$30:$G$229,4,FALSE)</f>
        <v>Naknade</v>
      </c>
      <c r="C99" s="601"/>
      <c r="D99" s="601"/>
      <c r="E99" s="601"/>
      <c r="F99" s="601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600" t="str">
        <f>+VLOOKUP(LEFT($A100,LEN(A100)-1)*1,Master!$D$30:$G$229,4,FALSE)</f>
        <v>Ostali prihodi</v>
      </c>
      <c r="C100" s="601"/>
      <c r="D100" s="601"/>
      <c r="E100" s="601"/>
      <c r="F100" s="601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600" t="str">
        <f>+VLOOKUP(LEFT($A101,LEN(A101)-1)*1,Master!$D$30:$G$229,4,FALSE)</f>
        <v>Primici od otplate kredita i sredstva prenesena iz prethodne godine</v>
      </c>
      <c r="C101" s="601"/>
      <c r="D101" s="601"/>
      <c r="E101" s="601"/>
      <c r="F101" s="601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602" t="str">
        <f>+VLOOKUP(LEFT($A102,LEN(A102)-1)*1,Master!$D$30:$G$229,4,FALSE)</f>
        <v>Donacije i transferi</v>
      </c>
      <c r="C102" s="603"/>
      <c r="D102" s="603"/>
      <c r="E102" s="603"/>
      <c r="F102" s="60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86" t="str">
        <f>+VLOOKUP(LEFT($A103,LEN(A103)-1)*1,Master!$D$30:$G$229,4,FALSE)</f>
        <v>Izdaci budžeta</v>
      </c>
      <c r="C103" s="587"/>
      <c r="D103" s="587"/>
      <c r="E103" s="587"/>
      <c r="F103" s="587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4" t="str">
        <f>+VLOOKUP(LEFT($A104,LEN(A104)-1)*1,Master!$D$30:$G$229,4,FALSE)</f>
        <v>Tekući izdaci</v>
      </c>
      <c r="C104" s="605"/>
      <c r="D104" s="605"/>
      <c r="E104" s="605"/>
      <c r="F104" s="60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90" t="str">
        <f>+VLOOKUP(LEFT($A105,LEN(A105)-1)*1,Master!$D$30:$G$229,4,FALSE)</f>
        <v>Bruto zarade i doprinosi na teret poslodavca</v>
      </c>
      <c r="C105" s="591"/>
      <c r="D105" s="591"/>
      <c r="E105" s="591"/>
      <c r="F105" s="59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90" t="str">
        <f>+VLOOKUP(LEFT($A106,LEN(A106)-1)*1,Master!$D$30:$G$229,4,FALSE)</f>
        <v>Ostala lična primanja</v>
      </c>
      <c r="C106" s="591"/>
      <c r="D106" s="591"/>
      <c r="E106" s="591"/>
      <c r="F106" s="59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90" t="str">
        <f>+VLOOKUP(LEFT($A107,LEN(A107)-1)*1,Master!$D$30:$G$229,4,FALSE)</f>
        <v>Rashodi za materijal</v>
      </c>
      <c r="C107" s="591"/>
      <c r="D107" s="591"/>
      <c r="E107" s="591"/>
      <c r="F107" s="59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90" t="str">
        <f>+VLOOKUP(LEFT($A108,LEN(A108)-1)*1,Master!$D$30:$G$229,4,FALSE)</f>
        <v>Rashodi za usluge</v>
      </c>
      <c r="C108" s="591"/>
      <c r="D108" s="591"/>
      <c r="E108" s="591"/>
      <c r="F108" s="59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90" t="str">
        <f>+VLOOKUP(LEFT($A109,LEN(A109)-1)*1,Master!$D$30:$G$229,4,FALSE)</f>
        <v>Rashodi za tekuće održavanje</v>
      </c>
      <c r="C109" s="591"/>
      <c r="D109" s="591"/>
      <c r="E109" s="591"/>
      <c r="F109" s="59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90" t="str">
        <f>+VLOOKUP(LEFT($A110,LEN(A110)-1)*1,Master!$D$30:$G$229,4,FALSE)</f>
        <v>Kamate</v>
      </c>
      <c r="C110" s="591"/>
      <c r="D110" s="591"/>
      <c r="E110" s="591"/>
      <c r="F110" s="59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90" t="str">
        <f>+VLOOKUP(LEFT($A111,LEN(A111)-1)*1,Master!$D$30:$G$229,4,FALSE)</f>
        <v>Renta</v>
      </c>
      <c r="C111" s="591"/>
      <c r="D111" s="591"/>
      <c r="E111" s="591"/>
      <c r="F111" s="59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90" t="str">
        <f>+VLOOKUP(LEFT($A112,LEN(A112)-1)*1,Master!$D$30:$G$229,4,FALSE)</f>
        <v>Subvencije</v>
      </c>
      <c r="C112" s="591"/>
      <c r="D112" s="591"/>
      <c r="E112" s="591"/>
      <c r="F112" s="59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90" t="str">
        <f>+VLOOKUP(LEFT($A113,LEN(A113)-1)*1,Master!$D$30:$G$229,4,FALSE)</f>
        <v>Ostali izdaci</v>
      </c>
      <c r="C113" s="591"/>
      <c r="D113" s="591"/>
      <c r="E113" s="591"/>
      <c r="F113" s="59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610" t="str">
        <f>+VLOOKUP(LEFT($A114,LEN(A114)-1)*1,Master!$D$30:$G$229,4,FALSE)</f>
        <v>Transferi za socijalnu zaštitu</v>
      </c>
      <c r="C114" s="611"/>
      <c r="D114" s="611"/>
      <c r="E114" s="611"/>
      <c r="F114" s="611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90" t="str">
        <f>+VLOOKUP(LEFT($A115,LEN(A115)-1)*1,Master!$D$30:$G$229,4,FALSE)</f>
        <v>Prava iz oblasti socijalne zaštite</v>
      </c>
      <c r="C115" s="591"/>
      <c r="D115" s="591"/>
      <c r="E115" s="591"/>
      <c r="F115" s="59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90" t="str">
        <f>+VLOOKUP(LEFT($A116,LEN(A116)-1)*1,Master!$D$30:$G$229,4,FALSE)</f>
        <v>Sredstva za tehnološke viškove</v>
      </c>
      <c r="C116" s="591"/>
      <c r="D116" s="591"/>
      <c r="E116" s="591"/>
      <c r="F116" s="59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90" t="str">
        <f>+VLOOKUP(LEFT($A117,LEN(A117)-1)*1,Master!$D$30:$G$229,4,FALSE)</f>
        <v>Prava iz oblasti penzijskog i invalidskog osiguranja</v>
      </c>
      <c r="C117" s="591"/>
      <c r="D117" s="591"/>
      <c r="E117" s="591"/>
      <c r="F117" s="59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90" t="str">
        <f>+VLOOKUP(LEFT($A118,LEN(A118)-1)*1,Master!$D$30:$G$229,4,FALSE)</f>
        <v>Ostala prava iz oblasti zdravstvene zaštite</v>
      </c>
      <c r="C118" s="591"/>
      <c r="D118" s="591"/>
      <c r="E118" s="591"/>
      <c r="F118" s="59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90" t="str">
        <f>+VLOOKUP(LEFT($A119,LEN(A119)-1)*1,Master!$D$30:$G$229,4,FALSE)</f>
        <v>Ostala prava iz zdravstvenog osiguranja</v>
      </c>
      <c r="C119" s="591"/>
      <c r="D119" s="591"/>
      <c r="E119" s="591"/>
      <c r="F119" s="59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606" t="str">
        <f>+VLOOKUP(LEFT($A120,LEN(A120)-1)*1,Master!$D$30:$G$229,4,FALSE)</f>
        <v xml:space="preserve">Transferi institucijama, pojedincima, nevladinom i javnom sektoru </v>
      </c>
      <c r="C120" s="607"/>
      <c r="D120" s="607"/>
      <c r="E120" s="607"/>
      <c r="F120" s="607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606" t="str">
        <f>+VLOOKUP(LEFT($A121,LEN(A121)-1)*1,Master!$D$30:$G$229,4,FALSE)</f>
        <v>Kapitalni izdaci</v>
      </c>
      <c r="C121" s="607"/>
      <c r="D121" s="607"/>
      <c r="E121" s="607"/>
      <c r="F121" s="607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608" t="str">
        <f>+VLOOKUP(LEFT($A122,LEN(A122)-1)*1,Master!$D$30:$G$229,4,FALSE)</f>
        <v>Pozajmice i krediti</v>
      </c>
      <c r="C122" s="609"/>
      <c r="D122" s="609"/>
      <c r="E122" s="609"/>
      <c r="F122" s="609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608" t="str">
        <f>+VLOOKUP(LEFT($A123,LEN(A123)-1)*1,Master!$D$30:$G$229,4,FALSE)</f>
        <v>Rezerve</v>
      </c>
      <c r="C123" s="609"/>
      <c r="D123" s="609"/>
      <c r="E123" s="609"/>
      <c r="F123" s="609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608" t="str">
        <f>+VLOOKUP(LEFT($A124,LEN(A124)-1)*1,Master!$D$30:$G$229,4,FALSE)</f>
        <v>Otplata garancija</v>
      </c>
      <c r="C124" s="609"/>
      <c r="D124" s="609"/>
      <c r="E124" s="609"/>
      <c r="F124" s="609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608" t="str">
        <f>+VLOOKUP(LEFT($A125,LEN(A125)-1)*1,Master!$D$30:$G$229,4,FALSE)</f>
        <v>Otplata obaveza iz prethodnog perioda</v>
      </c>
      <c r="C125" s="609"/>
      <c r="D125" s="609"/>
      <c r="E125" s="609"/>
      <c r="F125" s="609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608" t="str">
        <f>+VLOOKUP(LEFT($A126,LEN(A126)-1)*1,Master!$D$30:$G$229,4,FALSE)</f>
        <v>Neto povećanje obaveza</v>
      </c>
      <c r="C126" s="609"/>
      <c r="D126" s="609"/>
      <c r="E126" s="609"/>
      <c r="F126" s="609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616" t="str">
        <f>+VLOOKUP(LEFT($A127,LEN(A127)-1)*1,Master!$D$30:$G$226,4,FALSE)</f>
        <v>Suficit / deficit</v>
      </c>
      <c r="C127" s="617"/>
      <c r="D127" s="617"/>
      <c r="E127" s="617"/>
      <c r="F127" s="617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18" t="str">
        <f>+VLOOKUP(LEFT($A128,LEN(A128)-1)*1,Master!$D$30:$G$226,4,FALSE)</f>
        <v>Primarni suficit/deficit</v>
      </c>
      <c r="C128" s="619"/>
      <c r="D128" s="619"/>
      <c r="E128" s="619"/>
      <c r="F128" s="619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610" t="str">
        <f>+VLOOKUP(LEFT($A129,LEN(A129)-1)*1,Master!$D$30:$G$226,4,FALSE)</f>
        <v>Otplata dugova</v>
      </c>
      <c r="C129" s="611"/>
      <c r="D129" s="611"/>
      <c r="E129" s="611"/>
      <c r="F129" s="611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614" t="str">
        <f>+VLOOKUP(LEFT($A130,LEN(A130)-1)*1,Master!$D$30:$G$226,4,FALSE)</f>
        <v>Otplata hartija od vrijednosti i kredita rezidentima</v>
      </c>
      <c r="C130" s="615"/>
      <c r="D130" s="615"/>
      <c r="E130" s="615"/>
      <c r="F130" s="615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608" t="str">
        <f>+VLOOKUP(LEFT($A131,LEN(A131)-1)*1,Master!$D$30:$G$226,4,FALSE)</f>
        <v>Otplata hartija od vrijednosti i kredita nerezidentima</v>
      </c>
      <c r="C131" s="609"/>
      <c r="D131" s="609"/>
      <c r="E131" s="609"/>
      <c r="F131" s="609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6" t="str">
        <f>+VLOOKUP(LEFT($A132,LEN(A132)-1)*1,Master!$D$30:$G$226,4,FALSE)</f>
        <v>Izdaci za kupovinu hartija od vrijednosti</v>
      </c>
      <c r="C132" s="587"/>
      <c r="D132" s="587"/>
      <c r="E132" s="587"/>
      <c r="F132" s="587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612" t="str">
        <f>+VLOOKUP(LEFT($A133,LEN(A133)-1)*1,Master!$D$30:$G$226,4,FALSE)</f>
        <v>Nedostajuća sredstva</v>
      </c>
      <c r="C133" s="613"/>
      <c r="D133" s="613"/>
      <c r="E133" s="613"/>
      <c r="F133" s="613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86" t="str">
        <f>+VLOOKUP(LEFT($A134,LEN(A134)-1)*1,Master!$D$30:$G$226,4,FALSE)</f>
        <v>Finansiranje</v>
      </c>
      <c r="C134" s="587"/>
      <c r="D134" s="587"/>
      <c r="E134" s="587"/>
      <c r="F134" s="587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614" t="str">
        <f>+VLOOKUP(LEFT($A135,LEN(A135)-1)*1,Master!$D$30:$G$226,4,FALSE)</f>
        <v>Pozajmice i krediti od domaćih izvora</v>
      </c>
      <c r="C135" s="615"/>
      <c r="D135" s="615"/>
      <c r="E135" s="615"/>
      <c r="F135" s="61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608" t="str">
        <f>+VLOOKUP(LEFT($A136,LEN(A136)-1)*1,Master!$D$30:$G$226,4,FALSE)</f>
        <v>Pozajmice i krediti od inostranih izvora</v>
      </c>
      <c r="C136" s="609"/>
      <c r="D136" s="609"/>
      <c r="E136" s="609"/>
      <c r="F136" s="609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608" t="str">
        <f>+VLOOKUP(LEFT($A137,LEN(A137)-1)*1,Master!$D$30:$G$226,4,FALSE)</f>
        <v>Primici od prodaje imovine</v>
      </c>
      <c r="C137" s="609"/>
      <c r="D137" s="609"/>
      <c r="E137" s="609"/>
      <c r="F137" s="609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796875" defaultRowHeight="13"/>
  <cols>
    <col min="1" max="1" width="5.453125" style="70" customWidth="1"/>
    <col min="2" max="4" width="9.1796875" style="258"/>
    <col min="5" max="5" width="23.453125" style="258" bestFit="1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1" style="258" customWidth="1"/>
    <col min="23" max="23" width="13.81640625" style="258" bestFit="1" customWidth="1"/>
    <col min="24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570" t="str">
        <f>+Master!G252</f>
        <v>Ostvarenje budžeta</v>
      </c>
      <c r="C7" s="523"/>
      <c r="D7" s="523"/>
      <c r="E7" s="523"/>
      <c r="F7" s="523"/>
      <c r="G7" s="531">
        <v>2020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tr">
        <f>+Master!G249</f>
        <v>BDP</v>
      </c>
      <c r="T7" s="236">
        <v>4185600000</v>
      </c>
    </row>
    <row r="8" spans="1:20" ht="16.5" customHeight="1">
      <c r="A8" s="144"/>
      <c r="B8" s="524"/>
      <c r="C8" s="525"/>
      <c r="D8" s="525"/>
      <c r="E8" s="525"/>
      <c r="F8" s="526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31" t="str">
        <f>+Master!G247</f>
        <v>Jan - Dec</v>
      </c>
      <c r="T8" s="535"/>
    </row>
    <row r="9" spans="1:20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64" t="str">
        <f>+VLOOKUP($A10,Master!$D$30:$G$226,4,FALSE)</f>
        <v>Prihodi budžeta</v>
      </c>
      <c r="C10" s="565"/>
      <c r="D10" s="565"/>
      <c r="E10" s="565"/>
      <c r="F10" s="565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66" t="str">
        <f>+VLOOKUP($A11,Master!$D$30:$G$226,4,FALSE)</f>
        <v>Porezi</v>
      </c>
      <c r="C11" s="567"/>
      <c r="D11" s="567"/>
      <c r="E11" s="567"/>
      <c r="F11" s="567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52" t="str">
        <f>+VLOOKUP($A12,Master!$D$30:$G$226,4,FALSE)</f>
        <v>Porez na dohodak fizičkih lica</v>
      </c>
      <c r="C12" s="553"/>
      <c r="D12" s="553"/>
      <c r="E12" s="553"/>
      <c r="F12" s="553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52" t="str">
        <f>+VLOOKUP($A13,Master!$D$30:$G$226,4,FALSE)</f>
        <v>Porez na dobit pravnih lica</v>
      </c>
      <c r="C13" s="553"/>
      <c r="D13" s="553"/>
      <c r="E13" s="553"/>
      <c r="F13" s="553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52" t="str">
        <f>+VLOOKUP($A14,Master!$D$30:$G$226,4,FALSE)</f>
        <v>Porez na promet nepokretnosti</v>
      </c>
      <c r="C14" s="553"/>
      <c r="D14" s="553"/>
      <c r="E14" s="553"/>
      <c r="F14" s="553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52" t="str">
        <f>+VLOOKUP($A15,Master!$D$30:$G$226,4,FALSE)</f>
        <v>Porez na dodatu vrijednost</v>
      </c>
      <c r="C15" s="553"/>
      <c r="D15" s="553"/>
      <c r="E15" s="553"/>
      <c r="F15" s="553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52" t="str">
        <f>+VLOOKUP($A16,Master!$D$30:$G$226,4,FALSE)</f>
        <v>Akcize</v>
      </c>
      <c r="C16" s="553"/>
      <c r="D16" s="553"/>
      <c r="E16" s="553"/>
      <c r="F16" s="553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52" t="str">
        <f>+VLOOKUP($A17,Master!$D$30:$G$226,4,FALSE)</f>
        <v>Porez na međunarodnu trgovinu i transakcije</v>
      </c>
      <c r="C17" s="553"/>
      <c r="D17" s="553"/>
      <c r="E17" s="553"/>
      <c r="F17" s="553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52" t="str">
        <f>+VLOOKUP($A18,Master!$D$30:$G$226,4,FALSE)</f>
        <v>Ostali državni porezi</v>
      </c>
      <c r="C18" s="553"/>
      <c r="D18" s="553"/>
      <c r="E18" s="553"/>
      <c r="F18" s="553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62" t="str">
        <f>+VLOOKUP($A19,Master!$D$30:$G$226,4,FALSE)</f>
        <v>Doprinosi</v>
      </c>
      <c r="C19" s="563"/>
      <c r="D19" s="563"/>
      <c r="E19" s="563"/>
      <c r="F19" s="563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52" t="str">
        <f>+VLOOKUP($A20,Master!$D$30:$G$226,4,FALSE)</f>
        <v>Doprinosi za penzijsko i invalidsko osiguranje</v>
      </c>
      <c r="C20" s="553"/>
      <c r="D20" s="553"/>
      <c r="E20" s="553"/>
      <c r="F20" s="553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52" t="str">
        <f>+VLOOKUP($A21,Master!$D$30:$G$226,4,FALSE)</f>
        <v>Doprinosi za zdravstveno osiguranje</v>
      </c>
      <c r="C21" s="553"/>
      <c r="D21" s="553"/>
      <c r="E21" s="553"/>
      <c r="F21" s="553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52" t="str">
        <f>+VLOOKUP($A22,Master!$D$30:$G$226,4,FALSE)</f>
        <v>Doprinosi za osiguranje od nezaposlenosti</v>
      </c>
      <c r="C22" s="553"/>
      <c r="D22" s="553"/>
      <c r="E22" s="553"/>
      <c r="F22" s="553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52" t="str">
        <f>+VLOOKUP($A23,Master!$D$30:$G$226,4,FALSE)</f>
        <v>Ostali doprinosi</v>
      </c>
      <c r="C23" s="553"/>
      <c r="D23" s="553"/>
      <c r="E23" s="553"/>
      <c r="F23" s="553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54" t="str">
        <f>+VLOOKUP($A24,Master!$D$30:$G$226,4,FALSE)</f>
        <v>Takse</v>
      </c>
      <c r="C24" s="555"/>
      <c r="D24" s="555"/>
      <c r="E24" s="555"/>
      <c r="F24" s="555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54" t="str">
        <f>+VLOOKUP($A25,Master!$D$30:$G$226,4,FALSE)</f>
        <v>Naknade</v>
      </c>
      <c r="C25" s="555"/>
      <c r="D25" s="555"/>
      <c r="E25" s="555"/>
      <c r="F25" s="555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54" t="str">
        <f>+VLOOKUP($A26,Master!$D$30:$G$226,4,FALSE)</f>
        <v>Ostali prihodi</v>
      </c>
      <c r="C26" s="555"/>
      <c r="D26" s="555"/>
      <c r="E26" s="555"/>
      <c r="F26" s="555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54" t="str">
        <f>+VLOOKUP($A27,Master!$D$30:$G$226,4,FALSE)</f>
        <v>Primici od otplate kredita i sredstva prenesena iz prethodne godine</v>
      </c>
      <c r="C27" s="555"/>
      <c r="D27" s="555"/>
      <c r="E27" s="555"/>
      <c r="F27" s="555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56" t="str">
        <f>+VLOOKUP($A28,Master!$D$30:$G$226,4,FALSE)</f>
        <v>Donacije i transferi</v>
      </c>
      <c r="C28" s="557"/>
      <c r="D28" s="557"/>
      <c r="E28" s="557"/>
      <c r="F28" s="557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42" t="str">
        <f>+VLOOKUP($A29,Master!$D$30:$G$226,4,FALSE)</f>
        <v>Izdaci budžeta</v>
      </c>
      <c r="C29" s="543"/>
      <c r="D29" s="543"/>
      <c r="E29" s="543"/>
      <c r="F29" s="543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60" t="str">
        <f>+VLOOKUP($A30,Master!$D$30:$G$226,4,FALSE)</f>
        <v>Tekući izdaci</v>
      </c>
      <c r="C30" s="561"/>
      <c r="D30" s="561"/>
      <c r="E30" s="561"/>
      <c r="F30" s="561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52" t="str">
        <f>+VLOOKUP($A31,Master!$D$30:$G$226,4,FALSE)</f>
        <v>Bruto zarade i doprinosi na teret poslodavca</v>
      </c>
      <c r="C31" s="553"/>
      <c r="D31" s="553"/>
      <c r="E31" s="553"/>
      <c r="F31" s="553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52" t="str">
        <f>+VLOOKUP($A32,Master!$D$30:$G$226,4,FALSE)</f>
        <v>Ostala lična primanja</v>
      </c>
      <c r="C32" s="553"/>
      <c r="D32" s="553"/>
      <c r="E32" s="553"/>
      <c r="F32" s="553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52" t="str">
        <f>+VLOOKUP($A33,Master!$D$30:$G$226,4,FALSE)</f>
        <v>Rashodi za materijal</v>
      </c>
      <c r="C33" s="553"/>
      <c r="D33" s="553"/>
      <c r="E33" s="553"/>
      <c r="F33" s="553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571" t="str">
        <f>+VLOOKUP($A34,Master!$D$30:$G$226,4,FALSE)</f>
        <v>Rashodi za usluge</v>
      </c>
      <c r="C34" s="572"/>
      <c r="D34" s="572"/>
      <c r="E34" s="572"/>
      <c r="F34" s="572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52" t="str">
        <f>+VLOOKUP($A35,Master!$D$30:$G$226,4,FALSE)</f>
        <v>Rashodi za tekuće održavanje</v>
      </c>
      <c r="C35" s="553"/>
      <c r="D35" s="553"/>
      <c r="E35" s="553"/>
      <c r="F35" s="553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52" t="str">
        <f>+VLOOKUP($A36,Master!$D$30:$G$226,4,FALSE)</f>
        <v>Kamate</v>
      </c>
      <c r="C36" s="553"/>
      <c r="D36" s="553"/>
      <c r="E36" s="553"/>
      <c r="F36" s="553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52" t="str">
        <f>+VLOOKUP($A37,Master!$D$30:$G$226,4,FALSE)</f>
        <v>Renta</v>
      </c>
      <c r="C37" s="553"/>
      <c r="D37" s="553"/>
      <c r="E37" s="553"/>
      <c r="F37" s="553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52" t="str">
        <f>+VLOOKUP($A38,Master!$D$30:$G$226,4,FALSE)</f>
        <v>Subvencije</v>
      </c>
      <c r="C38" s="553"/>
      <c r="D38" s="553"/>
      <c r="E38" s="553"/>
      <c r="F38" s="553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571" t="str">
        <f>+VLOOKUP($A39,Master!$D$30:$G$226,4,FALSE)</f>
        <v>Ostali izdaci</v>
      </c>
      <c r="C39" s="572"/>
      <c r="D39" s="572"/>
      <c r="E39" s="572"/>
      <c r="F39" s="572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48" t="str">
        <f>+VLOOKUP($A40,Master!$D$30:$G$226,4,FALSE)</f>
        <v>Transferi za socijalnu zaštitu</v>
      </c>
      <c r="C40" s="549"/>
      <c r="D40" s="549"/>
      <c r="E40" s="549"/>
      <c r="F40" s="549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52" t="str">
        <f>+VLOOKUP($A41,Master!$D$30:$G$226,4,FALSE)</f>
        <v>Prava iz oblasti socijalne zaštite</v>
      </c>
      <c r="C41" s="553"/>
      <c r="D41" s="553"/>
      <c r="E41" s="553"/>
      <c r="F41" s="553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52" t="str">
        <f>+VLOOKUP($A42,Master!$D$30:$G$226,4,FALSE)</f>
        <v>Sredstva za tehnološke viškove</v>
      </c>
      <c r="C42" s="553"/>
      <c r="D42" s="553"/>
      <c r="E42" s="553"/>
      <c r="F42" s="553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52" t="str">
        <f>+VLOOKUP($A43,Master!$D$30:$G$226,4,FALSE)</f>
        <v>Prava iz oblasti penzijskog i invalidskog osiguranja</v>
      </c>
      <c r="C43" s="553"/>
      <c r="D43" s="553"/>
      <c r="E43" s="553"/>
      <c r="F43" s="553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52" t="str">
        <f>+VLOOKUP($A44,Master!$D$30:$G$226,4,FALSE)</f>
        <v>Ostala prava iz oblasti zdravstvene zaštite</v>
      </c>
      <c r="C44" s="553"/>
      <c r="D44" s="553"/>
      <c r="E44" s="553"/>
      <c r="F44" s="553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573" t="str">
        <f>+VLOOKUP($A45,Master!$D$30:$G$226,4,FALSE)</f>
        <v>Ostala prava iz zdravstvenog osiguranja</v>
      </c>
      <c r="C45" s="574"/>
      <c r="D45" s="574"/>
      <c r="E45" s="574"/>
      <c r="F45" s="574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50" t="str">
        <f>+VLOOKUP($A46,Master!$D$30:$G$226,4,FALSE)</f>
        <v xml:space="preserve">Transferi institucijama, pojedincima, nevladinom i javnom sektoru </v>
      </c>
      <c r="C46" s="551"/>
      <c r="D46" s="551"/>
      <c r="E46" s="551"/>
      <c r="F46" s="551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50" t="str">
        <f>+VLOOKUP($A47,Master!$D$30:$G$226,4,FALSE)</f>
        <v>Kapitalni izdaci</v>
      </c>
      <c r="C47" s="551"/>
      <c r="D47" s="551"/>
      <c r="E47" s="551"/>
      <c r="F47" s="551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575" t="str">
        <f>+VLOOKUP($A48,Master!$D$30:$G$226,4,FALSE)</f>
        <v>Pozajmice i krediti</v>
      </c>
      <c r="C48" s="576"/>
      <c r="D48" s="576"/>
      <c r="E48" s="576"/>
      <c r="F48" s="576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580" t="str">
        <f>+VLOOKUP($A49,Master!$D$30:$G$226,4,FALSE)</f>
        <v>Rezerve</v>
      </c>
      <c r="C49" s="581"/>
      <c r="D49" s="581"/>
      <c r="E49" s="581"/>
      <c r="F49" s="581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38" t="str">
        <f>+VLOOKUP($A50,Master!$D$30:$G$226,4,FALSE)</f>
        <v>Otplata garancija</v>
      </c>
      <c r="C50" s="539"/>
      <c r="D50" s="539"/>
      <c r="E50" s="539"/>
      <c r="F50" s="539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582" t="str">
        <f>+VLOOKUP($A51,Master!$D$30:$G$226,4,TRUE)</f>
        <v>Otplata obaveza iz prethodnog perioda</v>
      </c>
      <c r="C51" s="583"/>
      <c r="D51" s="583"/>
      <c r="E51" s="583"/>
      <c r="F51" s="583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36" t="str">
        <f>+VLOOKUP($A56,Master!$D$30:$G$226,4,FALSE)</f>
        <v>Otplata hartija od vrijednosti i kredita rezidentima</v>
      </c>
      <c r="C56" s="537"/>
      <c r="D56" s="537"/>
      <c r="E56" s="537"/>
      <c r="F56" s="537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20" t="str">
        <f>+VLOOKUP($A57,Master!$D$30:$G$226,4,FALSE)</f>
        <v>Otplata hartija od vrijednosti i kredita nerezidentima</v>
      </c>
      <c r="C57" s="521"/>
      <c r="D57" s="521"/>
      <c r="E57" s="521"/>
      <c r="F57" s="521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58" t="str">
        <f>+VLOOKUP($A58,Master!$D$30:$G$226,4,FALSE)</f>
        <v>Izdaci za kupovinu hartija od vrijednosti</v>
      </c>
      <c r="C58" s="559"/>
      <c r="D58" s="559"/>
      <c r="E58" s="559"/>
      <c r="F58" s="559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40" t="str">
        <f>+VLOOKUP($A59,Master!$D$30:$G$226,4,FALSE)</f>
        <v>Nedostajuća sredstva</v>
      </c>
      <c r="C59" s="541"/>
      <c r="D59" s="541"/>
      <c r="E59" s="541"/>
      <c r="F59" s="541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42" t="str">
        <f>+VLOOKUP($A60,Master!$D$30:$G$226,4,FALSE)</f>
        <v>Finansiranje</v>
      </c>
      <c r="C60" s="543"/>
      <c r="D60" s="543"/>
      <c r="E60" s="543"/>
      <c r="F60" s="543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36" t="str">
        <f>+VLOOKUP($A61,Master!$D$30:$G$226,4,FALSE)</f>
        <v>Pozajmice i krediti od domaćih izvora</v>
      </c>
      <c r="C61" s="537"/>
      <c r="D61" s="537"/>
      <c r="E61" s="537"/>
      <c r="F61" s="537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20" t="str">
        <f>+VLOOKUP($A62,Master!$D$30:$G$226,4,FALSE)</f>
        <v>Pozajmice i krediti od inostranih izvora</v>
      </c>
      <c r="C62" s="521"/>
      <c r="D62" s="521"/>
      <c r="E62" s="521"/>
      <c r="F62" s="521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20" t="str">
        <f>+VLOOKUP($A63,Master!$D$30:$G$226,4,FALSE)</f>
        <v>Primici od prodaje imovine</v>
      </c>
      <c r="C63" s="521"/>
      <c r="D63" s="521"/>
      <c r="E63" s="521"/>
      <c r="F63" s="521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2" t="str">
        <f>+Master!G253</f>
        <v>Plan ostvarenja budžeta</v>
      </c>
      <c r="C100" s="593"/>
      <c r="D100" s="593"/>
      <c r="E100" s="593"/>
      <c r="F100" s="593"/>
      <c r="G100" s="577">
        <v>2020</v>
      </c>
      <c r="H100" s="578"/>
      <c r="I100" s="578"/>
      <c r="J100" s="578"/>
      <c r="K100" s="578"/>
      <c r="L100" s="578"/>
      <c r="M100" s="578"/>
      <c r="N100" s="578"/>
      <c r="O100" s="578"/>
      <c r="P100" s="578"/>
      <c r="Q100" s="578"/>
      <c r="R100" s="579"/>
      <c r="S100" s="107" t="str">
        <f>+S7</f>
        <v>BDP</v>
      </c>
      <c r="T100" s="108">
        <v>4607300000</v>
      </c>
    </row>
    <row r="101" spans="1:21" ht="15.75" customHeight="1">
      <c r="B101" s="594"/>
      <c r="C101" s="595"/>
      <c r="D101" s="595"/>
      <c r="E101" s="595"/>
      <c r="F101" s="596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7" t="str">
        <f>+Master!G247</f>
        <v>Jan - Dec</v>
      </c>
      <c r="T101" s="579">
        <f>+T8</f>
        <v>0</v>
      </c>
    </row>
    <row r="102" spans="1:21" ht="13.5" thickBot="1">
      <c r="B102" s="597"/>
      <c r="C102" s="598"/>
      <c r="D102" s="598"/>
      <c r="E102" s="598"/>
      <c r="F102" s="599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2" t="str">
        <f>+VLOOKUP(LEFT($A103,LEN(A103)-1)*1,Master!$D$30:$G$226,4,FALSE)</f>
        <v>Prihodi budžeta</v>
      </c>
      <c r="C103" s="623"/>
      <c r="D103" s="623"/>
      <c r="E103" s="623"/>
      <c r="F103" s="623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88" t="str">
        <f>+VLOOKUP(LEFT($A104,LEN(A104)-1)*1,Master!$D$30:$G$226,4,FALSE)</f>
        <v>Porezi</v>
      </c>
      <c r="C104" s="589"/>
      <c r="D104" s="589"/>
      <c r="E104" s="589"/>
      <c r="F104" s="589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90" t="str">
        <f>+VLOOKUP(LEFT($A105,LEN(A105)-1)*1,Master!$D$30:$G$229,4,FALSE)</f>
        <v>Porez na dohodak fizičkih lica</v>
      </c>
      <c r="C105" s="591"/>
      <c r="D105" s="591"/>
      <c r="E105" s="591"/>
      <c r="F105" s="59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90" t="str">
        <f>+VLOOKUP(LEFT($A106,LEN(A106)-1)*1,Master!$D$30:$G$229,4,FALSE)</f>
        <v>Porez na dobit pravnih lica</v>
      </c>
      <c r="C106" s="591"/>
      <c r="D106" s="591"/>
      <c r="E106" s="591"/>
      <c r="F106" s="59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90" t="str">
        <f>+VLOOKUP(LEFT($A107,LEN(A107)-1)*1,Master!$D$30:$G$229,4,FALSE)</f>
        <v>Porez na promet nepokretnosti</v>
      </c>
      <c r="C107" s="591"/>
      <c r="D107" s="591"/>
      <c r="E107" s="591"/>
      <c r="F107" s="59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90" t="str">
        <f>+VLOOKUP(LEFT($A108,LEN(A108)-1)*1,Master!$D$30:$G$229,4,FALSE)</f>
        <v>Porez na dodatu vrijednost</v>
      </c>
      <c r="C108" s="591"/>
      <c r="D108" s="591"/>
      <c r="E108" s="591"/>
      <c r="F108" s="59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90" t="str">
        <f>+VLOOKUP(LEFT($A109,LEN(A109)-1)*1,Master!$D$30:$G$229,4,FALSE)</f>
        <v>Akcize</v>
      </c>
      <c r="C109" s="591"/>
      <c r="D109" s="591"/>
      <c r="E109" s="591"/>
      <c r="F109" s="59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90" t="str">
        <f>+VLOOKUP(LEFT($A110,LEN(A110)-1)*1,Master!$D$30:$G$229,4,FALSE)</f>
        <v>Porez na međunarodnu trgovinu i transakcije</v>
      </c>
      <c r="C110" s="591"/>
      <c r="D110" s="591"/>
      <c r="E110" s="591"/>
      <c r="F110" s="59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90" t="str">
        <f>+VLOOKUP(LEFT($A111,LEN(A111)-1)*1,Master!$D$30:$G$229,4,FALSE)</f>
        <v>Ostali državni porezi</v>
      </c>
      <c r="C111" s="591"/>
      <c r="D111" s="591"/>
      <c r="E111" s="591"/>
      <c r="F111" s="59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0" t="str">
        <f>+VLOOKUP(LEFT($A112,LEN(A112)-1)*1,Master!$D$30:$G$229,4,FALSE)</f>
        <v>Doprinosi</v>
      </c>
      <c r="C112" s="621"/>
      <c r="D112" s="621"/>
      <c r="E112" s="621"/>
      <c r="F112" s="621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90" t="str">
        <f>+VLOOKUP(LEFT($A113,LEN(A113)-1)*1,Master!$D$30:$G$229,4,FALSE)</f>
        <v>Doprinosi za penzijsko i invalidsko osiguranje</v>
      </c>
      <c r="C113" s="591"/>
      <c r="D113" s="591"/>
      <c r="E113" s="591"/>
      <c r="F113" s="59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90" t="str">
        <f>+VLOOKUP(LEFT($A114,LEN(A114)-1)*1,Master!$D$30:$G$229,4,FALSE)</f>
        <v>Doprinosi za zdravstveno osiguranje</v>
      </c>
      <c r="C114" s="591"/>
      <c r="D114" s="591"/>
      <c r="E114" s="591"/>
      <c r="F114" s="59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90" t="str">
        <f>+VLOOKUP(LEFT($A115,LEN(A115)-1)*1,Master!$D$30:$G$229,4,FALSE)</f>
        <v>Doprinosi za osiguranje od nezaposlenosti</v>
      </c>
      <c r="C115" s="591"/>
      <c r="D115" s="591"/>
      <c r="E115" s="591"/>
      <c r="F115" s="59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90" t="str">
        <f>+VLOOKUP(LEFT($A116,LEN(A116)-1)*1,Master!$D$30:$G$229,4,FALSE)</f>
        <v>Ostali doprinosi</v>
      </c>
      <c r="C116" s="591"/>
      <c r="D116" s="591"/>
      <c r="E116" s="591"/>
      <c r="F116" s="59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600" t="str">
        <f>+VLOOKUP(LEFT($A117,LEN(A117)-1)*1,Master!$D$30:$G$229,4,FALSE)</f>
        <v>Takse</v>
      </c>
      <c r="C117" s="601"/>
      <c r="D117" s="601"/>
      <c r="E117" s="601"/>
      <c r="F117" s="601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600" t="str">
        <f>+VLOOKUP(LEFT($A118,LEN(A118)-1)*1,Master!$D$30:$G$229,4,FALSE)</f>
        <v>Naknade</v>
      </c>
      <c r="C118" s="601"/>
      <c r="D118" s="601"/>
      <c r="E118" s="601"/>
      <c r="F118" s="601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600" t="str">
        <f>+VLOOKUP(LEFT($A119,LEN(A119)-1)*1,Master!$D$30:$G$229,4,FALSE)</f>
        <v>Ostali prihodi</v>
      </c>
      <c r="C119" s="601"/>
      <c r="D119" s="601"/>
      <c r="E119" s="601"/>
      <c r="F119" s="601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600" t="str">
        <f>+VLOOKUP(LEFT($A120,LEN(A120)-1)*1,Master!$D$30:$G$229,4,FALSE)</f>
        <v>Primici od otplate kredita i sredstva prenesena iz prethodne godine</v>
      </c>
      <c r="C120" s="601"/>
      <c r="D120" s="601"/>
      <c r="E120" s="601"/>
      <c r="F120" s="601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602" t="str">
        <f>+VLOOKUP(LEFT($A121,LEN(A121)-1)*1,Master!$D$30:$G$229,4,FALSE)</f>
        <v>Donacije i transferi</v>
      </c>
      <c r="C121" s="603"/>
      <c r="D121" s="603"/>
      <c r="E121" s="603"/>
      <c r="F121" s="60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86" t="str">
        <f>+VLOOKUP(LEFT($A122,LEN(A122)-1)*1,Master!$D$30:$G$229,4,FALSE)</f>
        <v>Izdaci budžeta</v>
      </c>
      <c r="C122" s="587"/>
      <c r="D122" s="587"/>
      <c r="E122" s="587"/>
      <c r="F122" s="587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604" t="str">
        <f>+VLOOKUP(LEFT($A123,LEN(A123)-1)*1,Master!$D$30:$G$229,4,FALSE)</f>
        <v>Tekući izdaci</v>
      </c>
      <c r="C123" s="605"/>
      <c r="D123" s="605"/>
      <c r="E123" s="605"/>
      <c r="F123" s="60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90" t="str">
        <f>+VLOOKUP(LEFT($A124,LEN(A124)-1)*1,Master!$D$30:$G$229,4,FALSE)</f>
        <v>Bruto zarade i doprinosi na teret poslodavca</v>
      </c>
      <c r="C124" s="591"/>
      <c r="D124" s="591"/>
      <c r="E124" s="591"/>
      <c r="F124" s="59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90" t="str">
        <f>+VLOOKUP(LEFT($A125,LEN(A125)-1)*1,Master!$D$30:$G$229,4,FALSE)</f>
        <v>Ostala lična primanja</v>
      </c>
      <c r="C125" s="591"/>
      <c r="D125" s="591"/>
      <c r="E125" s="591"/>
      <c r="F125" s="59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90" t="str">
        <f>+VLOOKUP(LEFT($A126,LEN(A126)-1)*1,Master!$D$30:$G$229,4,FALSE)</f>
        <v>Rashodi za materijal</v>
      </c>
      <c r="C126" s="591"/>
      <c r="D126" s="591"/>
      <c r="E126" s="591"/>
      <c r="F126" s="59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90" t="str">
        <f>+VLOOKUP(LEFT($A127,LEN(A127)-1)*1,Master!$D$30:$G$229,4,FALSE)</f>
        <v>Rashodi za usluge</v>
      </c>
      <c r="C127" s="591"/>
      <c r="D127" s="591"/>
      <c r="E127" s="591"/>
      <c r="F127" s="59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90" t="str">
        <f>+VLOOKUP(LEFT($A128,LEN(A128)-1)*1,Master!$D$30:$G$229,4,FALSE)</f>
        <v>Rashodi za tekuće održavanje</v>
      </c>
      <c r="C128" s="591"/>
      <c r="D128" s="591"/>
      <c r="E128" s="591"/>
      <c r="F128" s="59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90" t="str">
        <f>+VLOOKUP(LEFT($A129,LEN(A129)-1)*1,Master!$D$30:$G$229,4,FALSE)</f>
        <v>Kamate</v>
      </c>
      <c r="C129" s="591"/>
      <c r="D129" s="591"/>
      <c r="E129" s="591"/>
      <c r="F129" s="59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90" t="str">
        <f>+VLOOKUP(LEFT($A130,LEN(A130)-1)*1,Master!$D$30:$G$229,4,FALSE)</f>
        <v>Renta</v>
      </c>
      <c r="C130" s="591"/>
      <c r="D130" s="591"/>
      <c r="E130" s="591"/>
      <c r="F130" s="59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90" t="str">
        <f>+VLOOKUP(LEFT($A131,LEN(A131)-1)*1,Master!$D$30:$G$229,4,FALSE)</f>
        <v>Subvencije</v>
      </c>
      <c r="C131" s="591"/>
      <c r="D131" s="591"/>
      <c r="E131" s="591"/>
      <c r="F131" s="59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90" t="str">
        <f>+VLOOKUP(LEFT($A132,LEN(A132)-1)*1,Master!$D$30:$G$229,4,FALSE)</f>
        <v>Ostali izdaci</v>
      </c>
      <c r="C132" s="591"/>
      <c r="D132" s="591"/>
      <c r="E132" s="591"/>
      <c r="F132" s="59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610" t="str">
        <f>+VLOOKUP(LEFT($A133,LEN(A133)-1)*1,Master!$D$30:$G$229,4,FALSE)</f>
        <v>Transferi za socijalnu zaštitu</v>
      </c>
      <c r="C133" s="611"/>
      <c r="D133" s="611"/>
      <c r="E133" s="611"/>
      <c r="F133" s="611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90" t="str">
        <f>+VLOOKUP(LEFT($A134,LEN(A134)-1)*1,Master!$D$30:$G$229,4,FALSE)</f>
        <v>Prava iz oblasti socijalne zaštite</v>
      </c>
      <c r="C134" s="591"/>
      <c r="D134" s="591"/>
      <c r="E134" s="591"/>
      <c r="F134" s="59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90" t="str">
        <f>+VLOOKUP(LEFT($A135,LEN(A135)-1)*1,Master!$D$30:$G$229,4,FALSE)</f>
        <v>Sredstva za tehnološke viškove</v>
      </c>
      <c r="C135" s="591"/>
      <c r="D135" s="591"/>
      <c r="E135" s="591"/>
      <c r="F135" s="59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90" t="str">
        <f>+VLOOKUP(LEFT($A136,LEN(A136)-1)*1,Master!$D$30:$G$229,4,FALSE)</f>
        <v>Prava iz oblasti penzijskog i invalidskog osiguranja</v>
      </c>
      <c r="C136" s="591"/>
      <c r="D136" s="591"/>
      <c r="E136" s="591"/>
      <c r="F136" s="59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90" t="str">
        <f>+VLOOKUP(LEFT($A137,LEN(A137)-1)*1,Master!$D$30:$G$229,4,FALSE)</f>
        <v>Ostala prava iz oblasti zdravstvene zaštite</v>
      </c>
      <c r="C137" s="591"/>
      <c r="D137" s="591"/>
      <c r="E137" s="591"/>
      <c r="F137" s="59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90" t="str">
        <f>+VLOOKUP(LEFT($A138,LEN(A138)-1)*1,Master!$D$30:$G$229,4,FALSE)</f>
        <v>Ostala prava iz zdravstvenog osiguranja</v>
      </c>
      <c r="C138" s="591"/>
      <c r="D138" s="591"/>
      <c r="E138" s="591"/>
      <c r="F138" s="59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606" t="str">
        <f>+VLOOKUP(LEFT($A139,LEN(A139)-1)*1,Master!$D$30:$G$229,4,FALSE)</f>
        <v xml:space="preserve">Transferi institucijama, pojedincima, nevladinom i javnom sektoru </v>
      </c>
      <c r="C139" s="607"/>
      <c r="D139" s="607"/>
      <c r="E139" s="607"/>
      <c r="F139" s="607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606" t="str">
        <f>+VLOOKUP(LEFT($A140,LEN(A140)-1)*1,Master!$D$30:$G$229,4,FALSE)</f>
        <v>Kapitalni izdaci</v>
      </c>
      <c r="C140" s="607"/>
      <c r="D140" s="607"/>
      <c r="E140" s="607"/>
      <c r="F140" s="607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608" t="str">
        <f>+VLOOKUP(LEFT($A141,LEN(A141)-1)*1,Master!$D$30:$G$229,4,FALSE)</f>
        <v>Pozajmice i krediti</v>
      </c>
      <c r="C141" s="609"/>
      <c r="D141" s="609"/>
      <c r="E141" s="609"/>
      <c r="F141" s="609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608" t="str">
        <f>+VLOOKUP(LEFT($A142,LEN(A142)-1)*1,Master!$D$30:$G$229,4,FALSE)</f>
        <v>Rezerve</v>
      </c>
      <c r="C142" s="609"/>
      <c r="D142" s="609"/>
      <c r="E142" s="609"/>
      <c r="F142" s="609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608" t="str">
        <f>+VLOOKUP(LEFT($A143,LEN(A143)-1)*1,Master!$D$30:$G$229,4,FALSE)</f>
        <v>Otplata garancija</v>
      </c>
      <c r="C143" s="609"/>
      <c r="D143" s="609"/>
      <c r="E143" s="609"/>
      <c r="F143" s="609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608" t="str">
        <f>+VLOOKUP(LEFT($A144,LEN(A144)-1)*1,Master!$D$30:$G$229,4,FALSE)</f>
        <v>Otplata obaveza iz prethodnog perioda</v>
      </c>
      <c r="C144" s="609"/>
      <c r="D144" s="609"/>
      <c r="E144" s="609"/>
      <c r="F144" s="609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608" t="str">
        <f>+VLOOKUP(LEFT($A145,LEN(A145)-1)*1,Master!$D$30:$G$229,4,FALSE)</f>
        <v>Neto povećanje obaveza</v>
      </c>
      <c r="C145" s="609"/>
      <c r="D145" s="609"/>
      <c r="E145" s="609"/>
      <c r="F145" s="609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616" t="str">
        <f>+VLOOKUP(LEFT($A146,LEN(A146)-1)*1,Master!$D$30:$G$226,4,FALSE)</f>
        <v>Suficit / deficit</v>
      </c>
      <c r="C146" s="617"/>
      <c r="D146" s="617"/>
      <c r="E146" s="617"/>
      <c r="F146" s="617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18" t="str">
        <f>+VLOOKUP(LEFT($A147,LEN(A147)-1)*1,Master!$D$30:$G$226,4,FALSE)</f>
        <v>Primarni suficit/deficit</v>
      </c>
      <c r="C147" s="619"/>
      <c r="D147" s="619"/>
      <c r="E147" s="619"/>
      <c r="F147" s="619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610" t="str">
        <f>+VLOOKUP(LEFT($A148,LEN(A148)-1)*1,Master!$D$30:$G$226,4,FALSE)</f>
        <v>Otplata dugova</v>
      </c>
      <c r="C148" s="611"/>
      <c r="D148" s="611"/>
      <c r="E148" s="611"/>
      <c r="F148" s="611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614" t="str">
        <f>+VLOOKUP(LEFT($A149,LEN(A149)-1)*1,Master!$D$30:$G$226,4,FALSE)</f>
        <v>Otplata hartija od vrijednosti i kredita rezidentima</v>
      </c>
      <c r="C149" s="615"/>
      <c r="D149" s="615"/>
      <c r="E149" s="615"/>
      <c r="F149" s="615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608" t="str">
        <f>+VLOOKUP(LEFT($A150,LEN(A150)-1)*1,Master!$D$30:$G$226,4,FALSE)</f>
        <v>Otplata hartija od vrijednosti i kredita nerezidentima</v>
      </c>
      <c r="C150" s="609"/>
      <c r="D150" s="609"/>
      <c r="E150" s="609"/>
      <c r="F150" s="609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86" t="str">
        <f>+VLOOKUP(LEFT($A151,LEN(A151)-1)*1,Master!$D$30:$G$226,4,FALSE)</f>
        <v>Izdaci za kupovinu hartija od vrijednosti</v>
      </c>
      <c r="C151" s="587"/>
      <c r="D151" s="587"/>
      <c r="E151" s="587"/>
      <c r="F151" s="587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12" t="str">
        <f>+VLOOKUP(LEFT($A152,LEN(A152)-1)*1,Master!$D$30:$G$226,4,FALSE)</f>
        <v>Nedostajuća sredstva</v>
      </c>
      <c r="C152" s="613"/>
      <c r="D152" s="613"/>
      <c r="E152" s="613"/>
      <c r="F152" s="613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86" t="str">
        <f>+VLOOKUP(LEFT($A153,LEN(A153)-1)*1,Master!$D$30:$G$226,4,FALSE)</f>
        <v>Finansiranje</v>
      </c>
      <c r="C153" s="587"/>
      <c r="D153" s="587"/>
      <c r="E153" s="587"/>
      <c r="F153" s="587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614" t="str">
        <f>+VLOOKUP(LEFT($A154,LEN(A154)-1)*1,Master!$D$30:$G$226,4,FALSE)</f>
        <v>Pozajmice i krediti od domaćih izvora</v>
      </c>
      <c r="C154" s="615"/>
      <c r="D154" s="615"/>
      <c r="E154" s="615"/>
      <c r="F154" s="615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608" t="str">
        <f>+VLOOKUP(LEFT($A155,LEN(A155)-1)*1,Master!$D$30:$G$226,4,FALSE)</f>
        <v>Pozajmice i krediti od inostranih izvora</v>
      </c>
      <c r="C155" s="609"/>
      <c r="D155" s="609"/>
      <c r="E155" s="609"/>
      <c r="F155" s="609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608" t="str">
        <f>+VLOOKUP(LEFT($A156,LEN(A156)-1)*1,Master!$D$30:$G$226,4,FALSE)</f>
        <v>Primici od prodaje imovine</v>
      </c>
      <c r="C156" s="609"/>
      <c r="D156" s="609"/>
      <c r="E156" s="609"/>
      <c r="F156" s="609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796875" defaultRowHeight="13"/>
  <cols>
    <col min="1" max="1" width="5.453125" style="70" customWidth="1"/>
    <col min="2" max="4" width="9.1796875" style="258"/>
    <col min="5" max="5" width="23.453125" style="258" bestFit="1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1" style="258" customWidth="1"/>
    <col min="23" max="23" width="13.81640625" style="258" bestFit="1" customWidth="1"/>
    <col min="24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570" t="s">
        <v>553</v>
      </c>
      <c r="C7" s="523"/>
      <c r="D7" s="523"/>
      <c r="E7" s="523"/>
      <c r="F7" s="523"/>
      <c r="G7" s="531">
        <v>2019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">
        <v>419</v>
      </c>
      <c r="T7" s="236">
        <v>4951000000</v>
      </c>
    </row>
    <row r="8" spans="1:20" ht="16.5" customHeight="1">
      <c r="A8" s="144"/>
      <c r="B8" s="524"/>
      <c r="C8" s="525"/>
      <c r="D8" s="525"/>
      <c r="E8" s="525"/>
      <c r="F8" s="526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1" t="s">
        <v>806</v>
      </c>
      <c r="T8" s="535"/>
    </row>
    <row r="9" spans="1:20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42" t="s">
        <v>680</v>
      </c>
      <c r="C10" s="543"/>
      <c r="D10" s="543"/>
      <c r="E10" s="543"/>
      <c r="F10" s="543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66" t="s">
        <v>21</v>
      </c>
      <c r="C11" s="567"/>
      <c r="D11" s="567"/>
      <c r="E11" s="567"/>
      <c r="F11" s="567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52" t="s">
        <v>23</v>
      </c>
      <c r="C12" s="553"/>
      <c r="D12" s="553"/>
      <c r="E12" s="553"/>
      <c r="F12" s="553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52" t="s">
        <v>25</v>
      </c>
      <c r="C13" s="553"/>
      <c r="D13" s="553"/>
      <c r="E13" s="553"/>
      <c r="F13" s="553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52" t="s">
        <v>27</v>
      </c>
      <c r="C14" s="553"/>
      <c r="D14" s="553"/>
      <c r="E14" s="553"/>
      <c r="F14" s="553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52" t="s">
        <v>29</v>
      </c>
      <c r="C15" s="553"/>
      <c r="D15" s="553"/>
      <c r="E15" s="553"/>
      <c r="F15" s="553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52" t="s">
        <v>31</v>
      </c>
      <c r="C16" s="553"/>
      <c r="D16" s="553"/>
      <c r="E16" s="553"/>
      <c r="F16" s="553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52" t="s">
        <v>33</v>
      </c>
      <c r="C17" s="553"/>
      <c r="D17" s="553"/>
      <c r="E17" s="553"/>
      <c r="F17" s="553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52" t="s">
        <v>721</v>
      </c>
      <c r="C18" s="553"/>
      <c r="D18" s="553"/>
      <c r="E18" s="553"/>
      <c r="F18" s="553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62" t="s">
        <v>37</v>
      </c>
      <c r="C19" s="563"/>
      <c r="D19" s="563"/>
      <c r="E19" s="563"/>
      <c r="F19" s="563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52" t="s">
        <v>39</v>
      </c>
      <c r="C20" s="553"/>
      <c r="D20" s="553"/>
      <c r="E20" s="553"/>
      <c r="F20" s="553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52" t="s">
        <v>41</v>
      </c>
      <c r="C21" s="553"/>
      <c r="D21" s="553"/>
      <c r="E21" s="553"/>
      <c r="F21" s="553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52" t="s">
        <v>43</v>
      </c>
      <c r="C22" s="553"/>
      <c r="D22" s="553"/>
      <c r="E22" s="553"/>
      <c r="F22" s="553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52" t="s">
        <v>45</v>
      </c>
      <c r="C23" s="553"/>
      <c r="D23" s="553"/>
      <c r="E23" s="553"/>
      <c r="F23" s="553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54" t="s">
        <v>47</v>
      </c>
      <c r="C24" s="555"/>
      <c r="D24" s="555"/>
      <c r="E24" s="555"/>
      <c r="F24" s="555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54" t="s">
        <v>61</v>
      </c>
      <c r="C25" s="555"/>
      <c r="D25" s="555"/>
      <c r="E25" s="555"/>
      <c r="F25" s="555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54" t="s">
        <v>81</v>
      </c>
      <c r="C26" s="555"/>
      <c r="D26" s="555"/>
      <c r="E26" s="555"/>
      <c r="F26" s="555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54" t="s">
        <v>99</v>
      </c>
      <c r="C27" s="555"/>
      <c r="D27" s="555"/>
      <c r="E27" s="555"/>
      <c r="F27" s="555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56" t="s">
        <v>105</v>
      </c>
      <c r="C28" s="557"/>
      <c r="D28" s="557"/>
      <c r="E28" s="557"/>
      <c r="F28" s="557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42" t="s">
        <v>801</v>
      </c>
      <c r="C29" s="543"/>
      <c r="D29" s="543"/>
      <c r="E29" s="543"/>
      <c r="F29" s="543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58" t="s">
        <v>120</v>
      </c>
      <c r="C30" s="559"/>
      <c r="D30" s="559"/>
      <c r="E30" s="559"/>
      <c r="F30" s="559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52" t="s">
        <v>122</v>
      </c>
      <c r="C31" s="553"/>
      <c r="D31" s="553"/>
      <c r="E31" s="553"/>
      <c r="F31" s="553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52" t="s">
        <v>133</v>
      </c>
      <c r="C32" s="553"/>
      <c r="D32" s="553"/>
      <c r="E32" s="553"/>
      <c r="F32" s="553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52" t="s">
        <v>148</v>
      </c>
      <c r="C33" s="553"/>
      <c r="D33" s="553"/>
      <c r="E33" s="553"/>
      <c r="F33" s="553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52" t="s">
        <v>162</v>
      </c>
      <c r="C34" s="553"/>
      <c r="D34" s="553"/>
      <c r="E34" s="553"/>
      <c r="F34" s="553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571" t="s">
        <v>182</v>
      </c>
      <c r="C35" s="572"/>
      <c r="D35" s="572"/>
      <c r="E35" s="572"/>
      <c r="F35" s="572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52" t="s">
        <v>190</v>
      </c>
      <c r="C36" s="553"/>
      <c r="D36" s="553"/>
      <c r="E36" s="553"/>
      <c r="F36" s="553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52" t="s">
        <v>196</v>
      </c>
      <c r="C37" s="553"/>
      <c r="D37" s="553"/>
      <c r="E37" s="553"/>
      <c r="F37" s="553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52" t="s">
        <v>204</v>
      </c>
      <c r="C38" s="553"/>
      <c r="D38" s="553"/>
      <c r="E38" s="553"/>
      <c r="F38" s="553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52" t="s">
        <v>212</v>
      </c>
      <c r="C39" s="553"/>
      <c r="D39" s="553"/>
      <c r="E39" s="553"/>
      <c r="F39" s="553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48" t="s">
        <v>230</v>
      </c>
      <c r="C40" s="549"/>
      <c r="D40" s="549"/>
      <c r="E40" s="549"/>
      <c r="F40" s="549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52" t="s">
        <v>232</v>
      </c>
      <c r="C41" s="553"/>
      <c r="D41" s="553"/>
      <c r="E41" s="553"/>
      <c r="F41" s="553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52" t="s">
        <v>248</v>
      </c>
      <c r="C42" s="553"/>
      <c r="D42" s="553"/>
      <c r="E42" s="553"/>
      <c r="F42" s="553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52" t="s">
        <v>259</v>
      </c>
      <c r="C43" s="553"/>
      <c r="D43" s="553"/>
      <c r="E43" s="553"/>
      <c r="F43" s="553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52" t="s">
        <v>274</v>
      </c>
      <c r="C44" s="553"/>
      <c r="D44" s="553"/>
      <c r="E44" s="553"/>
      <c r="F44" s="553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52" t="s">
        <v>278</v>
      </c>
      <c r="C45" s="553"/>
      <c r="D45" s="553"/>
      <c r="E45" s="553"/>
      <c r="F45" s="553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50" t="s">
        <v>286</v>
      </c>
      <c r="C46" s="551"/>
      <c r="D46" s="551"/>
      <c r="E46" s="551"/>
      <c r="F46" s="551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50" t="s">
        <v>320</v>
      </c>
      <c r="C47" s="551"/>
      <c r="D47" s="551"/>
      <c r="E47" s="551"/>
      <c r="F47" s="551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575" t="s">
        <v>113</v>
      </c>
      <c r="C48" s="576"/>
      <c r="D48" s="576"/>
      <c r="E48" s="576"/>
      <c r="F48" s="576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580" t="s">
        <v>366</v>
      </c>
      <c r="C49" s="581"/>
      <c r="D49" s="581"/>
      <c r="E49" s="581"/>
      <c r="F49" s="581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38" t="s">
        <v>359</v>
      </c>
      <c r="C50" s="539"/>
      <c r="D50" s="539"/>
      <c r="E50" s="539"/>
      <c r="F50" s="539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582" t="s">
        <v>794</v>
      </c>
      <c r="C51" s="583"/>
      <c r="D51" s="583"/>
      <c r="E51" s="583"/>
      <c r="F51" s="583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584" t="s">
        <v>684</v>
      </c>
      <c r="C52" s="585"/>
      <c r="D52" s="585"/>
      <c r="E52" s="585"/>
      <c r="F52" s="585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4" t="s">
        <v>545</v>
      </c>
      <c r="C53" s="545"/>
      <c r="D53" s="545"/>
      <c r="E53" s="545"/>
      <c r="F53" s="545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6" t="s">
        <v>792</v>
      </c>
      <c r="C54" s="547"/>
      <c r="D54" s="547"/>
      <c r="E54" s="547"/>
      <c r="F54" s="547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68" t="s">
        <v>352</v>
      </c>
      <c r="C55" s="569"/>
      <c r="D55" s="569"/>
      <c r="E55" s="569"/>
      <c r="F55" s="569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36" t="s">
        <v>355</v>
      </c>
      <c r="C56" s="537"/>
      <c r="D56" s="537"/>
      <c r="E56" s="537"/>
      <c r="F56" s="537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20" t="s">
        <v>357</v>
      </c>
      <c r="C57" s="521"/>
      <c r="D57" s="521"/>
      <c r="E57" s="521"/>
      <c r="F57" s="521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4" t="s">
        <v>336</v>
      </c>
      <c r="C58" s="625"/>
      <c r="D58" s="625"/>
      <c r="E58" s="625"/>
      <c r="F58" s="625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40" t="s">
        <v>543</v>
      </c>
      <c r="C59" s="541"/>
      <c r="D59" s="541"/>
      <c r="E59" s="541"/>
      <c r="F59" s="541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42" t="s">
        <v>544</v>
      </c>
      <c r="C60" s="543"/>
      <c r="D60" s="543"/>
      <c r="E60" s="543"/>
      <c r="F60" s="543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36" t="s">
        <v>114</v>
      </c>
      <c r="C61" s="537"/>
      <c r="D61" s="537"/>
      <c r="E61" s="537"/>
      <c r="F61" s="537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20" t="s">
        <v>116</v>
      </c>
      <c r="C62" s="521"/>
      <c r="D62" s="521"/>
      <c r="E62" s="521"/>
      <c r="F62" s="521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20" t="s">
        <v>93</v>
      </c>
      <c r="C63" s="521"/>
      <c r="D63" s="521"/>
      <c r="E63" s="521"/>
      <c r="F63" s="521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2" t="s">
        <v>551</v>
      </c>
      <c r="C100" s="593"/>
      <c r="D100" s="593"/>
      <c r="E100" s="593"/>
      <c r="F100" s="593"/>
      <c r="G100" s="577">
        <v>2019</v>
      </c>
      <c r="H100" s="578"/>
      <c r="I100" s="578"/>
      <c r="J100" s="578"/>
      <c r="K100" s="578"/>
      <c r="L100" s="578"/>
      <c r="M100" s="578"/>
      <c r="N100" s="578"/>
      <c r="O100" s="578"/>
      <c r="P100" s="578"/>
      <c r="Q100" s="578"/>
      <c r="R100" s="579"/>
      <c r="S100" s="107" t="str">
        <f>+S7</f>
        <v>BDP</v>
      </c>
      <c r="T100" s="108">
        <f>+T7</f>
        <v>4951000000</v>
      </c>
    </row>
    <row r="101" spans="1:21" ht="15.75" customHeight="1">
      <c r="B101" s="594"/>
      <c r="C101" s="595"/>
      <c r="D101" s="595"/>
      <c r="E101" s="595"/>
      <c r="F101" s="596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77" t="s">
        <v>806</v>
      </c>
      <c r="T101" s="579">
        <f>+T8</f>
        <v>0</v>
      </c>
    </row>
    <row r="102" spans="1:21" ht="13.5" thickBot="1">
      <c r="B102" s="597"/>
      <c r="C102" s="598"/>
      <c r="D102" s="598"/>
      <c r="E102" s="598"/>
      <c r="F102" s="599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2" t="s">
        <v>680</v>
      </c>
      <c r="C103" s="623"/>
      <c r="D103" s="623"/>
      <c r="E103" s="623"/>
      <c r="F103" s="623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88" t="s">
        <v>21</v>
      </c>
      <c r="C104" s="589"/>
      <c r="D104" s="589"/>
      <c r="E104" s="589"/>
      <c r="F104" s="589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90" t="s">
        <v>23</v>
      </c>
      <c r="C105" s="591"/>
      <c r="D105" s="591"/>
      <c r="E105" s="591"/>
      <c r="F105" s="59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90" t="s">
        <v>25</v>
      </c>
      <c r="C106" s="591"/>
      <c r="D106" s="591"/>
      <c r="E106" s="591"/>
      <c r="F106" s="59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90" t="s">
        <v>27</v>
      </c>
      <c r="C107" s="591"/>
      <c r="D107" s="591"/>
      <c r="E107" s="591"/>
      <c r="F107" s="59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90" t="s">
        <v>29</v>
      </c>
      <c r="C108" s="591"/>
      <c r="D108" s="591"/>
      <c r="E108" s="591"/>
      <c r="F108" s="59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90" t="s">
        <v>31</v>
      </c>
      <c r="C109" s="591"/>
      <c r="D109" s="591"/>
      <c r="E109" s="591"/>
      <c r="F109" s="59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90" t="s">
        <v>33</v>
      </c>
      <c r="C110" s="591"/>
      <c r="D110" s="591"/>
      <c r="E110" s="591"/>
      <c r="F110" s="59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90" t="s">
        <v>721</v>
      </c>
      <c r="C111" s="591"/>
      <c r="D111" s="591"/>
      <c r="E111" s="591"/>
      <c r="F111" s="59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0" t="s">
        <v>37</v>
      </c>
      <c r="C112" s="621"/>
      <c r="D112" s="621"/>
      <c r="E112" s="621"/>
      <c r="F112" s="621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90" t="s">
        <v>39</v>
      </c>
      <c r="C113" s="591"/>
      <c r="D113" s="591"/>
      <c r="E113" s="591"/>
      <c r="F113" s="59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90" t="s">
        <v>41</v>
      </c>
      <c r="C114" s="591"/>
      <c r="D114" s="591"/>
      <c r="E114" s="591"/>
      <c r="F114" s="59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90" t="s">
        <v>43</v>
      </c>
      <c r="C115" s="591"/>
      <c r="D115" s="591"/>
      <c r="E115" s="591"/>
      <c r="F115" s="59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90" t="s">
        <v>45</v>
      </c>
      <c r="C116" s="591"/>
      <c r="D116" s="591"/>
      <c r="E116" s="591"/>
      <c r="F116" s="59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600" t="s">
        <v>47</v>
      </c>
      <c r="C117" s="601"/>
      <c r="D117" s="601"/>
      <c r="E117" s="601"/>
      <c r="F117" s="601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600" t="s">
        <v>61</v>
      </c>
      <c r="C118" s="601"/>
      <c r="D118" s="601"/>
      <c r="E118" s="601"/>
      <c r="F118" s="601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600" t="s">
        <v>81</v>
      </c>
      <c r="C119" s="601"/>
      <c r="D119" s="601"/>
      <c r="E119" s="601"/>
      <c r="F119" s="601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600" t="s">
        <v>99</v>
      </c>
      <c r="C120" s="601"/>
      <c r="D120" s="601"/>
      <c r="E120" s="601"/>
      <c r="F120" s="601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602" t="s">
        <v>105</v>
      </c>
      <c r="C121" s="603"/>
      <c r="D121" s="603"/>
      <c r="E121" s="603"/>
      <c r="F121" s="60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86" t="s">
        <v>808</v>
      </c>
      <c r="C122" s="587"/>
      <c r="D122" s="587"/>
      <c r="E122" s="587"/>
      <c r="F122" s="587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28" t="s">
        <v>773</v>
      </c>
      <c r="C123" s="629"/>
      <c r="D123" s="629"/>
      <c r="E123" s="629"/>
      <c r="F123" s="629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604" t="e">
        <v>#REF!</v>
      </c>
      <c r="C124" s="605"/>
      <c r="D124" s="605"/>
      <c r="E124" s="605"/>
      <c r="F124" s="605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90" t="s">
        <v>122</v>
      </c>
      <c r="C125" s="591"/>
      <c r="D125" s="591"/>
      <c r="E125" s="591"/>
      <c r="F125" s="59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90" t="s">
        <v>133</v>
      </c>
      <c r="C126" s="591"/>
      <c r="D126" s="591"/>
      <c r="E126" s="591"/>
      <c r="F126" s="59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90" t="s">
        <v>148</v>
      </c>
      <c r="C127" s="591"/>
      <c r="D127" s="591"/>
      <c r="E127" s="591"/>
      <c r="F127" s="59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90" t="s">
        <v>162</v>
      </c>
      <c r="C128" s="591"/>
      <c r="D128" s="591"/>
      <c r="E128" s="591"/>
      <c r="F128" s="59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90" t="s">
        <v>182</v>
      </c>
      <c r="C129" s="591"/>
      <c r="D129" s="591"/>
      <c r="E129" s="591"/>
      <c r="F129" s="59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90" t="s">
        <v>190</v>
      </c>
      <c r="C130" s="591"/>
      <c r="D130" s="591"/>
      <c r="E130" s="591"/>
      <c r="F130" s="59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90" t="s">
        <v>196</v>
      </c>
      <c r="C131" s="591"/>
      <c r="D131" s="591"/>
      <c r="E131" s="591"/>
      <c r="F131" s="59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90" t="s">
        <v>204</v>
      </c>
      <c r="C132" s="591"/>
      <c r="D132" s="591"/>
      <c r="E132" s="591"/>
      <c r="F132" s="59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90" t="s">
        <v>212</v>
      </c>
      <c r="C133" s="591"/>
      <c r="D133" s="591"/>
      <c r="E133" s="591"/>
      <c r="F133" s="59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90" t="e">
        <v>#REF!</v>
      </c>
      <c r="C134" s="591"/>
      <c r="D134" s="591"/>
      <c r="E134" s="591"/>
      <c r="F134" s="59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610" t="s">
        <v>230</v>
      </c>
      <c r="C135" s="611"/>
      <c r="D135" s="611"/>
      <c r="E135" s="611"/>
      <c r="F135" s="611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90" t="s">
        <v>232</v>
      </c>
      <c r="C136" s="591"/>
      <c r="D136" s="591"/>
      <c r="E136" s="591"/>
      <c r="F136" s="59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90" t="s">
        <v>248</v>
      </c>
      <c r="C137" s="591"/>
      <c r="D137" s="591"/>
      <c r="E137" s="591"/>
      <c r="F137" s="59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90" t="s">
        <v>259</v>
      </c>
      <c r="C138" s="591"/>
      <c r="D138" s="591"/>
      <c r="E138" s="591"/>
      <c r="F138" s="59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90" t="s">
        <v>274</v>
      </c>
      <c r="C139" s="591"/>
      <c r="D139" s="591"/>
      <c r="E139" s="591"/>
      <c r="F139" s="59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90" t="s">
        <v>278</v>
      </c>
      <c r="C140" s="591"/>
      <c r="D140" s="591"/>
      <c r="E140" s="591"/>
      <c r="F140" s="59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606" t="s">
        <v>286</v>
      </c>
      <c r="C141" s="607"/>
      <c r="D141" s="607"/>
      <c r="E141" s="607"/>
      <c r="F141" s="607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606" t="s">
        <v>809</v>
      </c>
      <c r="C142" s="607"/>
      <c r="D142" s="607"/>
      <c r="E142" s="607"/>
      <c r="F142" s="607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608" t="s">
        <v>113</v>
      </c>
      <c r="C143" s="609"/>
      <c r="D143" s="609"/>
      <c r="E143" s="609"/>
      <c r="F143" s="609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608" t="s">
        <v>366</v>
      </c>
      <c r="C144" s="609"/>
      <c r="D144" s="609"/>
      <c r="E144" s="609"/>
      <c r="F144" s="609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608" t="s">
        <v>359</v>
      </c>
      <c r="C145" s="609"/>
      <c r="D145" s="609"/>
      <c r="E145" s="609"/>
      <c r="F145" s="609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608" t="s">
        <v>365</v>
      </c>
      <c r="C146" s="609"/>
      <c r="D146" s="609"/>
      <c r="E146" s="609"/>
      <c r="F146" s="609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6" t="s">
        <v>685</v>
      </c>
      <c r="C147" s="627"/>
      <c r="D147" s="627"/>
      <c r="E147" s="627"/>
      <c r="F147" s="627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616" t="s">
        <v>545</v>
      </c>
      <c r="C148" s="617"/>
      <c r="D148" s="617"/>
      <c r="E148" s="617"/>
      <c r="F148" s="617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618" t="s">
        <v>810</v>
      </c>
      <c r="C149" s="619"/>
      <c r="D149" s="619"/>
      <c r="E149" s="619"/>
      <c r="F149" s="619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610" t="s">
        <v>352</v>
      </c>
      <c r="C150" s="611"/>
      <c r="D150" s="611"/>
      <c r="E150" s="611"/>
      <c r="F150" s="611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614" t="s">
        <v>355</v>
      </c>
      <c r="C151" s="615"/>
      <c r="D151" s="615"/>
      <c r="E151" s="615"/>
      <c r="F151" s="615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608" t="s">
        <v>357</v>
      </c>
      <c r="C152" s="609"/>
      <c r="D152" s="609"/>
      <c r="E152" s="609"/>
      <c r="F152" s="609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4" t="s">
        <v>336</v>
      </c>
      <c r="C153" s="625"/>
      <c r="D153" s="625"/>
      <c r="E153" s="625"/>
      <c r="F153" s="625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612" t="s">
        <v>543</v>
      </c>
      <c r="C154" s="613"/>
      <c r="D154" s="613"/>
      <c r="E154" s="613"/>
      <c r="F154" s="613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86" t="s">
        <v>544</v>
      </c>
      <c r="C155" s="587"/>
      <c r="D155" s="587"/>
      <c r="E155" s="587"/>
      <c r="F155" s="587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614" t="s">
        <v>114</v>
      </c>
      <c r="C156" s="615"/>
      <c r="D156" s="615"/>
      <c r="E156" s="615"/>
      <c r="F156" s="615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608" t="s">
        <v>116</v>
      </c>
      <c r="C157" s="609"/>
      <c r="D157" s="609"/>
      <c r="E157" s="609"/>
      <c r="F157" s="609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608" t="s">
        <v>93</v>
      </c>
      <c r="C158" s="609"/>
      <c r="D158" s="609"/>
      <c r="E158" s="609"/>
      <c r="F158" s="609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796875" defaultRowHeight="13"/>
  <cols>
    <col min="1" max="1" width="5.453125" style="70" customWidth="1"/>
    <col min="2" max="4" width="9.1796875" style="258"/>
    <col min="5" max="5" width="4.7265625" style="258" customWidth="1"/>
    <col min="6" max="6" width="1.816406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11.453125" style="258" customWidth="1"/>
    <col min="22" max="22" width="11" style="258" bestFit="1" customWidth="1"/>
    <col min="23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570" t="s">
        <v>553</v>
      </c>
      <c r="C7" s="523"/>
      <c r="D7" s="523"/>
      <c r="E7" s="523"/>
      <c r="F7" s="523"/>
      <c r="G7" s="531">
        <v>2018</v>
      </c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5"/>
      <c r="S7" s="235" t="s">
        <v>419</v>
      </c>
      <c r="T7" s="236">
        <v>4663130000</v>
      </c>
    </row>
    <row r="8" spans="1:20" ht="16.5" customHeight="1">
      <c r="A8" s="144"/>
      <c r="B8" s="524"/>
      <c r="C8" s="525"/>
      <c r="D8" s="525"/>
      <c r="E8" s="525"/>
      <c r="F8" s="526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31" t="s">
        <v>806</v>
      </c>
      <c r="T8" s="535"/>
    </row>
    <row r="9" spans="1:20" ht="13.5" thickBot="1">
      <c r="A9" s="144"/>
      <c r="B9" s="527"/>
      <c r="C9" s="528"/>
      <c r="D9" s="528"/>
      <c r="E9" s="528"/>
      <c r="F9" s="529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64" t="s">
        <v>680</v>
      </c>
      <c r="C10" s="565"/>
      <c r="D10" s="565"/>
      <c r="E10" s="565"/>
      <c r="F10" s="565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66" t="s">
        <v>21</v>
      </c>
      <c r="C11" s="567"/>
      <c r="D11" s="567"/>
      <c r="E11" s="567"/>
      <c r="F11" s="567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52" t="s">
        <v>23</v>
      </c>
      <c r="C12" s="553"/>
      <c r="D12" s="553"/>
      <c r="E12" s="553"/>
      <c r="F12" s="553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52" t="s">
        <v>25</v>
      </c>
      <c r="C13" s="553"/>
      <c r="D13" s="553"/>
      <c r="E13" s="553"/>
      <c r="F13" s="553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52" t="s">
        <v>27</v>
      </c>
      <c r="C14" s="553"/>
      <c r="D14" s="553"/>
      <c r="E14" s="553"/>
      <c r="F14" s="553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52" t="s">
        <v>29</v>
      </c>
      <c r="C15" s="553"/>
      <c r="D15" s="553"/>
      <c r="E15" s="553"/>
      <c r="F15" s="553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52" t="s">
        <v>31</v>
      </c>
      <c r="C16" s="553"/>
      <c r="D16" s="553"/>
      <c r="E16" s="553"/>
      <c r="F16" s="553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52" t="s">
        <v>33</v>
      </c>
      <c r="C17" s="553"/>
      <c r="D17" s="553"/>
      <c r="E17" s="553"/>
      <c r="F17" s="553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52" t="s">
        <v>721</v>
      </c>
      <c r="C18" s="553"/>
      <c r="D18" s="553"/>
      <c r="E18" s="553"/>
      <c r="F18" s="553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62" t="s">
        <v>37</v>
      </c>
      <c r="C19" s="563"/>
      <c r="D19" s="563"/>
      <c r="E19" s="563"/>
      <c r="F19" s="563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52" t="s">
        <v>39</v>
      </c>
      <c r="C20" s="553"/>
      <c r="D20" s="553"/>
      <c r="E20" s="553"/>
      <c r="F20" s="553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52" t="s">
        <v>41</v>
      </c>
      <c r="C21" s="553"/>
      <c r="D21" s="553"/>
      <c r="E21" s="553"/>
      <c r="F21" s="553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52" t="s">
        <v>43</v>
      </c>
      <c r="C22" s="553"/>
      <c r="D22" s="553"/>
      <c r="E22" s="553"/>
      <c r="F22" s="553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52" t="s">
        <v>45</v>
      </c>
      <c r="C23" s="553"/>
      <c r="D23" s="553"/>
      <c r="E23" s="553"/>
      <c r="F23" s="553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54" t="s">
        <v>47</v>
      </c>
      <c r="C24" s="555"/>
      <c r="D24" s="555"/>
      <c r="E24" s="555"/>
      <c r="F24" s="555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54" t="s">
        <v>61</v>
      </c>
      <c r="C25" s="555"/>
      <c r="D25" s="555"/>
      <c r="E25" s="555"/>
      <c r="F25" s="555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54" t="s">
        <v>81</v>
      </c>
      <c r="C26" s="555"/>
      <c r="D26" s="555"/>
      <c r="E26" s="555"/>
      <c r="F26" s="555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54" t="s">
        <v>99</v>
      </c>
      <c r="C27" s="555"/>
      <c r="D27" s="555"/>
      <c r="E27" s="555"/>
      <c r="F27" s="555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56" t="s">
        <v>105</v>
      </c>
      <c r="C28" s="557"/>
      <c r="D28" s="557"/>
      <c r="E28" s="557"/>
      <c r="F28" s="557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42" t="s">
        <v>801</v>
      </c>
      <c r="C29" s="543"/>
      <c r="D29" s="543"/>
      <c r="E29" s="543"/>
      <c r="F29" s="543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58" t="s">
        <v>773</v>
      </c>
      <c r="C30" s="559"/>
      <c r="D30" s="559"/>
      <c r="E30" s="559"/>
      <c r="F30" s="559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60" t="s">
        <v>120</v>
      </c>
      <c r="C31" s="561"/>
      <c r="D31" s="561"/>
      <c r="E31" s="561"/>
      <c r="F31" s="561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52" t="s">
        <v>122</v>
      </c>
      <c r="C32" s="553"/>
      <c r="D32" s="553"/>
      <c r="E32" s="553"/>
      <c r="F32" s="553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52" t="s">
        <v>133</v>
      </c>
      <c r="C33" s="553"/>
      <c r="D33" s="553"/>
      <c r="E33" s="553"/>
      <c r="F33" s="553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52" t="s">
        <v>148</v>
      </c>
      <c r="C34" s="553"/>
      <c r="D34" s="553"/>
      <c r="E34" s="553"/>
      <c r="F34" s="553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52" t="s">
        <v>162</v>
      </c>
      <c r="C35" s="553"/>
      <c r="D35" s="553"/>
      <c r="E35" s="553"/>
      <c r="F35" s="553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52" t="s">
        <v>182</v>
      </c>
      <c r="C36" s="553"/>
      <c r="D36" s="553"/>
      <c r="E36" s="553"/>
      <c r="F36" s="553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52" t="s">
        <v>190</v>
      </c>
      <c r="C37" s="553"/>
      <c r="D37" s="553"/>
      <c r="E37" s="553"/>
      <c r="F37" s="553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52" t="s">
        <v>196</v>
      </c>
      <c r="C38" s="553"/>
      <c r="D38" s="553"/>
      <c r="E38" s="553"/>
      <c r="F38" s="553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52" t="s">
        <v>204</v>
      </c>
      <c r="C39" s="553"/>
      <c r="D39" s="553"/>
      <c r="E39" s="553"/>
      <c r="F39" s="553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52" t="s">
        <v>212</v>
      </c>
      <c r="C40" s="553"/>
      <c r="D40" s="553"/>
      <c r="E40" s="553"/>
      <c r="F40" s="553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52" t="s">
        <v>802</v>
      </c>
      <c r="C41" s="553"/>
      <c r="D41" s="553"/>
      <c r="E41" s="553"/>
      <c r="F41" s="553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48" t="s">
        <v>230</v>
      </c>
      <c r="C42" s="549"/>
      <c r="D42" s="549"/>
      <c r="E42" s="549"/>
      <c r="F42" s="549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52" t="s">
        <v>232</v>
      </c>
      <c r="C43" s="553"/>
      <c r="D43" s="553"/>
      <c r="E43" s="553"/>
      <c r="F43" s="553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52" t="s">
        <v>248</v>
      </c>
      <c r="C44" s="553"/>
      <c r="D44" s="553"/>
      <c r="E44" s="553"/>
      <c r="F44" s="553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52" t="s">
        <v>259</v>
      </c>
      <c r="C45" s="553"/>
      <c r="D45" s="553"/>
      <c r="E45" s="553"/>
      <c r="F45" s="553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52" t="s">
        <v>274</v>
      </c>
      <c r="C46" s="553"/>
      <c r="D46" s="553"/>
      <c r="E46" s="553"/>
      <c r="F46" s="553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2" t="s">
        <v>278</v>
      </c>
      <c r="C47" s="633"/>
      <c r="D47" s="633"/>
      <c r="E47" s="633"/>
      <c r="F47" s="633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50" t="s">
        <v>286</v>
      </c>
      <c r="C48" s="551"/>
      <c r="D48" s="551"/>
      <c r="E48" s="551"/>
      <c r="F48" s="551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50" t="s">
        <v>320</v>
      </c>
      <c r="C49" s="551"/>
      <c r="D49" s="551"/>
      <c r="E49" s="551"/>
      <c r="F49" s="551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575" t="s">
        <v>113</v>
      </c>
      <c r="C50" s="576"/>
      <c r="D50" s="576"/>
      <c r="E50" s="576"/>
      <c r="F50" s="576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20" t="s">
        <v>366</v>
      </c>
      <c r="C51" s="521"/>
      <c r="D51" s="521"/>
      <c r="E51" s="521"/>
      <c r="F51" s="521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38" t="s">
        <v>359</v>
      </c>
      <c r="C52" s="539"/>
      <c r="D52" s="539"/>
      <c r="E52" s="539"/>
      <c r="F52" s="539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582" t="s">
        <v>794</v>
      </c>
      <c r="C53" s="583"/>
      <c r="D53" s="583"/>
      <c r="E53" s="583"/>
      <c r="F53" s="583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584" t="s">
        <v>684</v>
      </c>
      <c r="C54" s="585"/>
      <c r="D54" s="585"/>
      <c r="E54" s="585"/>
      <c r="F54" s="585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4" t="s">
        <v>545</v>
      </c>
      <c r="C55" s="545"/>
      <c r="D55" s="545"/>
      <c r="E55" s="545"/>
      <c r="F55" s="545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6" t="s">
        <v>793</v>
      </c>
      <c r="C57" s="547"/>
      <c r="D57" s="547"/>
      <c r="E57" s="547"/>
      <c r="F57" s="547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68" t="s">
        <v>352</v>
      </c>
      <c r="C58" s="569"/>
      <c r="D58" s="569"/>
      <c r="E58" s="569"/>
      <c r="F58" s="569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36" t="s">
        <v>355</v>
      </c>
      <c r="C59" s="537"/>
      <c r="D59" s="537"/>
      <c r="E59" s="537"/>
      <c r="F59" s="537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20" t="s">
        <v>357</v>
      </c>
      <c r="C60" s="521"/>
      <c r="D60" s="521"/>
      <c r="E60" s="521"/>
      <c r="F60" s="521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0" t="s">
        <v>336</v>
      </c>
      <c r="C61" s="631"/>
      <c r="D61" s="631"/>
      <c r="E61" s="631"/>
      <c r="F61" s="631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40" t="s">
        <v>543</v>
      </c>
      <c r="C62" s="541"/>
      <c r="D62" s="541"/>
      <c r="E62" s="541"/>
      <c r="F62" s="541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42" t="s">
        <v>544</v>
      </c>
      <c r="C63" s="543"/>
      <c r="D63" s="543"/>
      <c r="E63" s="543"/>
      <c r="F63" s="543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36" t="s">
        <v>114</v>
      </c>
      <c r="C64" s="537"/>
      <c r="D64" s="537"/>
      <c r="E64" s="537"/>
      <c r="F64" s="537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20" t="s">
        <v>116</v>
      </c>
      <c r="C65" s="521"/>
      <c r="D65" s="521"/>
      <c r="E65" s="521"/>
      <c r="F65" s="521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20" t="s">
        <v>93</v>
      </c>
      <c r="C66" s="521"/>
      <c r="D66" s="521"/>
      <c r="E66" s="521"/>
      <c r="F66" s="521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2" t="s">
        <v>551</v>
      </c>
      <c r="C103" s="593"/>
      <c r="D103" s="593"/>
      <c r="E103" s="593"/>
      <c r="F103" s="593"/>
      <c r="G103" s="577">
        <v>2018</v>
      </c>
      <c r="H103" s="578"/>
      <c r="I103" s="578"/>
      <c r="J103" s="578"/>
      <c r="K103" s="578"/>
      <c r="L103" s="578"/>
      <c r="M103" s="578"/>
      <c r="N103" s="578"/>
      <c r="O103" s="578"/>
      <c r="P103" s="578"/>
      <c r="Q103" s="578"/>
      <c r="R103" s="579"/>
      <c r="S103" s="107" t="str">
        <f>+S7</f>
        <v>BDP</v>
      </c>
      <c r="T103" s="108">
        <f>+T7</f>
        <v>4663130000</v>
      </c>
    </row>
    <row r="104" spans="1:21" ht="15.75" customHeight="1">
      <c r="B104" s="594"/>
      <c r="C104" s="595"/>
      <c r="D104" s="595"/>
      <c r="E104" s="595"/>
      <c r="F104" s="596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7" t="s">
        <v>806</v>
      </c>
      <c r="T104" s="579">
        <f>+T8</f>
        <v>0</v>
      </c>
    </row>
    <row r="105" spans="1:21" ht="13.5" thickBot="1">
      <c r="B105" s="597"/>
      <c r="C105" s="598"/>
      <c r="D105" s="598"/>
      <c r="E105" s="598"/>
      <c r="F105" s="599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2" t="s">
        <v>680</v>
      </c>
      <c r="C106" s="623"/>
      <c r="D106" s="623"/>
      <c r="E106" s="623"/>
      <c r="F106" s="623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88" t="s">
        <v>21</v>
      </c>
      <c r="C107" s="589"/>
      <c r="D107" s="589"/>
      <c r="E107" s="589"/>
      <c r="F107" s="589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90" t="s">
        <v>23</v>
      </c>
      <c r="C108" s="591"/>
      <c r="D108" s="591"/>
      <c r="E108" s="591"/>
      <c r="F108" s="59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90" t="s">
        <v>25</v>
      </c>
      <c r="C109" s="591"/>
      <c r="D109" s="591"/>
      <c r="E109" s="591"/>
      <c r="F109" s="59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90" t="s">
        <v>27</v>
      </c>
      <c r="C110" s="591"/>
      <c r="D110" s="591"/>
      <c r="E110" s="591"/>
      <c r="F110" s="59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90" t="s">
        <v>29</v>
      </c>
      <c r="C111" s="591"/>
      <c r="D111" s="591"/>
      <c r="E111" s="591"/>
      <c r="F111" s="59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90" t="s">
        <v>31</v>
      </c>
      <c r="C112" s="591"/>
      <c r="D112" s="591"/>
      <c r="E112" s="591"/>
      <c r="F112" s="59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90" t="s">
        <v>33</v>
      </c>
      <c r="C113" s="591"/>
      <c r="D113" s="591"/>
      <c r="E113" s="591"/>
      <c r="F113" s="59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90" t="s">
        <v>721</v>
      </c>
      <c r="C114" s="591"/>
      <c r="D114" s="591"/>
      <c r="E114" s="591"/>
      <c r="F114" s="59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0" t="s">
        <v>37</v>
      </c>
      <c r="C115" s="621"/>
      <c r="D115" s="621"/>
      <c r="E115" s="621"/>
      <c r="F115" s="621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90" t="s">
        <v>39</v>
      </c>
      <c r="C116" s="591"/>
      <c r="D116" s="591"/>
      <c r="E116" s="591"/>
      <c r="F116" s="59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90" t="s">
        <v>41</v>
      </c>
      <c r="C117" s="591"/>
      <c r="D117" s="591"/>
      <c r="E117" s="591"/>
      <c r="F117" s="59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90" t="s">
        <v>43</v>
      </c>
      <c r="C118" s="591"/>
      <c r="D118" s="591"/>
      <c r="E118" s="591"/>
      <c r="F118" s="59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90" t="s">
        <v>45</v>
      </c>
      <c r="C119" s="591"/>
      <c r="D119" s="591"/>
      <c r="E119" s="591"/>
      <c r="F119" s="59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600" t="s">
        <v>47</v>
      </c>
      <c r="C120" s="601"/>
      <c r="D120" s="601"/>
      <c r="E120" s="601"/>
      <c r="F120" s="601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600" t="s">
        <v>61</v>
      </c>
      <c r="C121" s="601"/>
      <c r="D121" s="601"/>
      <c r="E121" s="601"/>
      <c r="F121" s="601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600" t="s">
        <v>81</v>
      </c>
      <c r="C122" s="601"/>
      <c r="D122" s="601"/>
      <c r="E122" s="601"/>
      <c r="F122" s="601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600" t="s">
        <v>99</v>
      </c>
      <c r="C123" s="601"/>
      <c r="D123" s="601"/>
      <c r="E123" s="601"/>
      <c r="F123" s="601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602" t="s">
        <v>105</v>
      </c>
      <c r="C124" s="603"/>
      <c r="D124" s="603"/>
      <c r="E124" s="603"/>
      <c r="F124" s="60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86" t="s">
        <v>808</v>
      </c>
      <c r="C125" s="587"/>
      <c r="D125" s="587"/>
      <c r="E125" s="587"/>
      <c r="F125" s="587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28" t="s">
        <v>773</v>
      </c>
      <c r="C126" s="629"/>
      <c r="D126" s="629"/>
      <c r="E126" s="629"/>
      <c r="F126" s="629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604" t="s">
        <v>120</v>
      </c>
      <c r="C127" s="605"/>
      <c r="D127" s="605"/>
      <c r="E127" s="605"/>
      <c r="F127" s="60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90" t="s">
        <v>122</v>
      </c>
      <c r="C128" s="591"/>
      <c r="D128" s="591"/>
      <c r="E128" s="591"/>
      <c r="F128" s="59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90" t="s">
        <v>133</v>
      </c>
      <c r="C129" s="591"/>
      <c r="D129" s="591"/>
      <c r="E129" s="591"/>
      <c r="F129" s="59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90" t="s">
        <v>148</v>
      </c>
      <c r="C130" s="591"/>
      <c r="D130" s="591"/>
      <c r="E130" s="591"/>
      <c r="F130" s="59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90" t="s">
        <v>162</v>
      </c>
      <c r="C131" s="591"/>
      <c r="D131" s="591"/>
      <c r="E131" s="591"/>
      <c r="F131" s="59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90" t="s">
        <v>182</v>
      </c>
      <c r="C132" s="591"/>
      <c r="D132" s="591"/>
      <c r="E132" s="591"/>
      <c r="F132" s="59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90" t="s">
        <v>190</v>
      </c>
      <c r="C133" s="591"/>
      <c r="D133" s="591"/>
      <c r="E133" s="591"/>
      <c r="F133" s="59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90" t="s">
        <v>196</v>
      </c>
      <c r="C134" s="591"/>
      <c r="D134" s="591"/>
      <c r="E134" s="591"/>
      <c r="F134" s="59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90" t="s">
        <v>204</v>
      </c>
      <c r="C135" s="591"/>
      <c r="D135" s="591"/>
      <c r="E135" s="591"/>
      <c r="F135" s="59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90" t="s">
        <v>212</v>
      </c>
      <c r="C136" s="591"/>
      <c r="D136" s="591"/>
      <c r="E136" s="591"/>
      <c r="F136" s="59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90" t="s">
        <v>802</v>
      </c>
      <c r="C137" s="591"/>
      <c r="D137" s="591"/>
      <c r="E137" s="591"/>
      <c r="F137" s="59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610" t="s">
        <v>230</v>
      </c>
      <c r="C138" s="611"/>
      <c r="D138" s="611"/>
      <c r="E138" s="611"/>
      <c r="F138" s="611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90" t="s">
        <v>232</v>
      </c>
      <c r="C139" s="591"/>
      <c r="D139" s="591"/>
      <c r="E139" s="591"/>
      <c r="F139" s="59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90" t="s">
        <v>248</v>
      </c>
      <c r="C140" s="591"/>
      <c r="D140" s="591"/>
      <c r="E140" s="591"/>
      <c r="F140" s="59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90" t="s">
        <v>259</v>
      </c>
      <c r="C141" s="591"/>
      <c r="D141" s="591"/>
      <c r="E141" s="591"/>
      <c r="F141" s="59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90" t="s">
        <v>274</v>
      </c>
      <c r="C142" s="591"/>
      <c r="D142" s="591"/>
      <c r="E142" s="591"/>
      <c r="F142" s="59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90" t="s">
        <v>278</v>
      </c>
      <c r="C143" s="591"/>
      <c r="D143" s="591"/>
      <c r="E143" s="591"/>
      <c r="F143" s="59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606" t="s">
        <v>286</v>
      </c>
      <c r="C144" s="607"/>
      <c r="D144" s="607"/>
      <c r="E144" s="607"/>
      <c r="F144" s="607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606" t="s">
        <v>809</v>
      </c>
      <c r="C145" s="607"/>
      <c r="D145" s="607"/>
      <c r="E145" s="607"/>
      <c r="F145" s="607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608" t="s">
        <v>113</v>
      </c>
      <c r="C146" s="609"/>
      <c r="D146" s="609"/>
      <c r="E146" s="609"/>
      <c r="F146" s="609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608" t="s">
        <v>366</v>
      </c>
      <c r="C147" s="609"/>
      <c r="D147" s="609"/>
      <c r="E147" s="609"/>
      <c r="F147" s="609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608" t="s">
        <v>359</v>
      </c>
      <c r="C148" s="609"/>
      <c r="D148" s="609"/>
      <c r="E148" s="609"/>
      <c r="F148" s="609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616" t="s">
        <v>545</v>
      </c>
      <c r="C150" s="617"/>
      <c r="D150" s="617"/>
      <c r="E150" s="617"/>
      <c r="F150" s="617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618" t="s">
        <v>810</v>
      </c>
      <c r="C151" s="619"/>
      <c r="D151" s="619"/>
      <c r="E151" s="619"/>
      <c r="F151" s="619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610" t="s">
        <v>352</v>
      </c>
      <c r="C152" s="611"/>
      <c r="D152" s="611"/>
      <c r="E152" s="611"/>
      <c r="F152" s="611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614" t="s">
        <v>355</v>
      </c>
      <c r="C153" s="615"/>
      <c r="D153" s="615"/>
      <c r="E153" s="615"/>
      <c r="F153" s="615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608" t="s">
        <v>357</v>
      </c>
      <c r="C154" s="609"/>
      <c r="D154" s="609"/>
      <c r="E154" s="609"/>
      <c r="F154" s="609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608" t="s">
        <v>365</v>
      </c>
      <c r="C155" s="609"/>
      <c r="D155" s="609"/>
      <c r="E155" s="609"/>
      <c r="F155" s="609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12" t="s">
        <v>543</v>
      </c>
      <c r="C157" s="613"/>
      <c r="D157" s="613"/>
      <c r="E157" s="613"/>
      <c r="F157" s="613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86" t="s">
        <v>544</v>
      </c>
      <c r="C158" s="587"/>
      <c r="D158" s="587"/>
      <c r="E158" s="587"/>
      <c r="F158" s="587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614" t="s">
        <v>114</v>
      </c>
      <c r="C159" s="615"/>
      <c r="D159" s="615"/>
      <c r="E159" s="615"/>
      <c r="F159" s="615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608" t="s">
        <v>116</v>
      </c>
      <c r="C160" s="609"/>
      <c r="D160" s="609"/>
      <c r="E160" s="609"/>
      <c r="F160" s="609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608" t="s">
        <v>93</v>
      </c>
      <c r="C161" s="609"/>
      <c r="D161" s="609"/>
      <c r="E161" s="609"/>
      <c r="F161" s="609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Korisnik</cp:lastModifiedBy>
  <cp:lastPrinted>2022-03-03T07:18:34Z</cp:lastPrinted>
  <dcterms:created xsi:type="dcterms:W3CDTF">2014-09-15T13:41:17Z</dcterms:created>
  <dcterms:modified xsi:type="dcterms:W3CDTF">2023-03-02T09:05:37Z</dcterms:modified>
</cp:coreProperties>
</file>