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4\GDDS 2024\Jul 2024\"/>
    </mc:Choice>
  </mc:AlternateContent>
  <xr:revisionPtr revIDLastSave="0" documentId="13_ncr:1_{EE5355C7-1723-4BA7-95D3-B48097838F3F}" xr6:coauthVersionLast="36" xr6:coauthVersionMax="36" xr10:uidLastSave="{00000000-0000-0000-0000-000000000000}"/>
  <workbookProtection workbookAlgorithmName="SHA-512" workbookHashValue="eq86zXHfyeOznCy2mVvZpTF2Pc4hHiVv/PErO+eMCeNRWJGbEn2mJ0tLC+uawxM931OnHOQ+7C6H5HPKf/yKpA==" workbookSaltValue="8BhYpFd+3TAarwOAL3nAvQ==" workbookSpinCount="100000" lockStructure="1"/>
  <bookViews>
    <workbookView xWindow="0" yWindow="0" windowWidth="19200" windowHeight="6930" tabRatio="587" firstSheet="1" activeTab="1" xr2:uid="{00000000-000D-0000-FFFF-FFFF00000000}"/>
  </bookViews>
  <sheets>
    <sheet name="Analitika - 2014" sheetId="3" state="hidden" r:id="rId1"/>
    <sheet name="Pregled" sheetId="1" r:id="rId2"/>
    <sheet name="Analitika 2024" sheetId="11" r:id="rId3"/>
    <sheet name="2024" sheetId="26" r:id="rId4"/>
    <sheet name="2023" sheetId="27" state="hidden" r:id="rId5"/>
    <sheet name="2022" sheetId="25" state="hidden" r:id="rId6"/>
    <sheet name="2021" sheetId="22" state="hidden" r:id="rId7"/>
    <sheet name="2020" sheetId="19" state="hidden" r:id="rId8"/>
    <sheet name="2019" sheetId="20" state="hidden" r:id="rId9"/>
    <sheet name="2018" sheetId="21" state="hidden" r:id="rId10"/>
    <sheet name="DataEx" sheetId="6" state="hidden" r:id="rId11"/>
    <sheet name="Master" sheetId="2" state="hidden" r:id="rId12"/>
  </sheets>
  <externalReferences>
    <externalReference r:id="rId13"/>
  </externalReferences>
  <definedNames>
    <definedName name="_2015plan" localSheetId="9">'2018'!$A$103:$A$162</definedName>
    <definedName name="_2015plan" localSheetId="8">'2019'!$A$100:$A$159</definedName>
    <definedName name="_2015plan" localSheetId="7">'2020'!$A$100:$A$157</definedName>
    <definedName name="_2015plan" localSheetId="6">'2021'!$A$81:$A$138</definedName>
    <definedName name="_2015plan" localSheetId="5">'2022'!$A$83:$A$140</definedName>
    <definedName name="_2015plan" localSheetId="4">'2023'!$A$83:$A$142</definedName>
    <definedName name="_2015plan" localSheetId="3">'2024'!$A$83:$A$142</definedName>
  </definedNames>
  <calcPr calcId="191029"/>
</workbook>
</file>

<file path=xl/calcChain.xml><?xml version="1.0" encoding="utf-8"?>
<calcChain xmlns="http://schemas.openxmlformats.org/spreadsheetml/2006/main"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10" i="11"/>
  <c r="N12" i="11"/>
  <c r="N13" i="11"/>
  <c r="N14" i="11"/>
  <c r="N15" i="11"/>
  <c r="N16" i="11"/>
  <c r="P16" i="11" s="1"/>
  <c r="N17" i="11"/>
  <c r="P17" i="11" s="1"/>
  <c r="N18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5" i="11"/>
  <c r="N56" i="11"/>
  <c r="N57" i="11"/>
  <c r="N58" i="11"/>
  <c r="N59" i="11"/>
  <c r="N62" i="11"/>
  <c r="N63" i="11"/>
  <c r="N64" i="11"/>
  <c r="N65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G19" i="26" l="1"/>
  <c r="H19" i="26"/>
  <c r="G55" i="26" l="1"/>
  <c r="I19" i="26" l="1"/>
  <c r="A142" i="27" l="1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S115" i="27"/>
  <c r="T115" i="27" s="1"/>
  <c r="R115" i="27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J105" i="27" s="1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Q86" i="27" s="1"/>
  <c r="P87" i="27"/>
  <c r="O87" i="27"/>
  <c r="N87" i="27"/>
  <c r="M87" i="27"/>
  <c r="M86" i="27" s="1"/>
  <c r="L87" i="27"/>
  <c r="K87" i="27"/>
  <c r="J87" i="27"/>
  <c r="I87" i="27"/>
  <c r="I86" i="27" s="1"/>
  <c r="H87" i="27"/>
  <c r="H86" i="27" s="1"/>
  <c r="G87" i="27"/>
  <c r="A87" i="27"/>
  <c r="P86" i="27"/>
  <c r="L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I29" i="27" s="1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O11" i="27"/>
  <c r="O10" i="27" s="1"/>
  <c r="N11" i="27"/>
  <c r="N10" i="27" s="1"/>
  <c r="M11" i="27"/>
  <c r="M10" i="27" s="1"/>
  <c r="L11" i="27"/>
  <c r="K11" i="27"/>
  <c r="K10" i="27" s="1"/>
  <c r="J11" i="27"/>
  <c r="J10" i="27" s="1"/>
  <c r="I11" i="27"/>
  <c r="I10" i="27" s="1"/>
  <c r="H11" i="27"/>
  <c r="G11" i="27"/>
  <c r="R10" i="27"/>
  <c r="P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J86" i="27" l="1"/>
  <c r="N86" i="27"/>
  <c r="R86" i="27"/>
  <c r="H10" i="27"/>
  <c r="H105" i="27"/>
  <c r="L105" i="27"/>
  <c r="P105" i="27"/>
  <c r="P129" i="27" s="1"/>
  <c r="H29" i="27"/>
  <c r="K29" i="27"/>
  <c r="P29" i="27"/>
  <c r="J29" i="27"/>
  <c r="J129" i="27"/>
  <c r="N129" i="27"/>
  <c r="H129" i="27"/>
  <c r="H130" i="27" s="1"/>
  <c r="G86" i="27"/>
  <c r="K86" i="27"/>
  <c r="O86" i="27"/>
  <c r="S123" i="27"/>
  <c r="T123" i="27" s="1"/>
  <c r="I105" i="27"/>
  <c r="M105" i="27"/>
  <c r="M129" i="27" s="1"/>
  <c r="Q105" i="27"/>
  <c r="Q129" i="27" s="1"/>
  <c r="L10" i="27"/>
  <c r="R106" i="27"/>
  <c r="R105" i="27" s="1"/>
  <c r="R129" i="27" s="1"/>
  <c r="G105" i="27"/>
  <c r="G129" i="27" s="1"/>
  <c r="K105" i="27"/>
  <c r="K129" i="27" s="1"/>
  <c r="K130" i="27" s="1"/>
  <c r="O105" i="27"/>
  <c r="L129" i="27"/>
  <c r="L130" i="27" s="1"/>
  <c r="G29" i="27"/>
  <c r="G53" i="27" s="1"/>
  <c r="O29" i="27"/>
  <c r="O53" i="27" s="1"/>
  <c r="O60" i="27" s="1"/>
  <c r="O66" i="27" s="1"/>
  <c r="O61" i="27" s="1"/>
  <c r="G10" i="27"/>
  <c r="S95" i="27"/>
  <c r="T95" i="27" s="1"/>
  <c r="S87" i="27"/>
  <c r="T87" i="27" s="1"/>
  <c r="S131" i="27"/>
  <c r="T131" i="27" s="1"/>
  <c r="S55" i="27"/>
  <c r="T55" i="27" s="1"/>
  <c r="K53" i="27"/>
  <c r="K60" i="27" s="1"/>
  <c r="K66" i="27" s="1"/>
  <c r="K61" i="27" s="1"/>
  <c r="I53" i="27"/>
  <c r="I60" i="27" s="1"/>
  <c r="I66" i="27" s="1"/>
  <c r="I61" i="27" s="1"/>
  <c r="P53" i="27"/>
  <c r="P54" i="27" s="1"/>
  <c r="L53" i="27"/>
  <c r="L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N136" i="27"/>
  <c r="N142" i="27" s="1"/>
  <c r="N137" i="27" s="1"/>
  <c r="N130" i="27"/>
  <c r="S40" i="27"/>
  <c r="T40" i="27" s="1"/>
  <c r="J136" i="27"/>
  <c r="J142" i="27" s="1"/>
  <c r="J137" i="27" s="1"/>
  <c r="J130" i="27"/>
  <c r="L136" i="27"/>
  <c r="L142" i="27" s="1"/>
  <c r="L137" i="27" s="1"/>
  <c r="S11" i="27"/>
  <c r="T11" i="27" s="1"/>
  <c r="I129" i="27"/>
  <c r="S116" i="27"/>
  <c r="T116" i="27" s="1"/>
  <c r="S109" i="27"/>
  <c r="T109" i="27" s="1"/>
  <c r="P130" i="27" l="1"/>
  <c r="P136" i="27"/>
  <c r="P142" i="27" s="1"/>
  <c r="P137" i="27" s="1"/>
  <c r="S10" i="27"/>
  <c r="T10" i="27" s="1"/>
  <c r="S86" i="27"/>
  <c r="T86" i="27" s="1"/>
  <c r="H53" i="27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H60" i="27"/>
  <c r="N54" i="27"/>
  <c r="N60" i="27"/>
  <c r="N66" i="27" s="1"/>
  <c r="N61" i="27" s="1"/>
  <c r="R54" i="27"/>
  <c r="R60" i="27"/>
  <c r="R66" i="27" s="1"/>
  <c r="R61" i="27" s="1"/>
  <c r="O54" i="27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60" i="27"/>
  <c r="S53" i="27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H66" i="27" l="1"/>
  <c r="H54" i="27"/>
  <c r="O130" i="27"/>
  <c r="O136" i="27"/>
  <c r="O142" i="27" s="1"/>
  <c r="O137" i="27" s="1"/>
  <c r="G66" i="27"/>
  <c r="S130" i="27"/>
  <c r="T130" i="27" s="1"/>
  <c r="G142" i="27"/>
  <c r="S136" i="27"/>
  <c r="T136" i="27" s="1"/>
  <c r="S60" i="27"/>
  <c r="T53" i="27"/>
  <c r="S59" i="11"/>
  <c r="P59" i="11"/>
  <c r="S54" i="27" l="1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T141" i="26" l="1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10" i="26" s="1"/>
  <c r="H8" i="26"/>
  <c r="H84" i="26" s="1"/>
  <c r="H5" i="26"/>
  <c r="G131" i="26"/>
  <c r="G116" i="26"/>
  <c r="G106" i="26"/>
  <c r="G95" i="26"/>
  <c r="G87" i="26"/>
  <c r="G82" i="26"/>
  <c r="G11" i="26"/>
  <c r="G10" i="26" s="1"/>
  <c r="G8" i="26"/>
  <c r="G84" i="26" s="1"/>
  <c r="G5" i="26"/>
  <c r="J10" i="26" l="1"/>
  <c r="L86" i="26"/>
  <c r="L29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I129" i="26"/>
  <c r="H129" i="26"/>
  <c r="L53" i="26"/>
  <c r="J129" i="26"/>
  <c r="J53" i="26"/>
  <c r="K53" i="26"/>
  <c r="G129" i="26"/>
  <c r="G136" i="26" s="1"/>
  <c r="G142" i="26" s="1"/>
  <c r="K129" i="26"/>
  <c r="K136" i="26" s="1"/>
  <c r="K142" i="26" s="1"/>
  <c r="L130" i="26"/>
  <c r="L137" i="26"/>
  <c r="I130" i="26"/>
  <c r="L54" i="26" l="1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T65" i="11"/>
  <c r="S65" i="11"/>
  <c r="L66" i="26" l="1"/>
  <c r="K66" i="26"/>
  <c r="J66" i="26"/>
  <c r="H142" i="26"/>
  <c r="K137" i="26"/>
  <c r="S59" i="26"/>
  <c r="S65" i="26"/>
  <c r="S59" i="25"/>
  <c r="S65" i="25"/>
  <c r="L61" i="26" l="1"/>
  <c r="K61" i="26"/>
  <c r="J61" i="26"/>
  <c r="H137" i="26"/>
  <c r="G137" i="26"/>
  <c r="T59" i="26"/>
  <c r="G59" i="11"/>
  <c r="T65" i="26"/>
  <c r="G65" i="11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48" i="26"/>
  <c r="Q40" i="26"/>
  <c r="P40" i="26"/>
  <c r="O40" i="26"/>
  <c r="N40" i="26"/>
  <c r="M40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N19" i="11" s="1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N11" i="11" s="1"/>
  <c r="R5" i="26"/>
  <c r="Q5" i="26"/>
  <c r="P5" i="26"/>
  <c r="O5" i="26"/>
  <c r="N5" i="26"/>
  <c r="M5" i="26"/>
  <c r="Q29" i="26" l="1"/>
  <c r="N29" i="26"/>
  <c r="M29" i="26"/>
  <c r="Q10" i="26"/>
  <c r="N105" i="26"/>
  <c r="T58" i="26"/>
  <c r="G58" i="11"/>
  <c r="T52" i="26"/>
  <c r="G52" i="11"/>
  <c r="T64" i="26"/>
  <c r="G64" i="11"/>
  <c r="T63" i="26"/>
  <c r="G63" i="11"/>
  <c r="T62" i="26"/>
  <c r="G62" i="11"/>
  <c r="T57" i="26"/>
  <c r="G57" i="11"/>
  <c r="T56" i="26"/>
  <c r="G56" i="11"/>
  <c r="T51" i="26"/>
  <c r="G51" i="11"/>
  <c r="T48" i="26"/>
  <c r="G48" i="11"/>
  <c r="T28" i="26"/>
  <c r="G28" i="11"/>
  <c r="T27" i="26"/>
  <c r="G27" i="11"/>
  <c r="T26" i="26"/>
  <c r="G26" i="11"/>
  <c r="T25" i="26"/>
  <c r="G25" i="11"/>
  <c r="T24" i="26"/>
  <c r="G24" i="11"/>
  <c r="T20" i="26"/>
  <c r="G20" i="11"/>
  <c r="T21" i="26"/>
  <c r="G21" i="11"/>
  <c r="T23" i="26"/>
  <c r="G23" i="11"/>
  <c r="T22" i="26"/>
  <c r="G22" i="11"/>
  <c r="T18" i="26"/>
  <c r="G18" i="11"/>
  <c r="T15" i="26"/>
  <c r="G15" i="11"/>
  <c r="T14" i="26"/>
  <c r="G14" i="11"/>
  <c r="T12" i="26"/>
  <c r="G12" i="11"/>
  <c r="L12" i="11" s="1"/>
  <c r="T16" i="26"/>
  <c r="G16" i="11"/>
  <c r="T13" i="26"/>
  <c r="G13" i="11"/>
  <c r="T17" i="26"/>
  <c r="G17" i="11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O10" i="26"/>
  <c r="P10" i="26"/>
  <c r="M10" i="26"/>
  <c r="N10" i="11" s="1"/>
  <c r="S11" i="26"/>
  <c r="S87" i="26"/>
  <c r="T87" i="26" s="1"/>
  <c r="N53" i="26" l="1"/>
  <c r="N54" i="26" s="1"/>
  <c r="D12" i="1"/>
  <c r="E12" i="1" s="1"/>
  <c r="Q53" i="26"/>
  <c r="Q60" i="26" s="1"/>
  <c r="O129" i="26"/>
  <c r="O136" i="26" s="1"/>
  <c r="O142" i="26" s="1"/>
  <c r="M53" i="26"/>
  <c r="N129" i="26"/>
  <c r="N136" i="26" s="1"/>
  <c r="N142" i="26" s="1"/>
  <c r="R53" i="26"/>
  <c r="R129" i="26"/>
  <c r="P53" i="26"/>
  <c r="T55" i="26"/>
  <c r="G55" i="11"/>
  <c r="T19" i="26"/>
  <c r="G19" i="11"/>
  <c r="T11" i="26"/>
  <c r="G11" i="11"/>
  <c r="O53" i="26"/>
  <c r="P129" i="26"/>
  <c r="P136" i="26" s="1"/>
  <c r="P142" i="26" s="1"/>
  <c r="T106" i="26"/>
  <c r="Q129" i="26"/>
  <c r="M129" i="26"/>
  <c r="M136" i="26" s="1"/>
  <c r="M142" i="26" s="1"/>
  <c r="S105" i="26"/>
  <c r="S86" i="26"/>
  <c r="T86" i="26" s="1"/>
  <c r="S10" i="26"/>
  <c r="G10" i="11" s="1"/>
  <c r="M60" i="26" l="1"/>
  <c r="N60" i="11" s="1"/>
  <c r="N53" i="11"/>
  <c r="R130" i="26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N54" i="11" s="1"/>
  <c r="R54" i="26"/>
  <c r="R60" i="26"/>
  <c r="R66" i="26" s="1"/>
  <c r="R61" i="26" s="1"/>
  <c r="P54" i="26"/>
  <c r="M66" i="26"/>
  <c r="N66" i="11" s="1"/>
  <c r="O54" i="26"/>
  <c r="Q66" i="26"/>
  <c r="Q61" i="26" s="1"/>
  <c r="T10" i="26"/>
  <c r="G12" i="1"/>
  <c r="H12" i="1" s="1"/>
  <c r="T105" i="26"/>
  <c r="Q130" i="26"/>
  <c r="M130" i="26"/>
  <c r="S129" i="26"/>
  <c r="T129" i="26" s="1"/>
  <c r="G11" i="2"/>
  <c r="P66" i="26" l="1"/>
  <c r="P61" i="26" s="1"/>
  <c r="O66" i="26"/>
  <c r="O61" i="26" s="1"/>
  <c r="N66" i="26"/>
  <c r="N61" i="26" s="1"/>
  <c r="M61" i="26"/>
  <c r="N61" i="11" s="1"/>
  <c r="I10" i="11"/>
  <c r="S130" i="26"/>
  <c r="T130" i="26" s="1"/>
  <c r="S136" i="26"/>
  <c r="T136" i="26" s="1"/>
  <c r="P137" i="26" l="1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M61" i="25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62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L30" i="20" l="1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P29" i="20" s="1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I29" i="20" l="1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M217" i="6" l="1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B83" i="27" s="1"/>
  <c r="G252" i="2"/>
  <c r="G249" i="2"/>
  <c r="S7" i="27" s="1"/>
  <c r="S83" i="27" s="1"/>
  <c r="G243" i="2"/>
  <c r="G242" i="2"/>
  <c r="G241" i="2"/>
  <c r="P8" i="27" s="1"/>
  <c r="P84" i="27" s="1"/>
  <c r="G240" i="2"/>
  <c r="G239" i="2"/>
  <c r="G238" i="2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G7" i="2"/>
  <c r="G6" i="2"/>
  <c r="E2" i="27" s="1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DI49" i="6"/>
  <c r="DH49" i="6"/>
  <c r="DG49" i="6"/>
  <c r="DF49" i="6"/>
  <c r="DE49" i="6"/>
  <c r="DD49" i="6"/>
  <c r="DC49" i="6"/>
  <c r="CZ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CS350" i="6" l="1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T9" i="27" s="1"/>
  <c r="T85" i="27" s="1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7" l="1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56" i="11"/>
  <c r="P62" i="11"/>
  <c r="P63" i="11"/>
  <c r="P64" i="11"/>
  <c r="P24" i="11"/>
  <c r="P13" i="11"/>
  <c r="P12" i="11"/>
  <c r="P14" i="11"/>
  <c r="P18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s="1"/>
  <c r="T105" i="25" s="1"/>
  <c r="R129" i="25" l="1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S43" i="26"/>
  <c r="G43" i="11" l="1"/>
  <c r="T43" i="26"/>
  <c r="T31" i="26"/>
  <c r="G31" i="11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66" i="26" s="1"/>
  <c r="G61" i="26" s="1"/>
  <c r="G54" i="26"/>
  <c r="Q37" i="11" l="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T46" i="11" l="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T40" i="11"/>
  <c r="S40" i="11"/>
  <c r="P40" i="11"/>
  <c r="Q41" i="11"/>
  <c r="T41" i="11"/>
  <c r="P41" i="11"/>
  <c r="S41" i="11"/>
  <c r="S42" i="26" l="1"/>
  <c r="S36" i="26"/>
  <c r="S35" i="26"/>
  <c r="S49" i="26"/>
  <c r="S34" i="26"/>
  <c r="S33" i="26"/>
  <c r="S41" i="26"/>
  <c r="S47" i="26"/>
  <c r="S44" i="26"/>
  <c r="S39" i="26"/>
  <c r="I53" i="26"/>
  <c r="S45" i="26"/>
  <c r="S50" i="26"/>
  <c r="S38" i="26"/>
  <c r="S37" i="26"/>
  <c r="Q30" i="11"/>
  <c r="T30" i="11"/>
  <c r="S30" i="11"/>
  <c r="P30" i="11"/>
  <c r="T37" i="26" l="1"/>
  <c r="G37" i="11"/>
  <c r="T50" i="26"/>
  <c r="G50" i="11"/>
  <c r="D16" i="1"/>
  <c r="E16" i="1" s="1"/>
  <c r="T29" i="11"/>
  <c r="S29" i="11"/>
  <c r="P29" i="11"/>
  <c r="Q29" i="11"/>
  <c r="T44" i="26"/>
  <c r="G44" i="11"/>
  <c r="T41" i="26"/>
  <c r="G41" i="11"/>
  <c r="G34" i="11"/>
  <c r="T34" i="26"/>
  <c r="H30" i="26"/>
  <c r="S32" i="26"/>
  <c r="T36" i="26"/>
  <c r="G36" i="11"/>
  <c r="S46" i="26"/>
  <c r="I60" i="26"/>
  <c r="I54" i="26"/>
  <c r="H40" i="26"/>
  <c r="S40" i="26" s="1"/>
  <c r="G38" i="11"/>
  <c r="T38" i="26"/>
  <c r="T45" i="26"/>
  <c r="G45" i="11"/>
  <c r="T39" i="26"/>
  <c r="G39" i="11"/>
  <c r="T47" i="26"/>
  <c r="G47" i="11"/>
  <c r="T33" i="26"/>
  <c r="G33" i="11"/>
  <c r="G49" i="11"/>
  <c r="T49" i="26"/>
  <c r="T35" i="26"/>
  <c r="G35" i="11"/>
  <c r="T42" i="26"/>
  <c r="G42" i="11"/>
  <c r="I49" i="11" l="1"/>
  <c r="J49" i="11"/>
  <c r="M49" i="11"/>
  <c r="L49" i="11"/>
  <c r="T54" i="11"/>
  <c r="S54" i="11"/>
  <c r="P54" i="11"/>
  <c r="Q54" i="11"/>
  <c r="H29" i="26"/>
  <c r="S30" i="26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D20" i="1"/>
  <c r="E20" i="1" s="1"/>
  <c r="T53" i="11"/>
  <c r="S53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G40" i="11"/>
  <c r="T40" i="26"/>
  <c r="T46" i="26"/>
  <c r="G46" i="11"/>
  <c r="G32" i="11"/>
  <c r="T32" i="26"/>
  <c r="I41" i="11"/>
  <c r="J41" i="11"/>
  <c r="M41" i="11"/>
  <c r="L41" i="11"/>
  <c r="I61" i="26" l="1"/>
  <c r="I32" i="11"/>
  <c r="J32" i="11"/>
  <c r="M32" i="11"/>
  <c r="L32" i="11"/>
  <c r="J40" i="11"/>
  <c r="I40" i="11"/>
  <c r="M40" i="11"/>
  <c r="L40" i="11"/>
  <c r="T30" i="26"/>
  <c r="G30" i="11"/>
  <c r="M46" i="11"/>
  <c r="L46" i="11"/>
  <c r="I46" i="11"/>
  <c r="J46" i="11"/>
  <c r="P60" i="11"/>
  <c r="T60" i="11"/>
  <c r="S60" i="11"/>
  <c r="Q60" i="11"/>
  <c r="H53" i="26"/>
  <c r="S29" i="26"/>
  <c r="J30" i="11" l="1"/>
  <c r="I30" i="11"/>
  <c r="L30" i="11"/>
  <c r="M30" i="11"/>
  <c r="G29" i="11"/>
  <c r="T29" i="26"/>
  <c r="T66" i="11"/>
  <c r="S66" i="11"/>
  <c r="Q66" i="11"/>
  <c r="P66" i="11"/>
  <c r="H54" i="26"/>
  <c r="S54" i="26" s="1"/>
  <c r="H60" i="26"/>
  <c r="H66" i="26" s="1"/>
  <c r="H61" i="26" s="1"/>
  <c r="S61" i="26" s="1"/>
  <c r="S53" i="26"/>
  <c r="P61" i="11"/>
  <c r="T61" i="11"/>
  <c r="S61" i="11"/>
  <c r="Q61" i="11"/>
  <c r="T61" i="26" l="1"/>
  <c r="G61" i="11"/>
  <c r="T54" i="26"/>
  <c r="G54" i="11"/>
  <c r="S60" i="26"/>
  <c r="T53" i="26"/>
  <c r="G53" i="11"/>
  <c r="G16" i="1"/>
  <c r="H16" i="1" s="1"/>
  <c r="M29" i="11"/>
  <c r="L29" i="11"/>
  <c r="J29" i="11"/>
  <c r="I29" i="11"/>
  <c r="M54" i="11" l="1"/>
  <c r="L54" i="11"/>
  <c r="J54" i="11"/>
  <c r="I54" i="11"/>
  <c r="G20" i="1"/>
  <c r="H20" i="1" s="1"/>
  <c r="L53" i="11"/>
  <c r="M53" i="11"/>
  <c r="I53" i="11"/>
  <c r="J53" i="11"/>
  <c r="L61" i="11"/>
  <c r="M61" i="11"/>
  <c r="J61" i="11"/>
  <c r="I61" i="11"/>
  <c r="S66" i="26"/>
  <c r="T60" i="26"/>
  <c r="G60" i="11"/>
  <c r="L60" i="11" l="1"/>
  <c r="M60" i="11"/>
  <c r="J60" i="11"/>
  <c r="I60" i="11"/>
  <c r="G66" i="11"/>
  <c r="T66" i="26"/>
  <c r="L66" i="11" l="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<sst xmlns="http://schemas.openxmlformats.org/spreadsheetml/2006/main" count="1865" uniqueCount="869">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</sst>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6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67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6">
    <cellStyle name="1 indent" xfId="42" xr:uid="{00000000-0005-0000-0000-000000000000}"/>
    <cellStyle name="1 indent 2" xfId="111" xr:uid="{00000000-0005-0000-0000-000001000000}"/>
    <cellStyle name="2 indents" xfId="43" xr:uid="{00000000-0005-0000-0000-000002000000}"/>
    <cellStyle name="2 indents 2" xfId="112" xr:uid="{00000000-0005-0000-0000-000003000000}"/>
    <cellStyle name="20% - Accent1" xfId="19" builtinId="30" customBuiltin="1"/>
    <cellStyle name="20% - Accent1 2" xfId="99" xr:uid="{00000000-0005-0000-0000-000005000000}"/>
    <cellStyle name="20% - Accent1 2 2" xfId="170" xr:uid="{00000000-0005-0000-0000-000006000000}"/>
    <cellStyle name="20% - Accent1 3" xfId="136" xr:uid="{00000000-0005-0000-0000-000007000000}"/>
    <cellStyle name="20% - Accent2" xfId="23" builtinId="34" customBuiltin="1"/>
    <cellStyle name="20% - Accent2 2" xfId="101" xr:uid="{00000000-0005-0000-0000-000009000000}"/>
    <cellStyle name="20% - Accent2 2 2" xfId="172" xr:uid="{00000000-0005-0000-0000-00000A000000}"/>
    <cellStyle name="20% - Accent2 3" xfId="138" xr:uid="{00000000-0005-0000-0000-00000B000000}"/>
    <cellStyle name="20% - Accent3" xfId="27" builtinId="38" customBuiltin="1"/>
    <cellStyle name="20% - Accent3 2" xfId="103" xr:uid="{00000000-0005-0000-0000-00000D000000}"/>
    <cellStyle name="20% - Accent3 2 2" xfId="174" xr:uid="{00000000-0005-0000-0000-00000E000000}"/>
    <cellStyle name="20% - Accent3 3" xfId="140" xr:uid="{00000000-0005-0000-0000-00000F000000}"/>
    <cellStyle name="20% - Accent4" xfId="31" builtinId="42" customBuiltin="1"/>
    <cellStyle name="20% - Accent4 2" xfId="105" xr:uid="{00000000-0005-0000-0000-000011000000}"/>
    <cellStyle name="20% - Accent4 2 2" xfId="176" xr:uid="{00000000-0005-0000-0000-000012000000}"/>
    <cellStyle name="20% - Accent4 3" xfId="142" xr:uid="{00000000-0005-0000-0000-000013000000}"/>
    <cellStyle name="20% - Accent5" xfId="35" builtinId="46" customBuiltin="1"/>
    <cellStyle name="20% - Accent5 2" xfId="107" xr:uid="{00000000-0005-0000-0000-000015000000}"/>
    <cellStyle name="20% - Accent5 2 2" xfId="178" xr:uid="{00000000-0005-0000-0000-000016000000}"/>
    <cellStyle name="20% - Accent5 3" xfId="144" xr:uid="{00000000-0005-0000-0000-000017000000}"/>
    <cellStyle name="20% - Accent6" xfId="39" builtinId="50" customBuiltin="1"/>
    <cellStyle name="20% - Accent6 2" xfId="109" xr:uid="{00000000-0005-0000-0000-000019000000}"/>
    <cellStyle name="20% - Accent6 2 2" xfId="180" xr:uid="{00000000-0005-0000-0000-00001A000000}"/>
    <cellStyle name="20% - Accent6 3" xfId="146" xr:uid="{00000000-0005-0000-0000-00001B000000}"/>
    <cellStyle name="3 indents" xfId="44" xr:uid="{00000000-0005-0000-0000-00001C000000}"/>
    <cellStyle name="3 indents 2" xfId="113" xr:uid="{00000000-0005-0000-0000-00001D000000}"/>
    <cellStyle name="4 indents" xfId="45" xr:uid="{00000000-0005-0000-0000-00001E000000}"/>
    <cellStyle name="4 indents 2" xfId="122" xr:uid="{00000000-0005-0000-0000-00001F000000}"/>
    <cellStyle name="40% - Accent1" xfId="20" builtinId="31" customBuiltin="1"/>
    <cellStyle name="40% - Accent1 2" xfId="100" xr:uid="{00000000-0005-0000-0000-000021000000}"/>
    <cellStyle name="40% - Accent1 2 2" xfId="171" xr:uid="{00000000-0005-0000-0000-000022000000}"/>
    <cellStyle name="40% - Accent1 3" xfId="137" xr:uid="{00000000-0005-0000-0000-000023000000}"/>
    <cellStyle name="40% - Accent2" xfId="24" builtinId="35" customBuiltin="1"/>
    <cellStyle name="40% - Accent2 2" xfId="102" xr:uid="{00000000-0005-0000-0000-000025000000}"/>
    <cellStyle name="40% - Accent2 2 2" xfId="173" xr:uid="{00000000-0005-0000-0000-000026000000}"/>
    <cellStyle name="40% - Accent2 3" xfId="139" xr:uid="{00000000-0005-0000-0000-000027000000}"/>
    <cellStyle name="40% - Accent3" xfId="28" builtinId="39" customBuiltin="1"/>
    <cellStyle name="40% - Accent3 2" xfId="104" xr:uid="{00000000-0005-0000-0000-000029000000}"/>
    <cellStyle name="40% - Accent3 2 2" xfId="175" xr:uid="{00000000-0005-0000-0000-00002A000000}"/>
    <cellStyle name="40% - Accent3 3" xfId="141" xr:uid="{00000000-0005-0000-0000-00002B000000}"/>
    <cellStyle name="40% - Accent4" xfId="32" builtinId="43" customBuiltin="1"/>
    <cellStyle name="40% - Accent4 2" xfId="106" xr:uid="{00000000-0005-0000-0000-00002D000000}"/>
    <cellStyle name="40% - Accent4 2 2" xfId="177" xr:uid="{00000000-0005-0000-0000-00002E000000}"/>
    <cellStyle name="40% - Accent4 3" xfId="143" xr:uid="{00000000-0005-0000-0000-00002F000000}"/>
    <cellStyle name="40% - Accent5" xfId="36" builtinId="47" customBuiltin="1"/>
    <cellStyle name="40% - Accent5 2" xfId="108" xr:uid="{00000000-0005-0000-0000-000031000000}"/>
    <cellStyle name="40% - Accent5 2 2" xfId="179" xr:uid="{00000000-0005-0000-0000-000032000000}"/>
    <cellStyle name="40% - Accent5 3" xfId="145" xr:uid="{00000000-0005-0000-0000-000033000000}"/>
    <cellStyle name="40% - Accent6" xfId="40" builtinId="51" customBuiltin="1"/>
    <cellStyle name="40% - Accent6 2" xfId="110" xr:uid="{00000000-0005-0000-0000-000035000000}"/>
    <cellStyle name="40% - Accent6 2 2" xfId="181" xr:uid="{00000000-0005-0000-0000-000036000000}"/>
    <cellStyle name="40% - Accent6 3" xfId="147" xr:uid="{00000000-0005-0000-0000-00003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 xr:uid="{00000000-0005-0000-0000-000045000000}"/>
    <cellStyle name="Calculation" xfId="12" builtinId="22" customBuiltin="1"/>
    <cellStyle name="Check Cell" xfId="14" builtinId="23" customBuiltin="1"/>
    <cellStyle name="Comma" xfId="130" builtinId="3"/>
    <cellStyle name="Comma 2" xfId="185" xr:uid="{00000000-0005-0000-0000-000049000000}"/>
    <cellStyle name="Currency" xfId="131" builtinId="4"/>
    <cellStyle name="Date" xfId="46" xr:uid="{00000000-0005-0000-0000-00004B000000}"/>
    <cellStyle name="Explanatory Text" xfId="16" builtinId="53" customBuiltin="1"/>
    <cellStyle name="F2" xfId="47" xr:uid="{00000000-0005-0000-0000-00004D000000}"/>
    <cellStyle name="F3" xfId="48" xr:uid="{00000000-0005-0000-0000-00004E000000}"/>
    <cellStyle name="F4" xfId="49" xr:uid="{00000000-0005-0000-0000-00004F000000}"/>
    <cellStyle name="F5" xfId="50" xr:uid="{00000000-0005-0000-0000-000050000000}"/>
    <cellStyle name="F6" xfId="51" xr:uid="{00000000-0005-0000-0000-000051000000}"/>
    <cellStyle name="F7" xfId="52" xr:uid="{00000000-0005-0000-0000-000052000000}"/>
    <cellStyle name="F8" xfId="53" xr:uid="{00000000-0005-0000-0000-000053000000}"/>
    <cellStyle name="Fixed" xfId="54" xr:uid="{00000000-0005-0000-0000-000054000000}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 xr:uid="{00000000-0005-0000-0000-00005A000000}"/>
    <cellStyle name="HEADING2" xfId="56" xr:uid="{00000000-0005-0000-0000-00005B000000}"/>
    <cellStyle name="imf-one decimal" xfId="57" xr:uid="{00000000-0005-0000-0000-00005C000000}"/>
    <cellStyle name="imf-one decimal 2" xfId="114" xr:uid="{00000000-0005-0000-0000-00005D000000}"/>
    <cellStyle name="imf-zero decimal" xfId="58" xr:uid="{00000000-0005-0000-0000-00005E000000}"/>
    <cellStyle name="imf-zero decimal 2" xfId="115" xr:uid="{00000000-0005-0000-0000-00005F000000}"/>
    <cellStyle name="Input" xfId="10" builtinId="20" customBuiltin="1"/>
    <cellStyle name="Label" xfId="59" xr:uid="{00000000-0005-0000-0000-000061000000}"/>
    <cellStyle name="Linked Cell" xfId="13" builtinId="24" customBuiltin="1"/>
    <cellStyle name="Neutral" xfId="9" builtinId="28" customBuiltin="1"/>
    <cellStyle name="Normal" xfId="0" builtinId="0"/>
    <cellStyle name="Normal - Style1" xfId="60" xr:uid="{00000000-0005-0000-0000-000065000000}"/>
    <cellStyle name="Normal - Style2" xfId="61" xr:uid="{00000000-0005-0000-0000-000066000000}"/>
    <cellStyle name="Normal - Style3" xfId="62" xr:uid="{00000000-0005-0000-0000-000067000000}"/>
    <cellStyle name="Normal 10" xfId="74" xr:uid="{00000000-0005-0000-0000-000068000000}"/>
    <cellStyle name="Normal 10 2" xfId="154" xr:uid="{00000000-0005-0000-0000-000069000000}"/>
    <cellStyle name="Normal 11" xfId="75" xr:uid="{00000000-0005-0000-0000-00006A000000}"/>
    <cellStyle name="Normal 11 2" xfId="155" xr:uid="{00000000-0005-0000-0000-00006B000000}"/>
    <cellStyle name="Normal 12" xfId="76" xr:uid="{00000000-0005-0000-0000-00006C000000}"/>
    <cellStyle name="Normal 12 2" xfId="156" xr:uid="{00000000-0005-0000-0000-00006D000000}"/>
    <cellStyle name="Normal 13" xfId="77" xr:uid="{00000000-0005-0000-0000-00006E000000}"/>
    <cellStyle name="Normal 14" xfId="86" xr:uid="{00000000-0005-0000-0000-00006F000000}"/>
    <cellStyle name="Normal 14 2" xfId="157" xr:uid="{00000000-0005-0000-0000-000070000000}"/>
    <cellStyle name="Normal 15" xfId="88" xr:uid="{00000000-0005-0000-0000-000071000000}"/>
    <cellStyle name="Normal 15 2" xfId="159" xr:uid="{00000000-0005-0000-0000-000072000000}"/>
    <cellStyle name="Normal 16" xfId="92" xr:uid="{00000000-0005-0000-0000-000073000000}"/>
    <cellStyle name="Normal 16 2" xfId="116" xr:uid="{00000000-0005-0000-0000-000074000000}"/>
    <cellStyle name="Normal 16 2 2" xfId="182" xr:uid="{00000000-0005-0000-0000-000075000000}"/>
    <cellStyle name="Normal 16 3" xfId="163" xr:uid="{00000000-0005-0000-0000-000076000000}"/>
    <cellStyle name="Normal 17" xfId="94" xr:uid="{00000000-0005-0000-0000-000077000000}"/>
    <cellStyle name="Normal 17 2" xfId="117" xr:uid="{00000000-0005-0000-0000-000078000000}"/>
    <cellStyle name="Normal 17 2 2" xfId="183" xr:uid="{00000000-0005-0000-0000-000079000000}"/>
    <cellStyle name="Normal 17 3" xfId="165" xr:uid="{00000000-0005-0000-0000-00007A000000}"/>
    <cellStyle name="Normal 18" xfId="95" xr:uid="{00000000-0005-0000-0000-00007B000000}"/>
    <cellStyle name="Normal 18 2" xfId="166" xr:uid="{00000000-0005-0000-0000-00007C000000}"/>
    <cellStyle name="Normal 19" xfId="90" xr:uid="{00000000-0005-0000-0000-00007D000000}"/>
    <cellStyle name="Normal 19 2" xfId="118" xr:uid="{00000000-0005-0000-0000-00007E000000}"/>
    <cellStyle name="Normal 19 2 2" xfId="184" xr:uid="{00000000-0005-0000-0000-00007F000000}"/>
    <cellStyle name="Normal 19 3" xfId="161" xr:uid="{00000000-0005-0000-0000-000080000000}"/>
    <cellStyle name="Normal 2" xfId="63" xr:uid="{00000000-0005-0000-0000-000081000000}"/>
    <cellStyle name="Normal 2 2" xfId="2" xr:uid="{00000000-0005-0000-0000-000082000000}"/>
    <cellStyle name="Normal 2 3" xfId="133" xr:uid="{00000000-0005-0000-0000-000083000000}"/>
    <cellStyle name="Normal 20" xfId="89" xr:uid="{00000000-0005-0000-0000-000084000000}"/>
    <cellStyle name="Normal 20 2" xfId="160" xr:uid="{00000000-0005-0000-0000-000085000000}"/>
    <cellStyle name="Normal 21" xfId="91" xr:uid="{00000000-0005-0000-0000-000086000000}"/>
    <cellStyle name="Normal 21 2" xfId="162" xr:uid="{00000000-0005-0000-0000-000087000000}"/>
    <cellStyle name="Normal 22" xfId="93" xr:uid="{00000000-0005-0000-0000-000088000000}"/>
    <cellStyle name="Normal 22 2" xfId="164" xr:uid="{00000000-0005-0000-0000-000089000000}"/>
    <cellStyle name="Normal 23" xfId="96" xr:uid="{00000000-0005-0000-0000-00008A000000}"/>
    <cellStyle name="Normal 23 2" xfId="167" xr:uid="{00000000-0005-0000-0000-00008B000000}"/>
    <cellStyle name="Normal 24" xfId="97" xr:uid="{00000000-0005-0000-0000-00008C000000}"/>
    <cellStyle name="Normal 24 2" xfId="168" xr:uid="{00000000-0005-0000-0000-00008D000000}"/>
    <cellStyle name="Normal 25" xfId="82" xr:uid="{00000000-0005-0000-0000-00008E000000}"/>
    <cellStyle name="Normal 26" xfId="124" xr:uid="{00000000-0005-0000-0000-00008F000000}"/>
    <cellStyle name="Normal 27" xfId="81" xr:uid="{00000000-0005-0000-0000-000090000000}"/>
    <cellStyle name="Normal 28" xfId="85" xr:uid="{00000000-0005-0000-0000-000091000000}"/>
    <cellStyle name="Normal 29" xfId="129" xr:uid="{00000000-0005-0000-0000-000092000000}"/>
    <cellStyle name="Normal 3" xfId="67" xr:uid="{00000000-0005-0000-0000-000093000000}"/>
    <cellStyle name="Normal 30" xfId="125" xr:uid="{00000000-0005-0000-0000-000094000000}"/>
    <cellStyle name="Normal 31" xfId="80" xr:uid="{00000000-0005-0000-0000-000095000000}"/>
    <cellStyle name="Normal 32" xfId="128" xr:uid="{00000000-0005-0000-0000-000096000000}"/>
    <cellStyle name="Normal 33" xfId="127" xr:uid="{00000000-0005-0000-0000-000097000000}"/>
    <cellStyle name="Normal 34" xfId="126" xr:uid="{00000000-0005-0000-0000-000098000000}"/>
    <cellStyle name="Normal 35" xfId="83" xr:uid="{00000000-0005-0000-0000-000099000000}"/>
    <cellStyle name="Normal 36" xfId="84" xr:uid="{00000000-0005-0000-0000-00009A000000}"/>
    <cellStyle name="Normal 37" xfId="132" xr:uid="{00000000-0005-0000-0000-00009B000000}"/>
    <cellStyle name="Normal 38" xfId="134" xr:uid="{00000000-0005-0000-0000-00009C000000}"/>
    <cellStyle name="Normal 39" xfId="135" xr:uid="{00000000-0005-0000-0000-00009D000000}"/>
    <cellStyle name="Normal 4" xfId="68" xr:uid="{00000000-0005-0000-0000-00009E000000}"/>
    <cellStyle name="Normal 4 2" xfId="119" xr:uid="{00000000-0005-0000-0000-00009F000000}"/>
    <cellStyle name="Normal 4 3" xfId="148" xr:uid="{00000000-0005-0000-0000-0000A0000000}"/>
    <cellStyle name="Normal 5" xfId="69" xr:uid="{00000000-0005-0000-0000-0000A1000000}"/>
    <cellStyle name="Normal 5 2" xfId="123" xr:uid="{00000000-0005-0000-0000-0000A2000000}"/>
    <cellStyle name="Normal 5 3" xfId="149" xr:uid="{00000000-0005-0000-0000-0000A3000000}"/>
    <cellStyle name="Normal 6" xfId="70" xr:uid="{00000000-0005-0000-0000-0000A4000000}"/>
    <cellStyle name="Normal 6 2" xfId="150" xr:uid="{00000000-0005-0000-0000-0000A5000000}"/>
    <cellStyle name="Normal 7" xfId="71" xr:uid="{00000000-0005-0000-0000-0000A6000000}"/>
    <cellStyle name="Normal 7 2" xfId="151" xr:uid="{00000000-0005-0000-0000-0000A7000000}"/>
    <cellStyle name="Normal 8" xfId="72" xr:uid="{00000000-0005-0000-0000-0000A8000000}"/>
    <cellStyle name="Normal 8 2" xfId="152" xr:uid="{00000000-0005-0000-0000-0000A9000000}"/>
    <cellStyle name="Normal 9" xfId="73" xr:uid="{00000000-0005-0000-0000-0000AA000000}"/>
    <cellStyle name="Normal 9 2" xfId="153" xr:uid="{00000000-0005-0000-0000-0000AB000000}"/>
    <cellStyle name="Note 2" xfId="87" xr:uid="{00000000-0005-0000-0000-0000AC000000}"/>
    <cellStyle name="Note 2 2" xfId="158" xr:uid="{00000000-0005-0000-0000-0000AD000000}"/>
    <cellStyle name="Note 3" xfId="98" xr:uid="{00000000-0005-0000-0000-0000AE000000}"/>
    <cellStyle name="Note 3 2" xfId="169" xr:uid="{00000000-0005-0000-0000-0000AF000000}"/>
    <cellStyle name="Obično_KnjigaZIKS i Min pomorstva i saobracaja" xfId="64" xr:uid="{00000000-0005-0000-0000-0000B0000000}"/>
    <cellStyle name="Output" xfId="11" builtinId="21" customBuiltin="1"/>
    <cellStyle name="Percent" xfId="1" builtinId="5"/>
    <cellStyle name="percentage difference" xfId="65" xr:uid="{00000000-0005-0000-0000-0000B3000000}"/>
    <cellStyle name="percentage difference 2" xfId="120" xr:uid="{00000000-0005-0000-0000-0000B4000000}"/>
    <cellStyle name="Publication" xfId="66" xr:uid="{00000000-0005-0000-0000-0000B5000000}"/>
    <cellStyle name="Standard_Tabellenteil in EURO" xfId="121" xr:uid="{00000000-0005-0000-0000-0000B6000000}"/>
    <cellStyle name="Title 2" xfId="79" xr:uid="{00000000-0005-0000-0000-0000B7000000}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9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9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-ju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 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569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22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 i veći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6,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veći za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,7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6%. </a:t>
          </a:r>
          <a:endParaRPr lang="sr-Latn-ME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istom periodu iznosili su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527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7%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7,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dok su u odnosu na isti period 2023. godine veći za  2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1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</a:t>
          </a: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januar-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2024. godine zabilježen je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suficit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u iznosu od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0,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US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359833</xdr:colOff>
      <xdr:row>22</xdr:row>
      <xdr:rowOff>52916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742767" y="1323976"/>
          <a:ext cx="4946649" cy="2941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2024.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Napomena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U obračunu deficita došlo je do metodološke promjene definicije deficita. Naime, izmjena Zakona o budžetu i fiskalnoj dogovornosti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("Sl list CG"</a:t>
          </a:r>
          <a:r>
            <a:rPr lang="sr-Latn-ME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027/23 od 08.03.2023)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izvršena je primjena međunarodnog računovodstvenog standarda IPSAS 2 – Izvještaja o novčanim tokovima, kojim se utvrđuje da date pozajmice i primici od povraćaja datih pozajmica pripadaju akt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vnostima finansiranja i ne ulaze u obračun finansijskog rezultata. I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plikacija ove korekcije je imala negativan uticaj na iznos deficita, imajući u vidu da su projektovani primici od datih pozajmica i kredita veći od planiranih izdataka po osnovu pozajmica i kredita.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4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4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5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5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6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6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7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7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8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8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2024-07</v>
      </c>
      <c r="O6" s="128" t="str">
        <f>+CONCATENATE(N6,"p")</f>
        <v>2024-07p</v>
      </c>
      <c r="P6" s="116"/>
      <c r="Q6" s="116"/>
      <c r="R6" s="128" t="str">
        <f>+IF(Master!B3-10&gt;=0,CONCATENATE(Master!B4-1,"-",Master!B3),CONCATENATE(Master!B4-1,"-0",Master!B3))</f>
        <v>2023-07</v>
      </c>
      <c r="S6" s="116"/>
      <c r="T6" s="116"/>
    </row>
    <row r="7" spans="1:20">
      <c r="A7" s="129"/>
      <c r="B7" s="559" t="s">
        <v>691</v>
      </c>
      <c r="C7" s="560"/>
      <c r="D7" s="560"/>
      <c r="E7" s="560"/>
      <c r="F7" s="560"/>
      <c r="G7" s="568" t="s">
        <v>690</v>
      </c>
      <c r="H7" s="569"/>
      <c r="I7" s="569"/>
      <c r="J7" s="569"/>
      <c r="K7" s="569"/>
      <c r="L7" s="569"/>
      <c r="M7" s="570"/>
      <c r="N7" s="571" t="str">
        <f>+Master!G243</f>
        <v>Decembar</v>
      </c>
      <c r="O7" s="569"/>
      <c r="P7" s="569"/>
      <c r="Q7" s="569"/>
      <c r="R7" s="569"/>
      <c r="S7" s="569"/>
      <c r="T7" s="572"/>
    </row>
    <row r="8" spans="1:20">
      <c r="A8" s="129"/>
      <c r="B8" s="561"/>
      <c r="C8" s="562"/>
      <c r="D8" s="562"/>
      <c r="E8" s="562"/>
      <c r="F8" s="563"/>
      <c r="G8" s="130" t="str">
        <f>+Master!G26</f>
        <v>Ostvarenje</v>
      </c>
      <c r="H8" s="130" t="str">
        <f>+Master!G25</f>
        <v>Plan</v>
      </c>
      <c r="I8" s="555" t="str">
        <f>+Master!G261</f>
        <v>Odstupanje</v>
      </c>
      <c r="J8" s="555"/>
      <c r="K8" s="130" t="str">
        <f>+CONCATENATE(Master!G246," ",Master!B4-1)</f>
        <v>Jan - Jul 2023</v>
      </c>
      <c r="L8" s="555" t="str">
        <f>+I8</f>
        <v>Odstupanje</v>
      </c>
      <c r="M8" s="567"/>
      <c r="N8" s="131" t="str">
        <f>+G8</f>
        <v>Ostvarenje</v>
      </c>
      <c r="O8" s="130" t="str">
        <f>+H8</f>
        <v>Plan</v>
      </c>
      <c r="P8" s="555" t="str">
        <f>+I8</f>
        <v>Odstupanje</v>
      </c>
      <c r="Q8" s="555"/>
      <c r="R8" s="130" t="str">
        <f>+CONCATENATE(Master!G245," ",Master!B4-1)</f>
        <v>Jul 2023</v>
      </c>
      <c r="S8" s="555" t="str">
        <f>+P8</f>
        <v>Odstupanje</v>
      </c>
      <c r="T8" s="556"/>
    </row>
    <row r="9" spans="1:20" ht="15.7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601" t="str">
        <f>+VLOOKUP($A10,Master!$D$30:$G$226,4,FALSE)</f>
        <v>Prihodi budžeta</v>
      </c>
      <c r="C10" s="602"/>
      <c r="D10" s="602"/>
      <c r="E10" s="602"/>
      <c r="F10" s="602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603" t="str">
        <f>+VLOOKUP($A11,Master!$D$30:$G$226,4,FALSE)</f>
        <v>Porezi</v>
      </c>
      <c r="C11" s="604"/>
      <c r="D11" s="604"/>
      <c r="E11" s="604"/>
      <c r="F11" s="604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89" t="str">
        <f>+VLOOKUP($A12,Master!$D$30:$G$226,4,FALSE)</f>
        <v>Porez na dohodak fizičkih lica</v>
      </c>
      <c r="C12" s="590"/>
      <c r="D12" s="590"/>
      <c r="E12" s="590"/>
      <c r="F12" s="590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89" t="str">
        <f>+VLOOKUP($A13,Master!$D$30:$G$226,4,FALSE)</f>
        <v>Porez na dobit pravnih lica</v>
      </c>
      <c r="C13" s="590"/>
      <c r="D13" s="590"/>
      <c r="E13" s="590"/>
      <c r="F13" s="590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89" t="str">
        <f>+VLOOKUP($A14,Master!$D$30:$G$226,4,FALSE)</f>
        <v>Porez na promet nepokretnosti</v>
      </c>
      <c r="C14" s="590"/>
      <c r="D14" s="590"/>
      <c r="E14" s="590"/>
      <c r="F14" s="590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89" t="str">
        <f>+VLOOKUP($A15,Master!$D$30:$G$226,4,FALSE)</f>
        <v>Porez na dodatu vrijednost</v>
      </c>
      <c r="C15" s="590"/>
      <c r="D15" s="590"/>
      <c r="E15" s="590"/>
      <c r="F15" s="590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89" t="str">
        <f>+VLOOKUP($A16,Master!$D$30:$G$226,4,FALSE)</f>
        <v>Akcize</v>
      </c>
      <c r="C16" s="590"/>
      <c r="D16" s="590"/>
      <c r="E16" s="590"/>
      <c r="F16" s="590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89" t="str">
        <f>+VLOOKUP($A17,Master!$D$30:$G$226,4,FALSE)</f>
        <v>Porez na međunarodnu trgovinu i transakcije</v>
      </c>
      <c r="C17" s="590"/>
      <c r="D17" s="590"/>
      <c r="E17" s="590"/>
      <c r="F17" s="590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89" t="e">
        <f>+VLOOKUP($A18,Master!$D$30:$G$226,4,FALSE)</f>
        <v>#N/A</v>
      </c>
      <c r="C18" s="590"/>
      <c r="D18" s="590"/>
      <c r="E18" s="590"/>
      <c r="F18" s="590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89" t="str">
        <f>+VLOOKUP($A19,Master!$D$30:$G$226,4,FALSE)</f>
        <v>Ostali državni porezi</v>
      </c>
      <c r="C19" s="590"/>
      <c r="D19" s="590"/>
      <c r="E19" s="590"/>
      <c r="F19" s="590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599" t="str">
        <f>+VLOOKUP($A20,Master!$D$30:$G$226,4,FALSE)</f>
        <v>Doprinosi</v>
      </c>
      <c r="C20" s="600"/>
      <c r="D20" s="600"/>
      <c r="E20" s="600"/>
      <c r="F20" s="600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89" t="str">
        <f>+VLOOKUP($A21,Master!$D$30:$G$226,4,FALSE)</f>
        <v>Doprinosi za penzijsko i invalidsko osiguranje</v>
      </c>
      <c r="C21" s="590"/>
      <c r="D21" s="590"/>
      <c r="E21" s="590"/>
      <c r="F21" s="590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89" t="str">
        <f>+VLOOKUP($A22,Master!$D$30:$G$226,4,FALSE)</f>
        <v>Doprinosi za zdravstveno osiguranje</v>
      </c>
      <c r="C22" s="590"/>
      <c r="D22" s="590"/>
      <c r="E22" s="590"/>
      <c r="F22" s="590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89" t="str">
        <f>+VLOOKUP($A23,Master!$D$30:$G$226,4,FALSE)</f>
        <v>Doprinosi za osiguranje od nezaposlenosti</v>
      </c>
      <c r="C23" s="590"/>
      <c r="D23" s="590"/>
      <c r="E23" s="590"/>
      <c r="F23" s="590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89" t="str">
        <f>+VLOOKUP($A24,Master!$D$30:$G$226,4,FALSE)</f>
        <v>Ostali doprinosi</v>
      </c>
      <c r="C24" s="590"/>
      <c r="D24" s="590"/>
      <c r="E24" s="590"/>
      <c r="F24" s="590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91" t="str">
        <f>+VLOOKUP($A25,Master!$D$30:$G$226,4,FALSE)</f>
        <v>Takse</v>
      </c>
      <c r="C25" s="592"/>
      <c r="D25" s="592"/>
      <c r="E25" s="592"/>
      <c r="F25" s="592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91" t="str">
        <f>+VLOOKUP($A26,Master!$D$30:$G$226,4,FALSE)</f>
        <v>Naknade</v>
      </c>
      <c r="C26" s="592"/>
      <c r="D26" s="592"/>
      <c r="E26" s="592"/>
      <c r="F26" s="592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91" t="str">
        <f>+VLOOKUP($A27,Master!$D$30:$G$226,4,FALSE)</f>
        <v>Ostali prihodi</v>
      </c>
      <c r="C27" s="592"/>
      <c r="D27" s="592"/>
      <c r="E27" s="592"/>
      <c r="F27" s="592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91" t="str">
        <f>+VLOOKUP($A28,Master!$D$30:$G$226,4,FALSE)</f>
        <v>Primici od otplate kredita i sredstva prenesena iz prethodne godine</v>
      </c>
      <c r="C28" s="592"/>
      <c r="D28" s="592"/>
      <c r="E28" s="592"/>
      <c r="F28" s="592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93" t="str">
        <f>+VLOOKUP($A29,Master!$D$30:$G$226,4,FALSE)</f>
        <v>Donacije i transferi</v>
      </c>
      <c r="C29" s="594"/>
      <c r="D29" s="594"/>
      <c r="E29" s="594"/>
      <c r="F29" s="594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79" t="str">
        <f>+VLOOKUP($A30,Master!$D$30:$G$226,4,FALSE)</f>
        <v>Izdaci budžeta</v>
      </c>
      <c r="C30" s="580"/>
      <c r="D30" s="580"/>
      <c r="E30" s="580"/>
      <c r="F30" s="580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595" t="str">
        <f>+VLOOKUP($A31,Master!$D$30:$G$226,4,FALSE)</f>
        <v>Tekući izdaci</v>
      </c>
      <c r="C31" s="596"/>
      <c r="D31" s="596"/>
      <c r="E31" s="596"/>
      <c r="F31" s="596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597" t="str">
        <f>+VLOOKUP($A32,Master!$D$30:$G$226,4,FALSE)</f>
        <v>Tekuća budžetska potrošnja</v>
      </c>
      <c r="C32" s="598"/>
      <c r="D32" s="598"/>
      <c r="E32" s="598"/>
      <c r="F32" s="598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89" t="str">
        <f>+VLOOKUP($A33,Master!$D$30:$G$226,4,FALSE)</f>
        <v>Bruto zarade i doprinosi na teret poslodavca</v>
      </c>
      <c r="C33" s="590"/>
      <c r="D33" s="590"/>
      <c r="E33" s="590"/>
      <c r="F33" s="590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89" t="str">
        <f>+VLOOKUP($A34,Master!$D$30:$G$226,4,FALSE)</f>
        <v>Ostala lična primanja</v>
      </c>
      <c r="C34" s="590"/>
      <c r="D34" s="590"/>
      <c r="E34" s="590"/>
      <c r="F34" s="590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89" t="str">
        <f>+VLOOKUP($A35,Master!$D$30:$G$226,4,FALSE)</f>
        <v>Rashodi za materijal</v>
      </c>
      <c r="C35" s="590"/>
      <c r="D35" s="590"/>
      <c r="E35" s="590"/>
      <c r="F35" s="590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89" t="str">
        <f>+VLOOKUP($A36,Master!$D$30:$G$226,4,FALSE)</f>
        <v>Rashodi za usluge</v>
      </c>
      <c r="C36" s="590"/>
      <c r="D36" s="590"/>
      <c r="E36" s="590"/>
      <c r="F36" s="590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89" t="str">
        <f>+VLOOKUP($A37,Master!$D$30:$G$226,4,FALSE)</f>
        <v>Rashodi za tekuće održavanje</v>
      </c>
      <c r="C37" s="590"/>
      <c r="D37" s="590"/>
      <c r="E37" s="590"/>
      <c r="F37" s="590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89" t="str">
        <f>+VLOOKUP($A38,Master!$D$30:$G$226,4,FALSE)</f>
        <v>Kamate</v>
      </c>
      <c r="C38" s="590"/>
      <c r="D38" s="590"/>
      <c r="E38" s="590"/>
      <c r="F38" s="590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89" t="str">
        <f>+VLOOKUP($A39,Master!$D$30:$G$226,4,FALSE)</f>
        <v>Renta</v>
      </c>
      <c r="C39" s="590"/>
      <c r="D39" s="590"/>
      <c r="E39" s="590"/>
      <c r="F39" s="590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89" t="str">
        <f>+VLOOKUP($A40,Master!$D$30:$G$226,4,FALSE)</f>
        <v>Subvencije</v>
      </c>
      <c r="C40" s="590"/>
      <c r="D40" s="590"/>
      <c r="E40" s="590"/>
      <c r="F40" s="590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89" t="str">
        <f>+VLOOKUP($A41,Master!$D$30:$G$226,4,FALSE)</f>
        <v>Ostali izdaci</v>
      </c>
      <c r="C41" s="590"/>
      <c r="D41" s="590"/>
      <c r="E41" s="590"/>
      <c r="F41" s="590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89" t="e">
        <f>+VLOOKUP($A42,Master!$D$30:$G$226,4,FALSE)</f>
        <v>#N/A</v>
      </c>
      <c r="C42" s="590"/>
      <c r="D42" s="590"/>
      <c r="E42" s="590"/>
      <c r="F42" s="590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85" t="str">
        <f>+VLOOKUP($A43,Master!$D$30:$G$226,4,FALSE)</f>
        <v>Transferi za socijalnu zaštitu</v>
      </c>
      <c r="C43" s="586"/>
      <c r="D43" s="586"/>
      <c r="E43" s="586"/>
      <c r="F43" s="586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89" t="str">
        <f>+VLOOKUP($A44,Master!$D$30:$G$226,4,FALSE)</f>
        <v>Prava iz oblasti socijalne zaštite</v>
      </c>
      <c r="C44" s="590"/>
      <c r="D44" s="590"/>
      <c r="E44" s="590"/>
      <c r="F44" s="590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89" t="str">
        <f>+VLOOKUP($A45,Master!$D$30:$G$226,4,FALSE)</f>
        <v>Sredstva za tehnološke viškove</v>
      </c>
      <c r="C45" s="590"/>
      <c r="D45" s="590"/>
      <c r="E45" s="590"/>
      <c r="F45" s="590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89" t="str">
        <f>+VLOOKUP($A46,Master!$D$30:$G$226,4,FALSE)</f>
        <v>Prava iz oblasti penzijskog i invalidskog osiguranja</v>
      </c>
      <c r="C46" s="590"/>
      <c r="D46" s="590"/>
      <c r="E46" s="590"/>
      <c r="F46" s="590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89" t="str">
        <f>+VLOOKUP($A47,Master!$D$30:$G$226,4,FALSE)</f>
        <v>Ostala prava iz oblasti zdravstvene zaštite</v>
      </c>
      <c r="C47" s="590"/>
      <c r="D47" s="590"/>
      <c r="E47" s="590"/>
      <c r="F47" s="590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89" t="str">
        <f>+VLOOKUP($A48,Master!$D$30:$G$226,4,FALSE)</f>
        <v>Ostala prava iz zdravstvenog osiguranja</v>
      </c>
      <c r="C48" s="590"/>
      <c r="D48" s="590"/>
      <c r="E48" s="590"/>
      <c r="F48" s="590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87" t="str">
        <f>+VLOOKUP($A49,Master!$D$30:$G$226,4,FALSE)</f>
        <v xml:space="preserve">Transferi institucijama, pojedincima, nevladinom i javnom sektoru </v>
      </c>
      <c r="C49" s="588"/>
      <c r="D49" s="588"/>
      <c r="E49" s="588"/>
      <c r="F49" s="588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87" t="str">
        <f>+VLOOKUP($A50,Master!$D$30:$G$226,4,FALSE)</f>
        <v>Kapitalni izdaci</v>
      </c>
      <c r="C50" s="588"/>
      <c r="D50" s="588"/>
      <c r="E50" s="588"/>
      <c r="F50" s="588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57" t="str">
        <f>+VLOOKUP($A51,Master!$D$30:$G$226,4,FALSE)</f>
        <v>Pozajmice i krediti</v>
      </c>
      <c r="C51" s="558"/>
      <c r="D51" s="558"/>
      <c r="E51" s="558"/>
      <c r="F51" s="558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57" t="str">
        <f>+VLOOKUP($A52,Master!$D$30:$G$226,4,FALSE)</f>
        <v>Rezerve</v>
      </c>
      <c r="C52" s="558"/>
      <c r="D52" s="558"/>
      <c r="E52" s="558"/>
      <c r="F52" s="558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75" t="str">
        <f>+VLOOKUP($A53,Master!$D$30:$G$226,4,FALSE)</f>
        <v>Otplata garancija</v>
      </c>
      <c r="C53" s="576"/>
      <c r="D53" s="576"/>
      <c r="E53" s="576"/>
      <c r="F53" s="576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75" t="str">
        <f>+VLOOKUP($A54,Master!$D$30:$G$226,4,FALSE)</f>
        <v>Otplata obaveza iz prethodnog perioda</v>
      </c>
      <c r="C54" s="576"/>
      <c r="D54" s="576"/>
      <c r="E54" s="576"/>
      <c r="F54" s="576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75" t="str">
        <f>+VLOOKUP($A55,Master!$D$30:$G$228,4,FALSE)</f>
        <v>Neto povećanje obaveza</v>
      </c>
      <c r="C55" s="576"/>
      <c r="D55" s="576"/>
      <c r="E55" s="576"/>
      <c r="F55" s="576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81" t="str">
        <f>+VLOOKUP($A56,Master!$D$30:$G$226,4,FALSE)</f>
        <v>Suficit / deficit</v>
      </c>
      <c r="C56" s="582"/>
      <c r="D56" s="582"/>
      <c r="E56" s="582"/>
      <c r="F56" s="582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83" t="str">
        <f>+VLOOKUP($A57,Master!$D$30:$G$226,4,FALSE)</f>
        <v>Primarni suficit/deficit</v>
      </c>
      <c r="C57" s="584"/>
      <c r="D57" s="584"/>
      <c r="E57" s="584"/>
      <c r="F57" s="584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85" t="str">
        <f>+VLOOKUP($A58,Master!$D$30:$G$226,4,FALSE)</f>
        <v>Otplata dugova</v>
      </c>
      <c r="C58" s="586"/>
      <c r="D58" s="586"/>
      <c r="E58" s="586"/>
      <c r="F58" s="586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573" t="str">
        <f>+VLOOKUP($A59,Master!$D$30:$G$226,4,FALSE)</f>
        <v>Otplata hartija od vrijednosti i kredita rezidentima</v>
      </c>
      <c r="C59" s="574"/>
      <c r="D59" s="574"/>
      <c r="E59" s="574"/>
      <c r="F59" s="574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57" t="str">
        <f>+VLOOKUP($A60,Master!$D$30:$G$226,4,FALSE)</f>
        <v>Otplata hartija od vrijednosti i kredita nerezidentima</v>
      </c>
      <c r="C60" s="558"/>
      <c r="D60" s="558"/>
      <c r="E60" s="558"/>
      <c r="F60" s="558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577" t="str">
        <f>+VLOOKUP($A62,Master!$D$30:$G$226,4,FALSE)</f>
        <v>Nedostajuća sredstva</v>
      </c>
      <c r="C62" s="578"/>
      <c r="D62" s="578"/>
      <c r="E62" s="578"/>
      <c r="F62" s="578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79" t="str">
        <f>+VLOOKUP($A63,Master!$D$30:$G$226,4,FALSE)</f>
        <v>Finansiranje</v>
      </c>
      <c r="C63" s="580"/>
      <c r="D63" s="580"/>
      <c r="E63" s="580"/>
      <c r="F63" s="580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573" t="str">
        <f>+VLOOKUP($A64,Master!$D$30:$G$226,4,FALSE)</f>
        <v>Pozajmice i krediti od domaćih izvora</v>
      </c>
      <c r="C64" s="574"/>
      <c r="D64" s="574"/>
      <c r="E64" s="574"/>
      <c r="F64" s="574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57" t="str">
        <f>+VLOOKUP($A65,Master!$D$30:$G$226,4,FALSE)</f>
        <v>Pozajmice i krediti od inostranih izvora</v>
      </c>
      <c r="C65" s="558"/>
      <c r="D65" s="558"/>
      <c r="E65" s="558"/>
      <c r="F65" s="558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57" t="str">
        <f>+VLOOKUP($A66,Master!$D$30:$G$226,4,FALSE)</f>
        <v>Primici od prodaje imovine</v>
      </c>
      <c r="C66" s="558"/>
      <c r="D66" s="558"/>
      <c r="E66" s="558"/>
      <c r="F66" s="558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59" t="s">
        <v>553</v>
      </c>
      <c r="C7" s="560"/>
      <c r="D7" s="560"/>
      <c r="E7" s="560"/>
      <c r="F7" s="560"/>
      <c r="G7" s="568">
        <v>2018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20" t="s">
        <v>419</v>
      </c>
      <c r="T7" s="221">
        <v>4663130000</v>
      </c>
    </row>
    <row r="8" spans="1:20" ht="16.5" customHeight="1">
      <c r="A8" s="129"/>
      <c r="B8" s="561"/>
      <c r="C8" s="562"/>
      <c r="D8" s="562"/>
      <c r="E8" s="562"/>
      <c r="F8" s="563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68" t="s">
        <v>806</v>
      </c>
      <c r="T8" s="572"/>
    </row>
    <row r="9" spans="1:20" ht="13.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601" t="s">
        <v>680</v>
      </c>
      <c r="C10" s="602"/>
      <c r="D10" s="602"/>
      <c r="E10" s="602"/>
      <c r="F10" s="602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603" t="s">
        <v>21</v>
      </c>
      <c r="C11" s="604"/>
      <c r="D11" s="604"/>
      <c r="E11" s="604"/>
      <c r="F11" s="604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89" t="s">
        <v>23</v>
      </c>
      <c r="C12" s="590"/>
      <c r="D12" s="590"/>
      <c r="E12" s="590"/>
      <c r="F12" s="590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89" t="s">
        <v>25</v>
      </c>
      <c r="C13" s="590"/>
      <c r="D13" s="590"/>
      <c r="E13" s="590"/>
      <c r="F13" s="590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89" t="s">
        <v>27</v>
      </c>
      <c r="C14" s="590"/>
      <c r="D14" s="590"/>
      <c r="E14" s="590"/>
      <c r="F14" s="590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89" t="s">
        <v>29</v>
      </c>
      <c r="C15" s="590"/>
      <c r="D15" s="590"/>
      <c r="E15" s="590"/>
      <c r="F15" s="590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89" t="s">
        <v>31</v>
      </c>
      <c r="C16" s="590"/>
      <c r="D16" s="590"/>
      <c r="E16" s="590"/>
      <c r="F16" s="590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89" t="s">
        <v>33</v>
      </c>
      <c r="C17" s="590"/>
      <c r="D17" s="590"/>
      <c r="E17" s="590"/>
      <c r="F17" s="590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89" t="s">
        <v>721</v>
      </c>
      <c r="C18" s="590"/>
      <c r="D18" s="590"/>
      <c r="E18" s="590"/>
      <c r="F18" s="590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599" t="s">
        <v>37</v>
      </c>
      <c r="C19" s="600"/>
      <c r="D19" s="600"/>
      <c r="E19" s="600"/>
      <c r="F19" s="600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89" t="s">
        <v>39</v>
      </c>
      <c r="C20" s="590"/>
      <c r="D20" s="590"/>
      <c r="E20" s="590"/>
      <c r="F20" s="590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89" t="s">
        <v>41</v>
      </c>
      <c r="C21" s="590"/>
      <c r="D21" s="590"/>
      <c r="E21" s="590"/>
      <c r="F21" s="590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89" t="s">
        <v>43</v>
      </c>
      <c r="C22" s="590"/>
      <c r="D22" s="590"/>
      <c r="E22" s="590"/>
      <c r="F22" s="590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89" t="s">
        <v>45</v>
      </c>
      <c r="C23" s="590"/>
      <c r="D23" s="590"/>
      <c r="E23" s="590"/>
      <c r="F23" s="590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91" t="s">
        <v>47</v>
      </c>
      <c r="C24" s="592"/>
      <c r="D24" s="592"/>
      <c r="E24" s="592"/>
      <c r="F24" s="592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91" t="s">
        <v>61</v>
      </c>
      <c r="C25" s="592"/>
      <c r="D25" s="592"/>
      <c r="E25" s="592"/>
      <c r="F25" s="592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91" t="s">
        <v>81</v>
      </c>
      <c r="C26" s="592"/>
      <c r="D26" s="592"/>
      <c r="E26" s="592"/>
      <c r="F26" s="592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91" t="s">
        <v>99</v>
      </c>
      <c r="C27" s="592"/>
      <c r="D27" s="592"/>
      <c r="E27" s="592"/>
      <c r="F27" s="592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93" t="s">
        <v>105</v>
      </c>
      <c r="C28" s="594"/>
      <c r="D28" s="594"/>
      <c r="E28" s="594"/>
      <c r="F28" s="594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79" t="s">
        <v>801</v>
      </c>
      <c r="C29" s="580"/>
      <c r="D29" s="580"/>
      <c r="E29" s="580"/>
      <c r="F29" s="580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595" t="s">
        <v>773</v>
      </c>
      <c r="C30" s="596"/>
      <c r="D30" s="596"/>
      <c r="E30" s="596"/>
      <c r="F30" s="596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597" t="s">
        <v>120</v>
      </c>
      <c r="C31" s="598"/>
      <c r="D31" s="598"/>
      <c r="E31" s="598"/>
      <c r="F31" s="598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89" t="s">
        <v>122</v>
      </c>
      <c r="C32" s="590"/>
      <c r="D32" s="590"/>
      <c r="E32" s="590"/>
      <c r="F32" s="590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89" t="s">
        <v>133</v>
      </c>
      <c r="C33" s="590"/>
      <c r="D33" s="590"/>
      <c r="E33" s="590"/>
      <c r="F33" s="590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89" t="s">
        <v>148</v>
      </c>
      <c r="C34" s="590"/>
      <c r="D34" s="590"/>
      <c r="E34" s="590"/>
      <c r="F34" s="590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89" t="s">
        <v>162</v>
      </c>
      <c r="C35" s="590"/>
      <c r="D35" s="590"/>
      <c r="E35" s="590"/>
      <c r="F35" s="590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89" t="s">
        <v>182</v>
      </c>
      <c r="C36" s="590"/>
      <c r="D36" s="590"/>
      <c r="E36" s="590"/>
      <c r="F36" s="590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89" t="s">
        <v>190</v>
      </c>
      <c r="C37" s="590"/>
      <c r="D37" s="590"/>
      <c r="E37" s="590"/>
      <c r="F37" s="590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89" t="s">
        <v>196</v>
      </c>
      <c r="C38" s="590"/>
      <c r="D38" s="590"/>
      <c r="E38" s="590"/>
      <c r="F38" s="590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89" t="s">
        <v>204</v>
      </c>
      <c r="C39" s="590"/>
      <c r="D39" s="590"/>
      <c r="E39" s="590"/>
      <c r="F39" s="590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89" t="s">
        <v>212</v>
      </c>
      <c r="C40" s="590"/>
      <c r="D40" s="590"/>
      <c r="E40" s="590"/>
      <c r="F40" s="590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89" t="s">
        <v>802</v>
      </c>
      <c r="C41" s="590"/>
      <c r="D41" s="590"/>
      <c r="E41" s="590"/>
      <c r="F41" s="590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85" t="s">
        <v>230</v>
      </c>
      <c r="C42" s="586"/>
      <c r="D42" s="586"/>
      <c r="E42" s="586"/>
      <c r="F42" s="586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89" t="s">
        <v>232</v>
      </c>
      <c r="C43" s="590"/>
      <c r="D43" s="590"/>
      <c r="E43" s="590"/>
      <c r="F43" s="590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89" t="s">
        <v>248</v>
      </c>
      <c r="C44" s="590"/>
      <c r="D44" s="590"/>
      <c r="E44" s="590"/>
      <c r="F44" s="590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89" t="s">
        <v>259</v>
      </c>
      <c r="C45" s="590"/>
      <c r="D45" s="590"/>
      <c r="E45" s="590"/>
      <c r="F45" s="590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89" t="s">
        <v>274</v>
      </c>
      <c r="C46" s="590"/>
      <c r="D46" s="590"/>
      <c r="E46" s="590"/>
      <c r="F46" s="590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68" t="s">
        <v>278</v>
      </c>
      <c r="C47" s="669"/>
      <c r="D47" s="669"/>
      <c r="E47" s="669"/>
      <c r="F47" s="669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87" t="s">
        <v>286</v>
      </c>
      <c r="C48" s="588"/>
      <c r="D48" s="588"/>
      <c r="E48" s="588"/>
      <c r="F48" s="588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87" t="s">
        <v>320</v>
      </c>
      <c r="C49" s="588"/>
      <c r="D49" s="588"/>
      <c r="E49" s="588"/>
      <c r="F49" s="588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11" t="s">
        <v>113</v>
      </c>
      <c r="C50" s="612"/>
      <c r="D50" s="612"/>
      <c r="E50" s="612"/>
      <c r="F50" s="612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57" t="s">
        <v>366</v>
      </c>
      <c r="C51" s="558"/>
      <c r="D51" s="558"/>
      <c r="E51" s="558"/>
      <c r="F51" s="558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75" t="s">
        <v>359</v>
      </c>
      <c r="C52" s="576"/>
      <c r="D52" s="576"/>
      <c r="E52" s="576"/>
      <c r="F52" s="576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18" t="s">
        <v>794</v>
      </c>
      <c r="C53" s="619"/>
      <c r="D53" s="619"/>
      <c r="E53" s="619"/>
      <c r="F53" s="619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20" t="s">
        <v>684</v>
      </c>
      <c r="C54" s="621"/>
      <c r="D54" s="621"/>
      <c r="E54" s="621"/>
      <c r="F54" s="621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81" t="s">
        <v>545</v>
      </c>
      <c r="C55" s="582"/>
      <c r="D55" s="582"/>
      <c r="E55" s="582"/>
      <c r="F55" s="582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83" t="s">
        <v>793</v>
      </c>
      <c r="C57" s="584"/>
      <c r="D57" s="584"/>
      <c r="E57" s="584"/>
      <c r="F57" s="584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05" t="s">
        <v>352</v>
      </c>
      <c r="C58" s="606"/>
      <c r="D58" s="606"/>
      <c r="E58" s="606"/>
      <c r="F58" s="606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573" t="s">
        <v>355</v>
      </c>
      <c r="C59" s="574"/>
      <c r="D59" s="574"/>
      <c r="E59" s="574"/>
      <c r="F59" s="574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57" t="s">
        <v>357</v>
      </c>
      <c r="C60" s="558"/>
      <c r="D60" s="558"/>
      <c r="E60" s="558"/>
      <c r="F60" s="558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66" t="s">
        <v>336</v>
      </c>
      <c r="C61" s="667"/>
      <c r="D61" s="667"/>
      <c r="E61" s="667"/>
      <c r="F61" s="667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577" t="s">
        <v>543</v>
      </c>
      <c r="C62" s="578"/>
      <c r="D62" s="578"/>
      <c r="E62" s="578"/>
      <c r="F62" s="578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79" t="s">
        <v>544</v>
      </c>
      <c r="C63" s="580"/>
      <c r="D63" s="580"/>
      <c r="E63" s="580"/>
      <c r="F63" s="580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573" t="s">
        <v>114</v>
      </c>
      <c r="C64" s="574"/>
      <c r="D64" s="574"/>
      <c r="E64" s="574"/>
      <c r="F64" s="574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57" t="s">
        <v>116</v>
      </c>
      <c r="C65" s="558"/>
      <c r="D65" s="558"/>
      <c r="E65" s="558"/>
      <c r="F65" s="558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57" t="s">
        <v>93</v>
      </c>
      <c r="C66" s="558"/>
      <c r="D66" s="558"/>
      <c r="E66" s="558"/>
      <c r="F66" s="558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28" t="s">
        <v>551</v>
      </c>
      <c r="C103" s="629"/>
      <c r="D103" s="629"/>
      <c r="E103" s="629"/>
      <c r="F103" s="629"/>
      <c r="G103" s="613">
        <v>2018</v>
      </c>
      <c r="H103" s="614"/>
      <c r="I103" s="614"/>
      <c r="J103" s="614"/>
      <c r="K103" s="614"/>
      <c r="L103" s="614"/>
      <c r="M103" s="614"/>
      <c r="N103" s="614"/>
      <c r="O103" s="614"/>
      <c r="P103" s="614"/>
      <c r="Q103" s="614"/>
      <c r="R103" s="615"/>
      <c r="S103" s="96" t="str">
        <f>+S7</f>
        <v>BDP</v>
      </c>
      <c r="T103" s="97">
        <f>+T7</f>
        <v>4663130000</v>
      </c>
    </row>
    <row r="104" spans="1:21" ht="15.75" customHeight="1">
      <c r="B104" s="630"/>
      <c r="C104" s="631"/>
      <c r="D104" s="631"/>
      <c r="E104" s="631"/>
      <c r="F104" s="632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13" t="s">
        <v>806</v>
      </c>
      <c r="T104" s="615">
        <f>+T8</f>
        <v>0</v>
      </c>
    </row>
    <row r="105" spans="1:21" ht="13.5" thickBot="1">
      <c r="B105" s="633"/>
      <c r="C105" s="634"/>
      <c r="D105" s="634"/>
      <c r="E105" s="634"/>
      <c r="F105" s="635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58" t="s">
        <v>680</v>
      </c>
      <c r="C106" s="659"/>
      <c r="D106" s="659"/>
      <c r="E106" s="659"/>
      <c r="F106" s="659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24" t="s">
        <v>21</v>
      </c>
      <c r="C107" s="625"/>
      <c r="D107" s="625"/>
      <c r="E107" s="625"/>
      <c r="F107" s="625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26" t="s">
        <v>23</v>
      </c>
      <c r="C108" s="627"/>
      <c r="D108" s="627"/>
      <c r="E108" s="627"/>
      <c r="F108" s="627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26" t="s">
        <v>25</v>
      </c>
      <c r="C109" s="627"/>
      <c r="D109" s="627"/>
      <c r="E109" s="627"/>
      <c r="F109" s="627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26" t="s">
        <v>27</v>
      </c>
      <c r="C110" s="627"/>
      <c r="D110" s="627"/>
      <c r="E110" s="627"/>
      <c r="F110" s="627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26" t="s">
        <v>29</v>
      </c>
      <c r="C111" s="627"/>
      <c r="D111" s="627"/>
      <c r="E111" s="627"/>
      <c r="F111" s="627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26" t="s">
        <v>31</v>
      </c>
      <c r="C112" s="627"/>
      <c r="D112" s="627"/>
      <c r="E112" s="627"/>
      <c r="F112" s="627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26" t="s">
        <v>33</v>
      </c>
      <c r="C113" s="627"/>
      <c r="D113" s="627"/>
      <c r="E113" s="627"/>
      <c r="F113" s="627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26" t="s">
        <v>721</v>
      </c>
      <c r="C114" s="627"/>
      <c r="D114" s="627"/>
      <c r="E114" s="627"/>
      <c r="F114" s="627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56" t="s">
        <v>37</v>
      </c>
      <c r="C115" s="657"/>
      <c r="D115" s="657"/>
      <c r="E115" s="657"/>
      <c r="F115" s="657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26" t="s">
        <v>39</v>
      </c>
      <c r="C116" s="627"/>
      <c r="D116" s="627"/>
      <c r="E116" s="627"/>
      <c r="F116" s="627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26" t="s">
        <v>41</v>
      </c>
      <c r="C117" s="627"/>
      <c r="D117" s="627"/>
      <c r="E117" s="627"/>
      <c r="F117" s="627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26" t="s">
        <v>43</v>
      </c>
      <c r="C118" s="627"/>
      <c r="D118" s="627"/>
      <c r="E118" s="627"/>
      <c r="F118" s="627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26" t="s">
        <v>45</v>
      </c>
      <c r="C119" s="627"/>
      <c r="D119" s="627"/>
      <c r="E119" s="627"/>
      <c r="F119" s="627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36" t="s">
        <v>47</v>
      </c>
      <c r="C120" s="637"/>
      <c r="D120" s="637"/>
      <c r="E120" s="637"/>
      <c r="F120" s="637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36" t="s">
        <v>61</v>
      </c>
      <c r="C121" s="637"/>
      <c r="D121" s="637"/>
      <c r="E121" s="637"/>
      <c r="F121" s="637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36" t="s">
        <v>81</v>
      </c>
      <c r="C122" s="637"/>
      <c r="D122" s="637"/>
      <c r="E122" s="637"/>
      <c r="F122" s="637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36" t="s">
        <v>99</v>
      </c>
      <c r="C123" s="637"/>
      <c r="D123" s="637"/>
      <c r="E123" s="637"/>
      <c r="F123" s="637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38" t="s">
        <v>105</v>
      </c>
      <c r="C124" s="639"/>
      <c r="D124" s="639"/>
      <c r="E124" s="639"/>
      <c r="F124" s="639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22" t="s">
        <v>808</v>
      </c>
      <c r="C125" s="623"/>
      <c r="D125" s="623"/>
      <c r="E125" s="623"/>
      <c r="F125" s="623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64" t="s">
        <v>773</v>
      </c>
      <c r="C126" s="665"/>
      <c r="D126" s="665"/>
      <c r="E126" s="665"/>
      <c r="F126" s="665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40" t="s">
        <v>120</v>
      </c>
      <c r="C127" s="641"/>
      <c r="D127" s="641"/>
      <c r="E127" s="641"/>
      <c r="F127" s="641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26" t="s">
        <v>122</v>
      </c>
      <c r="C128" s="627"/>
      <c r="D128" s="627"/>
      <c r="E128" s="627"/>
      <c r="F128" s="627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26" t="s">
        <v>133</v>
      </c>
      <c r="C129" s="627"/>
      <c r="D129" s="627"/>
      <c r="E129" s="627"/>
      <c r="F129" s="627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26" t="s">
        <v>148</v>
      </c>
      <c r="C130" s="627"/>
      <c r="D130" s="627"/>
      <c r="E130" s="627"/>
      <c r="F130" s="627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26" t="s">
        <v>162</v>
      </c>
      <c r="C131" s="627"/>
      <c r="D131" s="627"/>
      <c r="E131" s="627"/>
      <c r="F131" s="627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26" t="s">
        <v>182</v>
      </c>
      <c r="C132" s="627"/>
      <c r="D132" s="627"/>
      <c r="E132" s="627"/>
      <c r="F132" s="627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26" t="s">
        <v>190</v>
      </c>
      <c r="C133" s="627"/>
      <c r="D133" s="627"/>
      <c r="E133" s="627"/>
      <c r="F133" s="627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26" t="s">
        <v>196</v>
      </c>
      <c r="C134" s="627"/>
      <c r="D134" s="627"/>
      <c r="E134" s="627"/>
      <c r="F134" s="627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26" t="s">
        <v>204</v>
      </c>
      <c r="C135" s="627"/>
      <c r="D135" s="627"/>
      <c r="E135" s="627"/>
      <c r="F135" s="627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26" t="s">
        <v>212</v>
      </c>
      <c r="C136" s="627"/>
      <c r="D136" s="627"/>
      <c r="E136" s="627"/>
      <c r="F136" s="627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26" t="s">
        <v>802</v>
      </c>
      <c r="C137" s="627"/>
      <c r="D137" s="627"/>
      <c r="E137" s="627"/>
      <c r="F137" s="627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46" t="s">
        <v>230</v>
      </c>
      <c r="C138" s="647"/>
      <c r="D138" s="647"/>
      <c r="E138" s="647"/>
      <c r="F138" s="647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26" t="s">
        <v>232</v>
      </c>
      <c r="C139" s="627"/>
      <c r="D139" s="627"/>
      <c r="E139" s="627"/>
      <c r="F139" s="627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26" t="s">
        <v>248</v>
      </c>
      <c r="C140" s="627"/>
      <c r="D140" s="627"/>
      <c r="E140" s="627"/>
      <c r="F140" s="627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26" t="s">
        <v>259</v>
      </c>
      <c r="C141" s="627"/>
      <c r="D141" s="627"/>
      <c r="E141" s="627"/>
      <c r="F141" s="627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26" t="s">
        <v>274</v>
      </c>
      <c r="C142" s="627"/>
      <c r="D142" s="627"/>
      <c r="E142" s="627"/>
      <c r="F142" s="627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26" t="s">
        <v>278</v>
      </c>
      <c r="C143" s="627"/>
      <c r="D143" s="627"/>
      <c r="E143" s="627"/>
      <c r="F143" s="627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42" t="s">
        <v>286</v>
      </c>
      <c r="C144" s="643"/>
      <c r="D144" s="643"/>
      <c r="E144" s="643"/>
      <c r="F144" s="643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42" t="s">
        <v>809</v>
      </c>
      <c r="C145" s="643"/>
      <c r="D145" s="643"/>
      <c r="E145" s="643"/>
      <c r="F145" s="643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44" t="s">
        <v>113</v>
      </c>
      <c r="C146" s="645"/>
      <c r="D146" s="645"/>
      <c r="E146" s="645"/>
      <c r="F146" s="645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44" t="s">
        <v>366</v>
      </c>
      <c r="C147" s="645"/>
      <c r="D147" s="645"/>
      <c r="E147" s="645"/>
      <c r="F147" s="645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44" t="s">
        <v>359</v>
      </c>
      <c r="C148" s="645"/>
      <c r="D148" s="645"/>
      <c r="E148" s="645"/>
      <c r="F148" s="645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52" t="s">
        <v>545</v>
      </c>
      <c r="C150" s="653"/>
      <c r="D150" s="653"/>
      <c r="E150" s="653"/>
      <c r="F150" s="653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54" t="s">
        <v>810</v>
      </c>
      <c r="C151" s="655"/>
      <c r="D151" s="655"/>
      <c r="E151" s="655"/>
      <c r="F151" s="655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46" t="s">
        <v>352</v>
      </c>
      <c r="C152" s="647"/>
      <c r="D152" s="647"/>
      <c r="E152" s="647"/>
      <c r="F152" s="647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50" t="s">
        <v>355</v>
      </c>
      <c r="C153" s="651"/>
      <c r="D153" s="651"/>
      <c r="E153" s="651"/>
      <c r="F153" s="651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44" t="s">
        <v>357</v>
      </c>
      <c r="C154" s="645"/>
      <c r="D154" s="645"/>
      <c r="E154" s="645"/>
      <c r="F154" s="645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44" t="s">
        <v>365</v>
      </c>
      <c r="C155" s="645"/>
      <c r="D155" s="645"/>
      <c r="E155" s="645"/>
      <c r="F155" s="645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48" t="s">
        <v>543</v>
      </c>
      <c r="C157" s="649"/>
      <c r="D157" s="649"/>
      <c r="E157" s="649"/>
      <c r="F157" s="649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22" t="s">
        <v>544</v>
      </c>
      <c r="C158" s="623"/>
      <c r="D158" s="623"/>
      <c r="E158" s="623"/>
      <c r="F158" s="623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50" t="s">
        <v>114</v>
      </c>
      <c r="C159" s="651"/>
      <c r="D159" s="651"/>
      <c r="E159" s="651"/>
      <c r="F159" s="651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44" t="s">
        <v>116</v>
      </c>
      <c r="C160" s="645"/>
      <c r="D160" s="645"/>
      <c r="E160" s="645"/>
      <c r="F160" s="645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44" t="s">
        <v>93</v>
      </c>
      <c r="C161" s="645"/>
      <c r="D161" s="645"/>
      <c r="E161" s="645"/>
      <c r="F161" s="645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73" t="s">
        <v>554</v>
      </c>
      <c r="F6" s="670">
        <v>2006</v>
      </c>
      <c r="G6" s="671"/>
      <c r="H6" s="671"/>
      <c r="I6" s="671"/>
      <c r="J6" s="671"/>
      <c r="K6" s="671"/>
      <c r="L6" s="671"/>
      <c r="M6" s="671"/>
      <c r="N6" s="671"/>
      <c r="O6" s="671"/>
      <c r="P6" s="671"/>
      <c r="Q6" s="672"/>
      <c r="R6" s="670">
        <v>2007</v>
      </c>
      <c r="S6" s="671"/>
      <c r="T6" s="671"/>
      <c r="U6" s="671"/>
      <c r="V6" s="671"/>
      <c r="W6" s="671"/>
      <c r="X6" s="671"/>
      <c r="Y6" s="671"/>
      <c r="Z6" s="671"/>
      <c r="AA6" s="671"/>
      <c r="AB6" s="671"/>
      <c r="AC6" s="672"/>
      <c r="AD6" s="670">
        <v>2008</v>
      </c>
      <c r="AE6" s="671"/>
      <c r="AF6" s="671"/>
      <c r="AG6" s="671"/>
      <c r="AH6" s="671"/>
      <c r="AI6" s="671"/>
      <c r="AJ6" s="671"/>
      <c r="AK6" s="671"/>
      <c r="AL6" s="671"/>
      <c r="AM6" s="671"/>
      <c r="AN6" s="671"/>
      <c r="AO6" s="672"/>
      <c r="AP6" s="670">
        <v>2009</v>
      </c>
      <c r="AQ6" s="671"/>
      <c r="AR6" s="671"/>
      <c r="AS6" s="671"/>
      <c r="AT6" s="671"/>
      <c r="AU6" s="671"/>
      <c r="AV6" s="671"/>
      <c r="AW6" s="671"/>
      <c r="AX6" s="671"/>
      <c r="AY6" s="671"/>
      <c r="AZ6" s="671"/>
      <c r="BA6" s="672"/>
      <c r="BB6" s="670">
        <v>2010</v>
      </c>
      <c r="BC6" s="671"/>
      <c r="BD6" s="671"/>
      <c r="BE6" s="671"/>
      <c r="BF6" s="671"/>
      <c r="BG6" s="671"/>
      <c r="BH6" s="671"/>
      <c r="BI6" s="671"/>
      <c r="BJ6" s="671"/>
      <c r="BK6" s="671"/>
      <c r="BL6" s="671"/>
      <c r="BM6" s="672"/>
      <c r="BN6" s="670">
        <v>2011</v>
      </c>
      <c r="BO6" s="671"/>
      <c r="BP6" s="671"/>
      <c r="BQ6" s="671"/>
      <c r="BR6" s="671"/>
      <c r="BS6" s="671"/>
      <c r="BT6" s="671"/>
      <c r="BU6" s="671"/>
      <c r="BV6" s="671"/>
      <c r="BW6" s="671"/>
      <c r="BX6" s="671"/>
      <c r="BY6" s="672"/>
      <c r="BZ6" s="671">
        <v>2012</v>
      </c>
      <c r="CA6" s="671"/>
      <c r="CB6" s="671"/>
      <c r="CC6" s="671"/>
      <c r="CD6" s="671"/>
      <c r="CE6" s="671"/>
      <c r="CF6" s="671"/>
      <c r="CG6" s="671"/>
      <c r="CH6" s="671"/>
      <c r="CI6" s="671"/>
      <c r="CJ6" s="671"/>
      <c r="CK6" s="671"/>
      <c r="CL6" s="670">
        <v>2013</v>
      </c>
      <c r="CM6" s="671"/>
      <c r="CN6" s="671"/>
      <c r="CO6" s="671"/>
      <c r="CP6" s="671"/>
      <c r="CQ6" s="671"/>
      <c r="CR6" s="671"/>
      <c r="CS6" s="671"/>
      <c r="CT6" s="671"/>
      <c r="CU6" s="671"/>
      <c r="CV6" s="671"/>
      <c r="CW6" s="672"/>
      <c r="CX6" s="670">
        <v>2014</v>
      </c>
      <c r="CY6" s="671"/>
      <c r="CZ6" s="671"/>
      <c r="DA6" s="671"/>
      <c r="DB6" s="671"/>
      <c r="DC6" s="671"/>
      <c r="DD6" s="671"/>
      <c r="DE6" s="671"/>
      <c r="DF6" s="671"/>
      <c r="DG6" s="671"/>
      <c r="DH6" s="671"/>
      <c r="DI6" s="672"/>
      <c r="DJ6" s="670">
        <v>2015</v>
      </c>
      <c r="DK6" s="671"/>
      <c r="DL6" s="671"/>
      <c r="DM6" s="671"/>
      <c r="DN6" s="671"/>
      <c r="DO6" s="671"/>
      <c r="DP6" s="671"/>
      <c r="DQ6" s="671"/>
      <c r="DR6" s="671"/>
      <c r="DS6" s="671"/>
      <c r="DT6" s="671"/>
      <c r="DU6" s="672"/>
    </row>
    <row r="7" spans="1:321">
      <c r="E7" s="673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73" t="s">
        <v>675</v>
      </c>
      <c r="F214" s="670">
        <v>2006</v>
      </c>
      <c r="G214" s="671"/>
      <c r="H214" s="671"/>
      <c r="I214" s="671"/>
      <c r="J214" s="671"/>
      <c r="K214" s="671"/>
      <c r="L214" s="671"/>
      <c r="M214" s="671"/>
      <c r="N214" s="671"/>
      <c r="O214" s="671"/>
      <c r="P214" s="671"/>
      <c r="Q214" s="672"/>
      <c r="R214" s="670">
        <v>2007</v>
      </c>
      <c r="S214" s="671"/>
      <c r="T214" s="671"/>
      <c r="U214" s="671"/>
      <c r="V214" s="671"/>
      <c r="W214" s="671"/>
      <c r="X214" s="671"/>
      <c r="Y214" s="671"/>
      <c r="Z214" s="671"/>
      <c r="AA214" s="671"/>
      <c r="AB214" s="671"/>
      <c r="AC214" s="672"/>
      <c r="AD214" s="670">
        <v>2008</v>
      </c>
      <c r="AE214" s="671"/>
      <c r="AF214" s="671"/>
      <c r="AG214" s="671"/>
      <c r="AH214" s="671"/>
      <c r="AI214" s="671"/>
      <c r="AJ214" s="671"/>
      <c r="AK214" s="671"/>
      <c r="AL214" s="671"/>
      <c r="AM214" s="671"/>
      <c r="AN214" s="671"/>
      <c r="AO214" s="672"/>
      <c r="AP214" s="670">
        <v>2009</v>
      </c>
      <c r="AQ214" s="671"/>
      <c r="AR214" s="671"/>
      <c r="AS214" s="671"/>
      <c r="AT214" s="671"/>
      <c r="AU214" s="671"/>
      <c r="AV214" s="671"/>
      <c r="AW214" s="671"/>
      <c r="AX214" s="671"/>
      <c r="AY214" s="671"/>
      <c r="AZ214" s="671"/>
      <c r="BA214" s="672"/>
      <c r="BB214" s="670">
        <v>2010</v>
      </c>
      <c r="BC214" s="671"/>
      <c r="BD214" s="671"/>
      <c r="BE214" s="671"/>
      <c r="BF214" s="671"/>
      <c r="BG214" s="671"/>
      <c r="BH214" s="671"/>
      <c r="BI214" s="671"/>
      <c r="BJ214" s="671"/>
      <c r="BK214" s="671"/>
      <c r="BL214" s="671"/>
      <c r="BM214" s="672"/>
      <c r="BN214" s="670">
        <v>2011</v>
      </c>
      <c r="BO214" s="671"/>
      <c r="BP214" s="671"/>
      <c r="BQ214" s="671"/>
      <c r="BR214" s="671"/>
      <c r="BS214" s="671"/>
      <c r="BT214" s="671"/>
      <c r="BU214" s="671"/>
      <c r="BV214" s="671"/>
      <c r="BW214" s="671"/>
      <c r="BX214" s="671"/>
      <c r="BY214" s="672"/>
      <c r="BZ214" s="671">
        <v>2012</v>
      </c>
      <c r="CA214" s="671"/>
      <c r="CB214" s="671"/>
      <c r="CC214" s="671"/>
      <c r="CD214" s="671"/>
      <c r="CE214" s="671"/>
      <c r="CF214" s="671"/>
      <c r="CG214" s="671"/>
      <c r="CH214" s="671"/>
      <c r="CI214" s="671"/>
      <c r="CJ214" s="671"/>
      <c r="CK214" s="671"/>
      <c r="CL214" s="670">
        <v>2013</v>
      </c>
      <c r="CM214" s="671"/>
      <c r="CN214" s="671"/>
      <c r="CO214" s="671"/>
      <c r="CP214" s="671"/>
      <c r="CQ214" s="671"/>
      <c r="CR214" s="671"/>
      <c r="CS214" s="671"/>
      <c r="CT214" s="671"/>
      <c r="CU214" s="671"/>
      <c r="CV214" s="671"/>
      <c r="CW214" s="672"/>
      <c r="CX214" s="670">
        <v>2014</v>
      </c>
      <c r="CY214" s="671"/>
      <c r="CZ214" s="671"/>
      <c r="DA214" s="671"/>
      <c r="DB214" s="671"/>
      <c r="DC214" s="671"/>
      <c r="DD214" s="671"/>
      <c r="DE214" s="671"/>
      <c r="DF214" s="671"/>
      <c r="DG214" s="671"/>
      <c r="DH214" s="671"/>
      <c r="DI214" s="672"/>
      <c r="DJ214" s="670">
        <v>2015</v>
      </c>
      <c r="DK214" s="671"/>
      <c r="DL214" s="671"/>
      <c r="DM214" s="671"/>
      <c r="DN214" s="671"/>
      <c r="DO214" s="671"/>
      <c r="DP214" s="671"/>
      <c r="DQ214" s="671"/>
      <c r="DR214" s="671"/>
      <c r="DS214" s="671"/>
      <c r="DT214" s="671"/>
      <c r="DU214" s="672"/>
    </row>
    <row r="215" spans="1:187">
      <c r="E215" s="673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B1:G286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7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2024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Jul</v>
      </c>
    </row>
    <row r="246" spans="4:7">
      <c r="D246" s="41"/>
      <c r="G246" s="44" t="str">
        <f>+CONCATENATE("Jan - ",LEFT(G245,3))</f>
        <v>Jan - Jul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Jul</v>
      </c>
      <c r="F254" s="6" t="str">
        <f>+CONCATENATE("Analytics for period ",G246)</f>
        <v>Analytics for period Jan - Jul</v>
      </c>
      <c r="G254" s="44" t="str">
        <f>+IF(ISBLANK(IF($B$2=1,E254,F254)),"",IF($B$2=1,E254,F254))</f>
        <v>Analitika za period Jan - Jul</v>
      </c>
    </row>
    <row r="255" spans="4:7">
      <c r="E255" s="5" t="str">
        <f>+CONCATENATE("Analitika za period ",G245)</f>
        <v>Analitika za period Jul</v>
      </c>
      <c r="F255" s="6" t="str">
        <f>+CONCATENATE("Analytics for period ",G245)</f>
        <v>Analytics for period Jul</v>
      </c>
      <c r="G255" s="44" t="str">
        <f>+IF(ISBLANK(IF($B$2=1,E255,F255)),"",IF($B$2=1,E255,F255))</f>
        <v>Analitika za period Jul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Jul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Jul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Jul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Jul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Jul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Jul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A6" sqref="A6"/>
    </sheetView>
  </sheetViews>
  <sheetFormatPr defaultColWidth="9.140625" defaultRowHeight="15"/>
  <cols>
    <col min="1" max="3" width="9.140625" style="116"/>
    <col min="4" max="4" width="10" style="116" bestFit="1" customWidth="1"/>
    <col min="5" max="7" width="9.140625" style="116"/>
    <col min="8" max="8" width="11" style="116" bestFit="1" customWidth="1"/>
    <col min="9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Jul</v>
      </c>
      <c r="G11" s="122" t="str">
        <f>+Master!G274</f>
        <v>Prihodi za period Januar - Jul</v>
      </c>
      <c r="J11" s="121"/>
    </row>
    <row r="12" spans="3:10">
      <c r="C12" s="120"/>
      <c r="D12" s="123">
        <f>+'Analitika 2024'!N10</f>
        <v>259958662.52000004</v>
      </c>
      <c r="E12" s="427">
        <f>+D12/'2024'!T7</f>
        <v>3.6957444202445275E-2</v>
      </c>
      <c r="G12" s="123">
        <f>+'Analitika 2024'!G10</f>
        <v>1569138377</v>
      </c>
      <c r="H12" s="427">
        <f>+G12/'2024'!T7</f>
        <v>0.22307909823713393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Jul</v>
      </c>
      <c r="G15" s="122" t="str">
        <f>+Master!G275</f>
        <v>Rashodi za period Januar - Jul</v>
      </c>
      <c r="J15" s="121"/>
    </row>
    <row r="16" spans="3:10">
      <c r="C16" s="120"/>
      <c r="D16" s="123">
        <f>+'Analitika 2024'!N29</f>
        <v>248439960.72</v>
      </c>
      <c r="E16" s="427">
        <f>+D16/'2024'!T7</f>
        <v>3.5319869309070231E-2</v>
      </c>
      <c r="G16" s="123">
        <f>+'Analitika 2024'!G29</f>
        <v>1527125385.6000001</v>
      </c>
      <c r="H16" s="427">
        <f>+G16/'2024'!T7</f>
        <v>0.21710625328404892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Jul</v>
      </c>
      <c r="G19" s="122" t="str">
        <f>+Master!G276</f>
        <v>Suficit/Deficit za period Januar - Jul</v>
      </c>
      <c r="J19" s="121"/>
    </row>
    <row r="20" spans="3:11">
      <c r="C20" s="120"/>
      <c r="D20" s="123">
        <f>+'Analitika 2024'!N53</f>
        <v>11518701.800000042</v>
      </c>
      <c r="E20" s="427">
        <f>+D20/'2024'!T7</f>
        <v>1.6375748933750414E-3</v>
      </c>
      <c r="G20" s="123">
        <f>+'Analitika 2024'!G53</f>
        <v>42012991.400000095</v>
      </c>
      <c r="H20" s="427">
        <f>+G20/'2024'!T7</f>
        <v>5.972844953085029E-3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fCLuWUPam4uFYTIAJI/uwK3U3jWDCkWmlKScFYb/J7xKT+tAa1qsenyiBjIMdE6QlrN3XekNbx/W/Fh6dIPExg==" saltValue="a1dLIZmMpwuiiRaDzY2UH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pane ySplit="5" topLeftCell="A6" activePane="bottomLeft" state="frozen"/>
      <selection activeCell="DK219" sqref="DK219"/>
      <selection pane="bottomLeft" activeCell="B10" sqref="B10:F10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2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2" width="9.140625" style="4"/>
    <col min="23" max="23" width="11.710937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2024-07</v>
      </c>
      <c r="O6" s="128" t="str">
        <f>+CONCATENATE(N6,"p")</f>
        <v>2024-07p</v>
      </c>
      <c r="P6" s="116"/>
      <c r="Q6" s="116"/>
      <c r="R6" s="128" t="str">
        <f>+IF(Master!B3-10&gt;=0,CONCATENATE(Master!B4-1,"-",Master!B3),CONCATENATE(Master!B4-1,"-0",Master!B3))</f>
        <v>2023-07</v>
      </c>
      <c r="S6" s="116"/>
      <c r="T6" s="116"/>
    </row>
    <row r="7" spans="1:25" ht="14.25" customHeight="1">
      <c r="A7" s="129"/>
      <c r="B7" s="559" t="str">
        <f>+Master!G254</f>
        <v>Analitika za period Jan - Jul</v>
      </c>
      <c r="C7" s="560"/>
      <c r="D7" s="560"/>
      <c r="E7" s="560"/>
      <c r="F7" s="560"/>
      <c r="G7" s="568" t="str">
        <f>+Master!G246</f>
        <v>Jan - Jul</v>
      </c>
      <c r="H7" s="569"/>
      <c r="I7" s="569"/>
      <c r="J7" s="569"/>
      <c r="K7" s="569"/>
      <c r="L7" s="569"/>
      <c r="M7" s="572"/>
      <c r="N7" s="569" t="str">
        <f>+Master!G245</f>
        <v>Jul</v>
      </c>
      <c r="O7" s="569"/>
      <c r="P7" s="569"/>
      <c r="Q7" s="569"/>
      <c r="R7" s="569"/>
      <c r="S7" s="569"/>
      <c r="T7" s="572"/>
    </row>
    <row r="8" spans="1:25" ht="29.25" customHeight="1">
      <c r="A8" s="129"/>
      <c r="B8" s="561"/>
      <c r="C8" s="562"/>
      <c r="D8" s="562"/>
      <c r="E8" s="562"/>
      <c r="F8" s="563"/>
      <c r="G8" s="487" t="str">
        <f>+Master!G26</f>
        <v>Ostvarenje</v>
      </c>
      <c r="H8" s="330" t="str">
        <f>+Master!G25</f>
        <v>Plan</v>
      </c>
      <c r="I8" s="555" t="str">
        <f>+Master!G261</f>
        <v>Odstupanje</v>
      </c>
      <c r="J8" s="555"/>
      <c r="K8" s="130" t="str">
        <f>+CONCATENATE(Master!G246," ",Master!B4-1)</f>
        <v>Jan - Jul 2023</v>
      </c>
      <c r="L8" s="555" t="str">
        <f>+I8</f>
        <v>Odstupanje</v>
      </c>
      <c r="M8" s="556"/>
      <c r="N8" s="487" t="str">
        <f>+G8</f>
        <v>Ostvarenje</v>
      </c>
      <c r="O8" s="130" t="str">
        <f>+H8</f>
        <v>Plan</v>
      </c>
      <c r="P8" s="555" t="str">
        <f>+I8</f>
        <v>Odstupanje</v>
      </c>
      <c r="Q8" s="555"/>
      <c r="R8" s="130" t="str">
        <f>+CONCATENATE(Master!G245," ",Master!B4-1)</f>
        <v>Jul 2023</v>
      </c>
      <c r="S8" s="555" t="str">
        <f>+P8</f>
        <v>Odstupanje</v>
      </c>
      <c r="T8" s="556"/>
    </row>
    <row r="9" spans="1:25" ht="15.75" thickBot="1">
      <c r="A9" s="129"/>
      <c r="B9" s="564"/>
      <c r="C9" s="565"/>
      <c r="D9" s="565"/>
      <c r="E9" s="565"/>
      <c r="F9" s="566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79" t="str">
        <f>+VLOOKUP($A10,Master!$D$30:$G$226,4,FALSE)</f>
        <v>Prihodi budžeta</v>
      </c>
      <c r="C10" s="580"/>
      <c r="D10" s="580"/>
      <c r="E10" s="580"/>
      <c r="F10" s="580"/>
      <c r="G10" s="136">
        <f>'2024'!S10</f>
        <v>1569138377</v>
      </c>
      <c r="H10" s="136">
        <f>SUM('2024'!G86:M86)</f>
        <v>1473617109.4531646</v>
      </c>
      <c r="I10" s="137">
        <f>+G10-H10</f>
        <v>95521267.546835423</v>
      </c>
      <c r="J10" s="139">
        <f>IF(+IF(ISERROR(G10/H10),"…",G10/H10-1)&gt;200%,"...",IF(ISERROR(G10/H10),"…",G10/H10-1))</f>
        <v>6.4820954462371683E-2</v>
      </c>
      <c r="K10" s="136">
        <f>SUM('2023'!G10:M10)</f>
        <v>1444433996.25</v>
      </c>
      <c r="L10" s="137">
        <f>+G10-K10</f>
        <v>124704380.75</v>
      </c>
      <c r="M10" s="141">
        <f>IF(+IF(ISERROR(G10/K10),"…",G10/K10-1)&gt;200%,"...",IF(ISERROR(G10/K10),"…",G10/K10-1))</f>
        <v>8.633442654614476E-2</v>
      </c>
      <c r="N10" s="136">
        <f>'2024'!M10</f>
        <v>259958662.52000004</v>
      </c>
      <c r="O10" s="136">
        <f>'2024'!M86</f>
        <v>239840109.13525739</v>
      </c>
      <c r="P10" s="137">
        <f>+N10-O10</f>
        <v>20118553.384742647</v>
      </c>
      <c r="Q10" s="139">
        <f>IF(+IF(ISERROR(N10/O10),"…",N10/O10-1)&gt;200%,"...",IF(ISERROR(N10/O10),"…",N10/O10-1))</f>
        <v>8.3883189752039344E-2</v>
      </c>
      <c r="R10" s="136">
        <f>'2023'!M10</f>
        <v>207966597.42000002</v>
      </c>
      <c r="S10" s="137">
        <f>+N10-R10</f>
        <v>51992065.100000024</v>
      </c>
      <c r="T10" s="141">
        <f>IF(+IF(ISERROR(N10/R10),"…",N10/R10-1)&gt;200%,"...",IF(ISERROR(N10/R10),"…",N10/R10-1))</f>
        <v>0.25000199909507193</v>
      </c>
      <c r="W10" s="470"/>
      <c r="Y10" s="470"/>
    </row>
    <row r="11" spans="1:25">
      <c r="A11" s="135">
        <v>711</v>
      </c>
      <c r="B11" s="603" t="str">
        <f>+VLOOKUP($A11,Master!$D$30:$G$226,4,FALSE)</f>
        <v>Porezi</v>
      </c>
      <c r="C11" s="604"/>
      <c r="D11" s="604"/>
      <c r="E11" s="604"/>
      <c r="F11" s="604"/>
      <c r="G11" s="262">
        <f>'2024'!S11</f>
        <v>1135601424.4200001</v>
      </c>
      <c r="H11" s="262">
        <f>SUM('2024'!G87:M87)</f>
        <v>1059818540.7682528</v>
      </c>
      <c r="I11" s="143">
        <f t="shared" ref="I11:I57" si="0">+G11-H11</f>
        <v>75782883.651747227</v>
      </c>
      <c r="J11" s="145">
        <f t="shared" ref="J11:J66" si="1">IF(+IF(ISERROR(G11/H11-1),"…",G11/H11-1)&gt;200%,"...",IF(ISERROR(G11/H11-1),"…",G11/H11-1))</f>
        <v>7.1505527348873166E-2</v>
      </c>
      <c r="K11" s="262">
        <f>SUM('2023'!G11:M11)</f>
        <v>943820661.14999986</v>
      </c>
      <c r="L11" s="143">
        <f>+G11-K11</f>
        <v>191780763.27000022</v>
      </c>
      <c r="M11" s="147">
        <f t="shared" ref="M11:M66" si="2">IF(+IF(ISERROR(G11/K11),"…",G11/K11-1)&gt;200%,"...",IF(ISERROR(G11/K11),"…",G11/K11-1))</f>
        <v>0.20319619093348162</v>
      </c>
      <c r="N11" s="262">
        <f>'2024'!M11</f>
        <v>176287449.87000003</v>
      </c>
      <c r="O11" s="262">
        <f>'2024'!M87</f>
        <v>161274945.54288816</v>
      </c>
      <c r="P11" s="143">
        <f>+N11-O11</f>
        <v>15012504.32711187</v>
      </c>
      <c r="Q11" s="145">
        <f t="shared" ref="Q11:Q66" si="3">IF(+IF(ISERROR(N11/O11),"…",N11/O11-1)&gt;200%,"...",IF(ISERROR(N11/O11),"…",N11/O11-1))</f>
        <v>9.3086401465375612E-2</v>
      </c>
      <c r="R11" s="262">
        <f>'2023'!M11</f>
        <v>143616587.01000002</v>
      </c>
      <c r="S11" s="143">
        <f t="shared" ref="S11:S57" si="4">+N11-R11</f>
        <v>32670862.860000014</v>
      </c>
      <c r="T11" s="147">
        <f t="shared" ref="T11:T66" si="5">IF(+IF(ISERROR(N11/R11),"…",N11/R11-1)&gt;200%,"...",IF(ISERROR(N11/R11),"…",N11/R11-1))</f>
        <v>0.2274866959324493</v>
      </c>
      <c r="W11" s="470"/>
      <c r="Y11" s="470"/>
    </row>
    <row r="12" spans="1:25">
      <c r="A12" s="135">
        <v>7111</v>
      </c>
      <c r="B12" s="589" t="str">
        <f>+VLOOKUP($A12,Master!$D$30:$G$226,4,FALSE)</f>
        <v>Porez na dohodak fizičkih lica</v>
      </c>
      <c r="C12" s="590"/>
      <c r="D12" s="590"/>
      <c r="E12" s="590"/>
      <c r="F12" s="590"/>
      <c r="G12" s="148">
        <f>'2024'!S12</f>
        <v>45873331.32</v>
      </c>
      <c r="H12" s="148">
        <f>SUM('2024'!G88:M88)</f>
        <v>38265131.257686608</v>
      </c>
      <c r="I12" s="149">
        <f t="shared" si="0"/>
        <v>7608200.0623133928</v>
      </c>
      <c r="J12" s="151">
        <f t="shared" si="1"/>
        <v>0.19882853690159696</v>
      </c>
      <c r="K12" s="148">
        <f>SUM('2023'!G12:M12)</f>
        <v>31462162.539999999</v>
      </c>
      <c r="L12" s="149">
        <f>+G12-K12</f>
        <v>14411168.780000001</v>
      </c>
      <c r="M12" s="153">
        <f t="shared" si="2"/>
        <v>0.45804762344858196</v>
      </c>
      <c r="N12" s="148">
        <f>'2024'!M12</f>
        <v>8103849.4699999997</v>
      </c>
      <c r="O12" s="148">
        <f>'2024'!M88</f>
        <v>7316280.3532713847</v>
      </c>
      <c r="P12" s="149">
        <f t="shared" ref="P12:P57" si="6">+N12-O12</f>
        <v>787569.11672861502</v>
      </c>
      <c r="Q12" s="151">
        <f t="shared" si="3"/>
        <v>0.10764610959399112</v>
      </c>
      <c r="R12" s="148">
        <f>'2023'!M12</f>
        <v>6015555</v>
      </c>
      <c r="S12" s="149">
        <f t="shared" si="4"/>
        <v>2088294.4699999997</v>
      </c>
      <c r="T12" s="153">
        <f t="shared" si="5"/>
        <v>0.347149094306344</v>
      </c>
      <c r="W12" s="470"/>
      <c r="Y12" s="470"/>
    </row>
    <row r="13" spans="1:25">
      <c r="A13" s="135">
        <v>7112</v>
      </c>
      <c r="B13" s="589" t="str">
        <f>+VLOOKUP($A13,Master!$D$30:$G$226,4,FALSE)</f>
        <v>Porez na dobit pravnih lica</v>
      </c>
      <c r="C13" s="590"/>
      <c r="D13" s="590"/>
      <c r="E13" s="590"/>
      <c r="F13" s="590"/>
      <c r="G13" s="148">
        <f>'2024'!S13</f>
        <v>197589670.61999997</v>
      </c>
      <c r="H13" s="148">
        <f>SUM('2024'!G89:M89)</f>
        <v>145750651.12072757</v>
      </c>
      <c r="I13" s="149">
        <f t="shared" si="0"/>
        <v>51839019.499272406</v>
      </c>
      <c r="J13" s="151">
        <f t="shared" si="1"/>
        <v>0.35566921382967487</v>
      </c>
      <c r="K13" s="148">
        <f>SUM('2023'!G13:M13)</f>
        <v>135756067.62</v>
      </c>
      <c r="L13" s="149">
        <f t="shared" ref="L13:L57" si="7">+G13-K13</f>
        <v>61833602.99999997</v>
      </c>
      <c r="M13" s="153">
        <f t="shared" si="2"/>
        <v>0.45547579628691648</v>
      </c>
      <c r="N13" s="148">
        <f>'2024'!M13</f>
        <v>6399901.1399999997</v>
      </c>
      <c r="O13" s="148">
        <f>'2024'!M89</f>
        <v>4518923.1926221987</v>
      </c>
      <c r="P13" s="149">
        <f t="shared" si="6"/>
        <v>1880977.9473778009</v>
      </c>
      <c r="Q13" s="151">
        <f t="shared" si="3"/>
        <v>0.41624472627655451</v>
      </c>
      <c r="R13" s="148">
        <f>'2023'!M13</f>
        <v>4152071.33</v>
      </c>
      <c r="S13" s="149">
        <f t="shared" si="4"/>
        <v>2247829.8099999996</v>
      </c>
      <c r="T13" s="153">
        <f t="shared" si="5"/>
        <v>0.5413755283438253</v>
      </c>
      <c r="W13" s="470"/>
      <c r="Y13" s="470"/>
    </row>
    <row r="14" spans="1:25">
      <c r="A14" s="135">
        <v>7113</v>
      </c>
      <c r="B14" s="589" t="str">
        <f>+VLOOKUP($A14,Master!$D$30:$G$226,4,FALSE)</f>
        <v>Porez na promet nepokretnosti</v>
      </c>
      <c r="C14" s="590"/>
      <c r="D14" s="590"/>
      <c r="E14" s="590"/>
      <c r="F14" s="590"/>
      <c r="G14" s="148">
        <f>'2024'!S14</f>
        <v>0</v>
      </c>
      <c r="H14" s="148">
        <f>SUM('2024'!G90:M90)</f>
        <v>0</v>
      </c>
      <c r="I14" s="149">
        <f t="shared" si="0"/>
        <v>0</v>
      </c>
      <c r="J14" s="151" t="str">
        <f t="shared" si="1"/>
        <v>...</v>
      </c>
      <c r="K14" s="148">
        <f>SUM('2023'!G14:M14)</f>
        <v>0</v>
      </c>
      <c r="L14" s="149">
        <f t="shared" si="7"/>
        <v>0</v>
      </c>
      <c r="M14" s="153" t="str">
        <f t="shared" si="2"/>
        <v>...</v>
      </c>
      <c r="N14" s="148">
        <f>'2024'!M14</f>
        <v>0</v>
      </c>
      <c r="O14" s="148">
        <f>'2024'!M90</f>
        <v>0</v>
      </c>
      <c r="P14" s="149">
        <f t="shared" si="6"/>
        <v>0</v>
      </c>
      <c r="Q14" s="151" t="str">
        <f t="shared" si="3"/>
        <v>...</v>
      </c>
      <c r="R14" s="148">
        <f>'2023'!M14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89" t="str">
        <f>+VLOOKUP($A15,Master!$D$30:$G$226,4,FALSE)</f>
        <v>Porez na dodatu vrijednost</v>
      </c>
      <c r="C15" s="590"/>
      <c r="D15" s="590"/>
      <c r="E15" s="590"/>
      <c r="F15" s="590"/>
      <c r="G15" s="148">
        <f>'2024'!S15</f>
        <v>655379973.6500001</v>
      </c>
      <c r="H15" s="148">
        <f>SUM('2024'!G91:M91)</f>
        <v>641589249.12218285</v>
      </c>
      <c r="I15" s="149">
        <f t="shared" si="0"/>
        <v>13790724.527817249</v>
      </c>
      <c r="J15" s="151">
        <f t="shared" si="1"/>
        <v>2.1494631567916089E-2</v>
      </c>
      <c r="K15" s="148">
        <f>SUM('2023'!G15:M15)</f>
        <v>568284814.22000003</v>
      </c>
      <c r="L15" s="149">
        <f t="shared" si="7"/>
        <v>87095159.430000067</v>
      </c>
      <c r="M15" s="153">
        <f t="shared" si="2"/>
        <v>0.15325969874726053</v>
      </c>
      <c r="N15" s="148">
        <f>'2024'!M15</f>
        <v>119418214.70999999</v>
      </c>
      <c r="O15" s="148">
        <f>'2024'!M91</f>
        <v>104980576.46239747</v>
      </c>
      <c r="P15" s="149">
        <f t="shared" si="6"/>
        <v>14437638.247602522</v>
      </c>
      <c r="Q15" s="151">
        <f t="shared" si="3"/>
        <v>0.13752675717849461</v>
      </c>
      <c r="R15" s="148">
        <f>'2023'!M15</f>
        <v>92697116.170000002</v>
      </c>
      <c r="S15" s="149">
        <f t="shared" si="4"/>
        <v>26721098.539999992</v>
      </c>
      <c r="T15" s="153">
        <f t="shared" si="5"/>
        <v>0.28826245782010496</v>
      </c>
      <c r="W15" s="470"/>
      <c r="Y15" s="470"/>
    </row>
    <row r="16" spans="1:25">
      <c r="A16" s="135">
        <v>7115</v>
      </c>
      <c r="B16" s="589" t="str">
        <f>+VLOOKUP($A16,Master!$D$30:$G$226,4,FALSE)</f>
        <v>Akcize</v>
      </c>
      <c r="C16" s="590"/>
      <c r="D16" s="590"/>
      <c r="E16" s="590"/>
      <c r="F16" s="590"/>
      <c r="G16" s="148">
        <f>'2024'!S16</f>
        <v>195060556.94</v>
      </c>
      <c r="H16" s="148">
        <f>SUM('2024'!G92:M92)</f>
        <v>194181445.49083138</v>
      </c>
      <c r="I16" s="149">
        <f t="shared" si="0"/>
        <v>879111.44916862249</v>
      </c>
      <c r="J16" s="151">
        <f t="shared" si="1"/>
        <v>4.5272680247410158E-3</v>
      </c>
      <c r="K16" s="148">
        <f>SUM('2023'!G16:M16)</f>
        <v>171526047.25999999</v>
      </c>
      <c r="L16" s="149">
        <f t="shared" si="7"/>
        <v>23534509.680000007</v>
      </c>
      <c r="M16" s="153">
        <f t="shared" si="2"/>
        <v>0.13720662287708585</v>
      </c>
      <c r="N16" s="148">
        <f>'2024'!M16</f>
        <v>34841981.670000002</v>
      </c>
      <c r="O16" s="148">
        <f>'2024'!M92</f>
        <v>37914208.164682284</v>
      </c>
      <c r="P16" s="149">
        <f t="shared" si="6"/>
        <v>-3072226.4946822822</v>
      </c>
      <c r="Q16" s="151">
        <f t="shared" si="3"/>
        <v>-8.1031007725069992E-2</v>
      </c>
      <c r="R16" s="148">
        <f>'2023'!M16</f>
        <v>34815701.960000001</v>
      </c>
      <c r="S16" s="149">
        <f t="shared" si="4"/>
        <v>26279.710000000894</v>
      </c>
      <c r="T16" s="153">
        <f t="shared" si="5"/>
        <v>7.5482349975852792E-4</v>
      </c>
      <c r="W16" s="470"/>
      <c r="Y16" s="470"/>
    </row>
    <row r="17" spans="1:25">
      <c r="A17" s="135">
        <v>7116</v>
      </c>
      <c r="B17" s="589" t="str">
        <f>+VLOOKUP($A17,Master!$D$30:$G$226,4,FALSE)</f>
        <v>Porez na međunarodnu trgovinu i transakcije</v>
      </c>
      <c r="C17" s="590"/>
      <c r="D17" s="590"/>
      <c r="E17" s="590"/>
      <c r="F17" s="590"/>
      <c r="G17" s="148">
        <f>'2024'!S17</f>
        <v>33360512.309999999</v>
      </c>
      <c r="H17" s="148">
        <f>SUM('2024'!G93:M93)</f>
        <v>32204207.140447412</v>
      </c>
      <c r="I17" s="149">
        <f t="shared" si="0"/>
        <v>1156305.169552587</v>
      </c>
      <c r="J17" s="151">
        <f t="shared" si="1"/>
        <v>3.5905407157200475E-2</v>
      </c>
      <c r="K17" s="148">
        <f>SUM('2023'!G17:M17)</f>
        <v>29279867.73</v>
      </c>
      <c r="L17" s="149">
        <f t="shared" si="7"/>
        <v>4080644.5799999982</v>
      </c>
      <c r="M17" s="153">
        <f t="shared" si="2"/>
        <v>0.13936690621791947</v>
      </c>
      <c r="N17" s="148">
        <f>'2024'!M17</f>
        <v>6113583.7999999998</v>
      </c>
      <c r="O17" s="148">
        <f>'2024'!M93</f>
        <v>5355802.238618318</v>
      </c>
      <c r="P17" s="149">
        <f t="shared" si="6"/>
        <v>757781.56138168182</v>
      </c>
      <c r="Q17" s="151">
        <f>IF(+IF(ISERROR(N17/O17),"…",N17/O17-1)&gt;200%,"...",IF(ISERROR(N17/O17),"…",N17/O17-1))</f>
        <v>0.14148796531687724</v>
      </c>
      <c r="R17" s="148">
        <f>'2023'!M17</f>
        <v>4795015.53</v>
      </c>
      <c r="S17" s="149">
        <f t="shared" si="4"/>
        <v>1318568.2699999996</v>
      </c>
      <c r="T17" s="153">
        <f t="shared" si="5"/>
        <v>0.27498727829980552</v>
      </c>
      <c r="W17" s="470"/>
      <c r="Y17" s="470"/>
    </row>
    <row r="18" spans="1:25">
      <c r="A18" s="135">
        <v>7118</v>
      </c>
      <c r="B18" s="589" t="str">
        <f>+VLOOKUP($A18,Master!$D$30:$G$226,4,FALSE)</f>
        <v>Ostali državni porezi</v>
      </c>
      <c r="C18" s="590"/>
      <c r="D18" s="590"/>
      <c r="E18" s="590"/>
      <c r="F18" s="590"/>
      <c r="G18" s="148">
        <f>'2024'!S18</f>
        <v>8337379.5800000001</v>
      </c>
      <c r="H18" s="148">
        <f>SUM('2024'!G94:M94)</f>
        <v>7827856.6363771083</v>
      </c>
      <c r="I18" s="149">
        <f t="shared" si="0"/>
        <v>509522.94362289179</v>
      </c>
      <c r="J18" s="151">
        <f t="shared" si="1"/>
        <v>6.509099071322666E-2</v>
      </c>
      <c r="K18" s="148">
        <f>SUM('2023'!G18:M18)</f>
        <v>7511701.7799999993</v>
      </c>
      <c r="L18" s="149">
        <f t="shared" si="7"/>
        <v>825677.80000000075</v>
      </c>
      <c r="M18" s="153">
        <f t="shared" si="2"/>
        <v>0.10991887380278831</v>
      </c>
      <c r="N18" s="148">
        <f>'2024'!M18</f>
        <v>1409919.08</v>
      </c>
      <c r="O18" s="148">
        <f>'2024'!M94</f>
        <v>1189155.1312965241</v>
      </c>
      <c r="P18" s="149">
        <f t="shared" si="6"/>
        <v>220763.94870347599</v>
      </c>
      <c r="Q18" s="151">
        <f t="shared" si="3"/>
        <v>0.18564772828485321</v>
      </c>
      <c r="R18" s="148">
        <f>'2023'!M18</f>
        <v>1141127.02</v>
      </c>
      <c r="S18" s="149">
        <f t="shared" si="4"/>
        <v>268792.06000000006</v>
      </c>
      <c r="T18" s="153">
        <f t="shared" si="5"/>
        <v>0.23554964109078758</v>
      </c>
      <c r="W18" s="470"/>
      <c r="Y18" s="470"/>
    </row>
    <row r="19" spans="1:25">
      <c r="A19" s="135">
        <v>712</v>
      </c>
      <c r="B19" s="591" t="str">
        <f>+VLOOKUP($A19,Master!$D$30:$G$226,4,FALSE)</f>
        <v>Doprinosi</v>
      </c>
      <c r="C19" s="592"/>
      <c r="D19" s="592"/>
      <c r="E19" s="592"/>
      <c r="F19" s="592"/>
      <c r="G19" s="154">
        <f>'2024'!S19</f>
        <v>320972394.60000002</v>
      </c>
      <c r="H19" s="154">
        <f>SUM('2024'!G95:M95)</f>
        <v>304746970.87113988</v>
      </c>
      <c r="I19" s="155">
        <f t="shared" si="0"/>
        <v>16225423.72886014</v>
      </c>
      <c r="J19" s="157">
        <f t="shared" si="1"/>
        <v>5.3242280579454793E-2</v>
      </c>
      <c r="K19" s="154">
        <f>SUM('2023'!G19:M19)</f>
        <v>289808713.85000002</v>
      </c>
      <c r="L19" s="155">
        <f t="shared" si="7"/>
        <v>31163680.75</v>
      </c>
      <c r="M19" s="159">
        <f t="shared" si="2"/>
        <v>0.10753189693988907</v>
      </c>
      <c r="N19" s="154">
        <f>'2024'!M19</f>
        <v>55016979.530000001</v>
      </c>
      <c r="O19" s="154">
        <f>'2024'!M95</f>
        <v>50964232.425356537</v>
      </c>
      <c r="P19" s="155">
        <f t="shared" si="6"/>
        <v>4052747.1046434641</v>
      </c>
      <c r="Q19" s="157">
        <f t="shared" si="3"/>
        <v>7.9521399848005547E-2</v>
      </c>
      <c r="R19" s="154">
        <f>'2023'!M19</f>
        <v>48400583.619999997</v>
      </c>
      <c r="S19" s="155">
        <f t="shared" si="4"/>
        <v>6616395.9100000039</v>
      </c>
      <c r="T19" s="159">
        <f t="shared" si="5"/>
        <v>0.13670074646095776</v>
      </c>
      <c r="W19" s="470"/>
      <c r="Y19" s="470"/>
    </row>
    <row r="20" spans="1:25">
      <c r="A20" s="135">
        <v>7121</v>
      </c>
      <c r="B20" s="589" t="str">
        <f>+VLOOKUP($A20,Master!$D$30:$G$226,4,FALSE)</f>
        <v>Doprinosi za penzijsko i invalidsko osiguranje</v>
      </c>
      <c r="C20" s="590"/>
      <c r="D20" s="590"/>
      <c r="E20" s="590"/>
      <c r="F20" s="590"/>
      <c r="G20" s="148">
        <f>'2024'!S20</f>
        <v>294484071.41000003</v>
      </c>
      <c r="H20" s="148">
        <f>SUM('2024'!G96:M96)</f>
        <v>281956106.43842828</v>
      </c>
      <c r="I20" s="149">
        <f t="shared" si="0"/>
        <v>12527964.971571743</v>
      </c>
      <c r="J20" s="151">
        <f t="shared" si="1"/>
        <v>4.4432323632996207E-2</v>
      </c>
      <c r="K20" s="148">
        <f>SUM('2023'!G20:M20)</f>
        <v>265198328.49000001</v>
      </c>
      <c r="L20" s="149">
        <f t="shared" si="7"/>
        <v>29285742.920000017</v>
      </c>
      <c r="M20" s="153">
        <f t="shared" si="2"/>
        <v>0.1104295908905184</v>
      </c>
      <c r="N20" s="148">
        <f>'2024'!M20</f>
        <v>50382564.299999997</v>
      </c>
      <c r="O20" s="148">
        <f>'2024'!M96</f>
        <v>47257904.543847948</v>
      </c>
      <c r="P20" s="149">
        <f t="shared" si="6"/>
        <v>3124659.7561520487</v>
      </c>
      <c r="Q20" s="151">
        <f t="shared" si="3"/>
        <v>6.6119303983376065E-2</v>
      </c>
      <c r="R20" s="148">
        <f>'2023'!M20</f>
        <v>44449178.460000001</v>
      </c>
      <c r="S20" s="149">
        <f t="shared" si="4"/>
        <v>5933385.8399999961</v>
      </c>
      <c r="T20" s="153">
        <f t="shared" si="5"/>
        <v>0.13348696298941665</v>
      </c>
      <c r="W20" s="470"/>
      <c r="Y20" s="470"/>
    </row>
    <row r="21" spans="1:25">
      <c r="A21" s="135">
        <v>7122</v>
      </c>
      <c r="B21" s="589" t="str">
        <f>+VLOOKUP($A21,Master!$D$30:$G$226,4,FALSE)</f>
        <v>Doprinosi za zdravstveno osiguranje</v>
      </c>
      <c r="C21" s="590"/>
      <c r="D21" s="590"/>
      <c r="E21" s="590"/>
      <c r="F21" s="590"/>
      <c r="G21" s="148">
        <f>'2024'!S21</f>
        <v>2826540.92</v>
      </c>
      <c r="H21" s="148">
        <f>SUM('2024'!G97:M97)</f>
        <v>1515059.6436732616</v>
      </c>
      <c r="I21" s="149">
        <f t="shared" si="0"/>
        <v>1311481.2763267383</v>
      </c>
      <c r="J21" s="151">
        <f t="shared" si="1"/>
        <v>0.86563013001062616</v>
      </c>
      <c r="K21" s="148">
        <f>SUM('2023'!G21:M21)</f>
        <v>3550563.9099999997</v>
      </c>
      <c r="L21" s="149">
        <f t="shared" si="7"/>
        <v>-724022.98999999976</v>
      </c>
      <c r="M21" s="153">
        <f t="shared" si="2"/>
        <v>-0.20391774612500913</v>
      </c>
      <c r="N21" s="148">
        <f>'2024'!M21</f>
        <v>516613.79</v>
      </c>
      <c r="O21" s="148">
        <f>'2024'!M97</f>
        <v>208441.15359945668</v>
      </c>
      <c r="P21" s="149">
        <f t="shared" si="6"/>
        <v>308172.63640054327</v>
      </c>
      <c r="Q21" s="151">
        <f t="shared" si="3"/>
        <v>1.4784634947508111</v>
      </c>
      <c r="R21" s="148">
        <f>'2023'!M21</f>
        <v>488484.82</v>
      </c>
      <c r="S21" s="149">
        <f t="shared" si="4"/>
        <v>28128.969999999972</v>
      </c>
      <c r="T21" s="153">
        <f t="shared" si="5"/>
        <v>5.7584123084930106E-2</v>
      </c>
      <c r="W21" s="470"/>
      <c r="Y21" s="470"/>
    </row>
    <row r="22" spans="1:25">
      <c r="A22" s="135">
        <v>7123</v>
      </c>
      <c r="B22" s="589" t="str">
        <f>+VLOOKUP($A22,Master!$D$30:$G$226,4,FALSE)</f>
        <v>Doprinosi za osiguranje od nezaposlenosti</v>
      </c>
      <c r="C22" s="590"/>
      <c r="D22" s="590"/>
      <c r="E22" s="590"/>
      <c r="F22" s="590"/>
      <c r="G22" s="148">
        <f>'2024'!S22</f>
        <v>13763105.100000001</v>
      </c>
      <c r="H22" s="148">
        <f>SUM('2024'!G98:M98)</f>
        <v>11938429.26462399</v>
      </c>
      <c r="I22" s="149">
        <f t="shared" si="0"/>
        <v>1824675.8353760112</v>
      </c>
      <c r="J22" s="151">
        <f t="shared" si="1"/>
        <v>0.15284052825800964</v>
      </c>
      <c r="K22" s="148">
        <f>SUM('2023'!G22:M22)</f>
        <v>12049143.84</v>
      </c>
      <c r="L22" s="149">
        <f t="shared" si="7"/>
        <v>1713961.2600000016</v>
      </c>
      <c r="M22" s="153">
        <f t="shared" si="2"/>
        <v>0.1422475557400269</v>
      </c>
      <c r="N22" s="148">
        <f>'2024'!M22</f>
        <v>2381944.41</v>
      </c>
      <c r="O22" s="148">
        <f>'2024'!M98</f>
        <v>1975020.7772685695</v>
      </c>
      <c r="P22" s="149">
        <f t="shared" si="6"/>
        <v>406923.6327314307</v>
      </c>
      <c r="Q22" s="151">
        <f t="shared" si="3"/>
        <v>0.20603511487823511</v>
      </c>
      <c r="R22" s="148">
        <f>'2023'!M22</f>
        <v>1993336.72</v>
      </c>
      <c r="S22" s="149">
        <f t="shared" si="4"/>
        <v>388607.69000000018</v>
      </c>
      <c r="T22" s="153">
        <f t="shared" si="5"/>
        <v>0.19495335941034608</v>
      </c>
      <c r="W22" s="470"/>
      <c r="Y22" s="470"/>
    </row>
    <row r="23" spans="1:25">
      <c r="A23" s="135">
        <v>7124</v>
      </c>
      <c r="B23" s="589" t="str">
        <f>+VLOOKUP($A23,Master!$D$30:$G$226,4,FALSE)</f>
        <v>Ostali doprinosi</v>
      </c>
      <c r="C23" s="590"/>
      <c r="D23" s="590"/>
      <c r="E23" s="590"/>
      <c r="F23" s="590"/>
      <c r="G23" s="148">
        <f>'2024'!S23</f>
        <v>9898677.1699999999</v>
      </c>
      <c r="H23" s="148">
        <f>SUM('2024'!G99:M99)</f>
        <v>9337375.5244144183</v>
      </c>
      <c r="I23" s="149">
        <f t="shared" si="0"/>
        <v>561301.64558558166</v>
      </c>
      <c r="J23" s="151">
        <f t="shared" si="1"/>
        <v>6.0113427388450491E-2</v>
      </c>
      <c r="K23" s="148">
        <f>SUM('2023'!G23:M23)</f>
        <v>9010677.6099999994</v>
      </c>
      <c r="L23" s="149">
        <f t="shared" si="7"/>
        <v>887999.56000000052</v>
      </c>
      <c r="M23" s="153">
        <f t="shared" si="2"/>
        <v>9.8549698306207745E-2</v>
      </c>
      <c r="N23" s="148">
        <f>'2024'!M23</f>
        <v>1735857.03</v>
      </c>
      <c r="O23" s="148">
        <f>'2024'!M99</f>
        <v>1522865.9506405692</v>
      </c>
      <c r="P23" s="149">
        <f t="shared" si="6"/>
        <v>212991.07935943082</v>
      </c>
      <c r="Q23" s="151">
        <f t="shared" si="3"/>
        <v>0.13986200116289926</v>
      </c>
      <c r="R23" s="148">
        <f>'2023'!M23</f>
        <v>1469583.62</v>
      </c>
      <c r="S23" s="149">
        <f t="shared" si="4"/>
        <v>266273.40999999992</v>
      </c>
      <c r="T23" s="153">
        <f t="shared" si="5"/>
        <v>0.18118969643932203</v>
      </c>
      <c r="W23" s="470"/>
      <c r="Y23" s="470"/>
    </row>
    <row r="24" spans="1:25">
      <c r="A24" s="135">
        <v>713</v>
      </c>
      <c r="B24" s="591" t="str">
        <f>+VLOOKUP($A24,Master!$D$30:$G$226,4,FALSE)</f>
        <v>Takse</v>
      </c>
      <c r="C24" s="592"/>
      <c r="D24" s="592"/>
      <c r="E24" s="592"/>
      <c r="F24" s="592"/>
      <c r="G24" s="160">
        <f>'2024'!S24</f>
        <v>8583388.7899999991</v>
      </c>
      <c r="H24" s="160">
        <f>SUM('2024'!G100:M100)</f>
        <v>8193789.4008358838</v>
      </c>
      <c r="I24" s="161">
        <f t="shared" si="0"/>
        <v>389599.3891641153</v>
      </c>
      <c r="J24" s="163">
        <f t="shared" si="1"/>
        <v>4.7548133117061964E-2</v>
      </c>
      <c r="K24" s="160">
        <f>SUM('2023'!G24:M24)</f>
        <v>8208984.79</v>
      </c>
      <c r="L24" s="161">
        <f t="shared" si="7"/>
        <v>374403.99999999907</v>
      </c>
      <c r="M24" s="165">
        <f t="shared" si="2"/>
        <v>4.5609050275752683E-2</v>
      </c>
      <c r="N24" s="160">
        <f>'2024'!M24</f>
        <v>1800426.57</v>
      </c>
      <c r="O24" s="160">
        <f>'2024'!M100</f>
        <v>1590359.9048749318</v>
      </c>
      <c r="P24" s="161">
        <f t="shared" si="6"/>
        <v>210066.66512506828</v>
      </c>
      <c r="Q24" s="163">
        <f t="shared" si="3"/>
        <v>0.13208750074819586</v>
      </c>
      <c r="R24" s="160">
        <f>'2023'!M24</f>
        <v>1576889.58</v>
      </c>
      <c r="S24" s="161">
        <f t="shared" si="4"/>
        <v>223536.99</v>
      </c>
      <c r="T24" s="165">
        <f t="shared" si="5"/>
        <v>0.14175817561049509</v>
      </c>
      <c r="W24" s="470"/>
      <c r="Y24" s="470"/>
    </row>
    <row r="25" spans="1:25">
      <c r="A25" s="135">
        <v>714</v>
      </c>
      <c r="B25" s="591" t="str">
        <f>+VLOOKUP($A25,Master!$D$30:$G$226,4,FALSE)</f>
        <v>Naknade</v>
      </c>
      <c r="C25" s="592"/>
      <c r="D25" s="592"/>
      <c r="E25" s="592"/>
      <c r="F25" s="592"/>
      <c r="G25" s="160">
        <f>'2024'!S25</f>
        <v>29710067.119999997</v>
      </c>
      <c r="H25" s="160">
        <f>SUM('2024'!G101:M101)</f>
        <v>28500969.755824</v>
      </c>
      <c r="I25" s="161">
        <f t="shared" si="0"/>
        <v>1209097.3641759977</v>
      </c>
      <c r="J25" s="163">
        <f t="shared" si="1"/>
        <v>4.2423025410527559E-2</v>
      </c>
      <c r="K25" s="160">
        <f>SUM('2023'!G25:M25)</f>
        <v>35397956.490000002</v>
      </c>
      <c r="L25" s="161">
        <f t="shared" si="7"/>
        <v>-5687889.3700000048</v>
      </c>
      <c r="M25" s="165">
        <f t="shared" si="2"/>
        <v>-0.16068411665534554</v>
      </c>
      <c r="N25" s="160">
        <f>'2024'!M25</f>
        <v>6739444.4199999999</v>
      </c>
      <c r="O25" s="160">
        <f>'2024'!M101</f>
        <v>4551170.0714253988</v>
      </c>
      <c r="P25" s="161">
        <f t="shared" si="6"/>
        <v>2188274.3485746011</v>
      </c>
      <c r="Q25" s="163">
        <f t="shared" si="3"/>
        <v>0.48081577138013798</v>
      </c>
      <c r="R25" s="160">
        <f>'2023'!M25</f>
        <v>4145262.4</v>
      </c>
      <c r="S25" s="161">
        <f t="shared" si="4"/>
        <v>2594182.02</v>
      </c>
      <c r="T25" s="165">
        <f t="shared" si="5"/>
        <v>0.62581852960623197</v>
      </c>
      <c r="W25" s="470"/>
      <c r="Y25" s="470"/>
    </row>
    <row r="26" spans="1:25">
      <c r="A26" s="135">
        <v>715</v>
      </c>
      <c r="B26" s="591" t="str">
        <f>+VLOOKUP($A26,Master!$D$30:$G$226,4,FALSE)</f>
        <v>Ostali prihodi</v>
      </c>
      <c r="C26" s="592"/>
      <c r="D26" s="592"/>
      <c r="E26" s="592"/>
      <c r="F26" s="592"/>
      <c r="G26" s="160">
        <f>'2024'!S26</f>
        <v>57384849.200000003</v>
      </c>
      <c r="H26" s="160">
        <f>SUM('2024'!G102:M102)</f>
        <v>52892001.066000864</v>
      </c>
      <c r="I26" s="161">
        <f t="shared" si="0"/>
        <v>4492848.1339991391</v>
      </c>
      <c r="J26" s="163">
        <f t="shared" si="1"/>
        <v>8.4943810849447132E-2</v>
      </c>
      <c r="K26" s="160">
        <f>SUM('2023'!G26:M26)</f>
        <v>120188686.75999999</v>
      </c>
      <c r="L26" s="161">
        <f t="shared" si="7"/>
        <v>-62803837.559999987</v>
      </c>
      <c r="M26" s="165">
        <f t="shared" si="2"/>
        <v>-0.52254367073175922</v>
      </c>
      <c r="N26" s="160">
        <f>'2024'!M26</f>
        <v>16955520.719999999</v>
      </c>
      <c r="O26" s="160">
        <f>'2024'!M102</f>
        <v>17098272.995156821</v>
      </c>
      <c r="P26" s="161">
        <f t="shared" si="6"/>
        <v>-142752.27515682206</v>
      </c>
      <c r="Q26" s="163">
        <f t="shared" si="3"/>
        <v>-8.3489294618969145E-3</v>
      </c>
      <c r="R26" s="160">
        <f>'2023'!M26</f>
        <v>7395159.46</v>
      </c>
      <c r="S26" s="161">
        <f t="shared" si="4"/>
        <v>9560361.2599999979</v>
      </c>
      <c r="T26" s="165">
        <f t="shared" si="5"/>
        <v>1.2927863573072971</v>
      </c>
      <c r="W26" s="470"/>
      <c r="Y26" s="470"/>
    </row>
    <row r="27" spans="1:25">
      <c r="A27" s="135">
        <v>73</v>
      </c>
      <c r="B27" s="591" t="str">
        <f>+VLOOKUP($A27,Master!$D$30:$G$226,4,FALSE)</f>
        <v>Primici od otplate kredita i sredstva prenesena iz prethodne godine</v>
      </c>
      <c r="C27" s="592"/>
      <c r="D27" s="592"/>
      <c r="E27" s="592"/>
      <c r="F27" s="592"/>
      <c r="G27" s="160">
        <f>'2024'!S27</f>
        <v>0</v>
      </c>
      <c r="H27" s="160">
        <f>SUM('2024'!G103:M103)</f>
        <v>0</v>
      </c>
      <c r="I27" s="161">
        <f t="shared" si="0"/>
        <v>0</v>
      </c>
      <c r="J27" s="163" t="str">
        <f t="shared" si="1"/>
        <v>...</v>
      </c>
      <c r="K27" s="160">
        <f>SUM('2023'!G27:M27)</f>
        <v>0</v>
      </c>
      <c r="L27" s="161">
        <f t="shared" si="7"/>
        <v>0</v>
      </c>
      <c r="M27" s="165" t="str">
        <f t="shared" si="2"/>
        <v>...</v>
      </c>
      <c r="N27" s="160">
        <f>'2024'!M27</f>
        <v>0</v>
      </c>
      <c r="O27" s="160">
        <f>'2024'!M103</f>
        <v>0</v>
      </c>
      <c r="P27" s="161">
        <f t="shared" si="6"/>
        <v>0</v>
      </c>
      <c r="Q27" s="163" t="str">
        <f t="shared" si="3"/>
        <v>...</v>
      </c>
      <c r="R27" s="160">
        <f>'2023'!M27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93" t="str">
        <f>+VLOOKUP($A28,Master!$D$30:$G$226,4,FALSE)</f>
        <v>Donacije i transferi</v>
      </c>
      <c r="C28" s="594"/>
      <c r="D28" s="594"/>
      <c r="E28" s="594"/>
      <c r="F28" s="594"/>
      <c r="G28" s="160">
        <f>'2024'!S28</f>
        <v>16886252.870000001</v>
      </c>
      <c r="H28" s="160">
        <f>SUM('2024'!G104:M104)</f>
        <v>19464837.591111094</v>
      </c>
      <c r="I28" s="161">
        <f t="shared" si="0"/>
        <v>-2578584.7211110927</v>
      </c>
      <c r="J28" s="163">
        <f t="shared" si="1"/>
        <v>-0.1324739910642071</v>
      </c>
      <c r="K28" s="160">
        <f>SUM('2023'!G28:M28)</f>
        <v>47008993.210000001</v>
      </c>
      <c r="L28" s="161">
        <f t="shared" si="7"/>
        <v>-30122740.34</v>
      </c>
      <c r="M28" s="165">
        <f t="shared" si="2"/>
        <v>-0.64078675766219417</v>
      </c>
      <c r="N28" s="160">
        <f>'2024'!M28</f>
        <v>3158841.41</v>
      </c>
      <c r="O28" s="160">
        <f>'2024'!M104</f>
        <v>4361128.1955555324</v>
      </c>
      <c r="P28" s="161">
        <f t="shared" si="6"/>
        <v>-1202286.7855555322</v>
      </c>
      <c r="Q28" s="163">
        <f t="shared" si="3"/>
        <v>-0.27568251416704381</v>
      </c>
      <c r="R28" s="160">
        <f>'2023'!M28</f>
        <v>2832115.35</v>
      </c>
      <c r="S28" s="161">
        <f t="shared" si="4"/>
        <v>326726.06000000006</v>
      </c>
      <c r="T28" s="165">
        <f t="shared" si="5"/>
        <v>0.11536467255826999</v>
      </c>
      <c r="W28" s="470"/>
      <c r="Y28" s="470"/>
    </row>
    <row r="29" spans="1:25" ht="15.75" thickBot="1">
      <c r="A29" s="135">
        <v>4</v>
      </c>
      <c r="B29" s="579" t="str">
        <f>+VLOOKUP($A29,Master!$D$30:$G$226,4,FALSE)</f>
        <v>Izdaci budžeta</v>
      </c>
      <c r="C29" s="580"/>
      <c r="D29" s="580"/>
      <c r="E29" s="580"/>
      <c r="F29" s="580"/>
      <c r="G29" s="136">
        <f>'2024'!S29</f>
        <v>1527125385.6000001</v>
      </c>
      <c r="H29" s="136">
        <f>SUM('2024'!G105:M105)</f>
        <v>1651911734.395</v>
      </c>
      <c r="I29" s="137">
        <f t="shared" si="0"/>
        <v>-124786348.79499984</v>
      </c>
      <c r="J29" s="139">
        <f t="shared" si="1"/>
        <v>-7.5540566845541446E-2</v>
      </c>
      <c r="K29" s="136">
        <f>SUM('2023'!G29:M29)</f>
        <v>1295211236.4599998</v>
      </c>
      <c r="L29" s="137">
        <f t="shared" si="7"/>
        <v>231914149.14000034</v>
      </c>
      <c r="M29" s="141">
        <f t="shared" si="2"/>
        <v>0.17905507813061861</v>
      </c>
      <c r="N29" s="136">
        <f>'2024'!M29</f>
        <v>248439960.72</v>
      </c>
      <c r="O29" s="136">
        <f>'2024'!M105</f>
        <v>264700451.39499998</v>
      </c>
      <c r="P29" s="137">
        <f t="shared" si="6"/>
        <v>-16260490.674999982</v>
      </c>
      <c r="Q29" s="139">
        <f t="shared" si="3"/>
        <v>-6.142978067965299E-2</v>
      </c>
      <c r="R29" s="136">
        <f>'2023'!M29</f>
        <v>223724427.04999998</v>
      </c>
      <c r="S29" s="137">
        <f t="shared" si="4"/>
        <v>24715533.670000017</v>
      </c>
      <c r="T29" s="141">
        <f t="shared" si="5"/>
        <v>0.11047311192566545</v>
      </c>
      <c r="W29" s="470"/>
      <c r="Y29" s="470"/>
    </row>
    <row r="30" spans="1:25">
      <c r="A30" s="135">
        <v>41</v>
      </c>
      <c r="B30" s="597" t="str">
        <f>+VLOOKUP($A30,Master!$D$30:$G$226,4,FALSE)</f>
        <v>Tekući izdaci</v>
      </c>
      <c r="C30" s="598"/>
      <c r="D30" s="598"/>
      <c r="E30" s="598"/>
      <c r="F30" s="598"/>
      <c r="G30" s="294">
        <f>'2024'!S30</f>
        <v>601096995.63</v>
      </c>
      <c r="H30" s="294">
        <f>SUM('2024'!G106:M106)</f>
        <v>657461581.70500004</v>
      </c>
      <c r="I30" s="173">
        <f t="shared" si="0"/>
        <v>-56364586.075000048</v>
      </c>
      <c r="J30" s="175">
        <f t="shared" si="1"/>
        <v>-8.573061551190464E-2</v>
      </c>
      <c r="K30" s="294">
        <f>SUM('2023'!G30:M30)</f>
        <v>563023918.66999996</v>
      </c>
      <c r="L30" s="173">
        <f t="shared" si="7"/>
        <v>38073076.960000038</v>
      </c>
      <c r="M30" s="177">
        <f t="shared" si="2"/>
        <v>6.7622485826069223E-2</v>
      </c>
      <c r="N30" s="294">
        <f>'2024'!M30</f>
        <v>87813572.210000038</v>
      </c>
      <c r="O30" s="294">
        <f>'2024'!M106</f>
        <v>93027671.495000005</v>
      </c>
      <c r="P30" s="173">
        <f t="shared" si="6"/>
        <v>-5214099.2849999666</v>
      </c>
      <c r="Q30" s="175">
        <f t="shared" si="3"/>
        <v>-5.6048906752225958E-2</v>
      </c>
      <c r="R30" s="294">
        <f>'2023'!M30</f>
        <v>89291081.400000006</v>
      </c>
      <c r="S30" s="173">
        <f t="shared" si="4"/>
        <v>-1477509.1899999678</v>
      </c>
      <c r="T30" s="177">
        <f t="shared" si="5"/>
        <v>-1.6547108253523346E-2</v>
      </c>
      <c r="W30" s="470"/>
      <c r="Y30" s="470"/>
    </row>
    <row r="31" spans="1:25">
      <c r="A31" s="135">
        <v>411</v>
      </c>
      <c r="B31" s="589" t="str">
        <f>+VLOOKUP($A31,Master!$D$30:$G$226,4,FALSE)</f>
        <v>Bruto zarade i doprinosi na teret poslodavca</v>
      </c>
      <c r="C31" s="590"/>
      <c r="D31" s="590"/>
      <c r="E31" s="590"/>
      <c r="F31" s="590"/>
      <c r="G31" s="148">
        <f>'2024'!S31</f>
        <v>391306240.36000007</v>
      </c>
      <c r="H31" s="148">
        <f>SUM('2024'!G107:M107)</f>
        <v>395554850.09500003</v>
      </c>
      <c r="I31" s="149">
        <f t="shared" si="0"/>
        <v>-4248609.7349999547</v>
      </c>
      <c r="J31" s="151">
        <f t="shared" si="1"/>
        <v>-1.0740886463608157E-2</v>
      </c>
      <c r="K31" s="148">
        <f>SUM('2023'!G31:M31)</f>
        <v>368628495.79000002</v>
      </c>
      <c r="L31" s="149">
        <f t="shared" si="7"/>
        <v>22677744.570000052</v>
      </c>
      <c r="M31" s="153">
        <f t="shared" si="2"/>
        <v>6.1519239095718437E-2</v>
      </c>
      <c r="N31" s="148">
        <f>'2024'!M31</f>
        <v>56266964.270000018</v>
      </c>
      <c r="O31" s="148">
        <f>'2024'!M107</f>
        <v>56491988.854999997</v>
      </c>
      <c r="P31" s="149">
        <f>+N31-O31</f>
        <v>-225024.58499997854</v>
      </c>
      <c r="Q31" s="151">
        <f>IF(+IF(ISERROR(N31/O31),"…",N31/O31-1)&gt;200%,"...",IF(ISERROR(N31/O31),"…",N31/O31-1))</f>
        <v>-3.9833008106257006E-3</v>
      </c>
      <c r="R31" s="148">
        <f>'2023'!M31</f>
        <v>54042257.670000002</v>
      </c>
      <c r="S31" s="149">
        <f t="shared" si="4"/>
        <v>2224706.6000000164</v>
      </c>
      <c r="T31" s="153">
        <f t="shared" si="5"/>
        <v>4.1166055896199039E-2</v>
      </c>
      <c r="W31" s="470"/>
      <c r="Y31" s="470"/>
    </row>
    <row r="32" spans="1:25">
      <c r="A32" s="135">
        <v>412</v>
      </c>
      <c r="B32" s="589" t="str">
        <f>+VLOOKUP($A32,Master!$D$30:$G$226,4,FALSE)</f>
        <v>Ostala lična primanja</v>
      </c>
      <c r="C32" s="590"/>
      <c r="D32" s="590"/>
      <c r="E32" s="590"/>
      <c r="F32" s="590"/>
      <c r="G32" s="148">
        <f>'2024'!S32</f>
        <v>10740953.319999998</v>
      </c>
      <c r="H32" s="148">
        <f>SUM('2024'!G108:M108)</f>
        <v>12241806.190000005</v>
      </c>
      <c r="I32" s="149">
        <f t="shared" si="0"/>
        <v>-1500852.8700000066</v>
      </c>
      <c r="J32" s="151">
        <f t="shared" si="1"/>
        <v>-0.1226006070269281</v>
      </c>
      <c r="K32" s="148">
        <f>SUM('2023'!G32:M32)</f>
        <v>9326031.8499999978</v>
      </c>
      <c r="L32" s="149">
        <f t="shared" si="7"/>
        <v>1414921.4700000007</v>
      </c>
      <c r="M32" s="153">
        <f t="shared" si="2"/>
        <v>0.15171741773538994</v>
      </c>
      <c r="N32" s="148">
        <f>'2024'!M32</f>
        <v>1737204.9199999995</v>
      </c>
      <c r="O32" s="148">
        <f>'2024'!M108</f>
        <v>1580765.9100000006</v>
      </c>
      <c r="P32" s="149">
        <f t="shared" si="6"/>
        <v>156439.00999999885</v>
      </c>
      <c r="Q32" s="151">
        <f t="shared" si="3"/>
        <v>9.8964058505031094E-2</v>
      </c>
      <c r="R32" s="148">
        <f>'2023'!M32</f>
        <v>1584706.25</v>
      </c>
      <c r="S32" s="149">
        <f t="shared" si="4"/>
        <v>152498.66999999946</v>
      </c>
      <c r="T32" s="153">
        <f t="shared" si="5"/>
        <v>9.6231506627805219E-2</v>
      </c>
      <c r="W32" s="470"/>
      <c r="Y32" s="470"/>
    </row>
    <row r="33" spans="1:25">
      <c r="A33" s="135">
        <v>413</v>
      </c>
      <c r="B33" s="589" t="str">
        <f>+VLOOKUP($A33,Master!$D$30:$G$226,4,FALSE)</f>
        <v>Rashodi za materijal</v>
      </c>
      <c r="C33" s="590"/>
      <c r="D33" s="590"/>
      <c r="E33" s="590"/>
      <c r="F33" s="590"/>
      <c r="G33" s="148">
        <f>'2024'!S33</f>
        <v>18155647.84</v>
      </c>
      <c r="H33" s="148">
        <f>SUM('2024'!G109:M109)</f>
        <v>25997058.359999999</v>
      </c>
      <c r="I33" s="149">
        <f t="shared" si="0"/>
        <v>-7841410.5199999996</v>
      </c>
      <c r="J33" s="151">
        <f t="shared" si="1"/>
        <v>-0.30162683836818527</v>
      </c>
      <c r="K33" s="148">
        <f>SUM('2023'!G33:M33)</f>
        <v>21761638.850000001</v>
      </c>
      <c r="L33" s="149">
        <f t="shared" si="7"/>
        <v>-3605991.0100000016</v>
      </c>
      <c r="M33" s="153">
        <f t="shared" si="2"/>
        <v>-0.16570401865666484</v>
      </c>
      <c r="N33" s="148">
        <f>'2024'!M33</f>
        <v>3351257.3600000003</v>
      </c>
      <c r="O33" s="148">
        <f>'2024'!M109</f>
        <v>3252425.830000001</v>
      </c>
      <c r="P33" s="149">
        <f t="shared" si="6"/>
        <v>98831.529999999329</v>
      </c>
      <c r="Q33" s="151">
        <f t="shared" si="3"/>
        <v>3.0387020385949759E-2</v>
      </c>
      <c r="R33" s="148">
        <f>'2023'!M33</f>
        <v>5440332.5299999993</v>
      </c>
      <c r="S33" s="149">
        <f t="shared" si="4"/>
        <v>-2089075.169999999</v>
      </c>
      <c r="T33" s="153">
        <f t="shared" si="5"/>
        <v>-0.38399769839068998</v>
      </c>
      <c r="W33" s="470"/>
      <c r="Y33" s="470"/>
    </row>
    <row r="34" spans="1:25">
      <c r="A34" s="135">
        <v>414</v>
      </c>
      <c r="B34" s="589" t="str">
        <f>+VLOOKUP($A34,Master!$D$30:$G$226,4,FALSE)</f>
        <v>Rashodi za usluge</v>
      </c>
      <c r="C34" s="590"/>
      <c r="D34" s="590"/>
      <c r="E34" s="590"/>
      <c r="F34" s="590"/>
      <c r="G34" s="148">
        <f>'2024'!S34</f>
        <v>32731974.129999999</v>
      </c>
      <c r="H34" s="148">
        <f>SUM('2024'!G110:M110)</f>
        <v>39750556.000000007</v>
      </c>
      <c r="I34" s="149">
        <f t="shared" si="0"/>
        <v>-7018581.8700000085</v>
      </c>
      <c r="J34" s="151">
        <f t="shared" si="1"/>
        <v>-0.17656562766065476</v>
      </c>
      <c r="K34" s="148">
        <f>SUM('2023'!G34:M34)</f>
        <v>34398297.990000002</v>
      </c>
      <c r="L34" s="149">
        <f t="shared" si="7"/>
        <v>-1666323.8600000031</v>
      </c>
      <c r="M34" s="153">
        <f t="shared" si="2"/>
        <v>-4.8442043861717354E-2</v>
      </c>
      <c r="N34" s="148">
        <f>'2024'!M34</f>
        <v>6412992.6799999997</v>
      </c>
      <c r="O34" s="148">
        <f>'2024'!M110</f>
        <v>6131057.3700000001</v>
      </c>
      <c r="P34" s="149">
        <f t="shared" si="6"/>
        <v>281935.30999999959</v>
      </c>
      <c r="Q34" s="151">
        <f t="shared" si="3"/>
        <v>4.5984777663236942E-2</v>
      </c>
      <c r="R34" s="148">
        <f>'2023'!M34</f>
        <v>6718533.9000000004</v>
      </c>
      <c r="S34" s="149">
        <f t="shared" si="4"/>
        <v>-305541.22000000067</v>
      </c>
      <c r="T34" s="153">
        <f t="shared" si="5"/>
        <v>-4.5477365232912015E-2</v>
      </c>
      <c r="W34" s="470"/>
      <c r="Y34" s="470"/>
    </row>
    <row r="35" spans="1:25">
      <c r="A35" s="135">
        <v>415</v>
      </c>
      <c r="B35" s="589" t="str">
        <f>+VLOOKUP($A35,Master!$D$30:$G$226,4,FALSE)</f>
        <v>Rashodi za tekuće održavanje</v>
      </c>
      <c r="C35" s="590"/>
      <c r="D35" s="590"/>
      <c r="E35" s="590"/>
      <c r="F35" s="590"/>
      <c r="G35" s="148">
        <f>'2024'!S35</f>
        <v>13938336.07</v>
      </c>
      <c r="H35" s="148">
        <f>SUM('2024'!G111:M111)</f>
        <v>18712105.420000002</v>
      </c>
      <c r="I35" s="149">
        <f t="shared" si="0"/>
        <v>-4773769.3500000015</v>
      </c>
      <c r="J35" s="151">
        <f t="shared" si="1"/>
        <v>-0.25511663401049822</v>
      </c>
      <c r="K35" s="148">
        <f>SUM('2023'!G35:M35)</f>
        <v>11409880.790000001</v>
      </c>
      <c r="L35" s="149">
        <f t="shared" si="7"/>
        <v>2528455.2799999993</v>
      </c>
      <c r="M35" s="153">
        <f t="shared" si="2"/>
        <v>0.22160225216516038</v>
      </c>
      <c r="N35" s="148">
        <f>'2024'!M35</f>
        <v>3731629.6500000004</v>
      </c>
      <c r="O35" s="148">
        <f>'2024'!M111</f>
        <v>3203540.1100000003</v>
      </c>
      <c r="P35" s="149">
        <f t="shared" si="6"/>
        <v>528089.54</v>
      </c>
      <c r="Q35" s="151">
        <f t="shared" si="3"/>
        <v>0.16484561512170348</v>
      </c>
      <c r="R35" s="148">
        <f>'2023'!M35</f>
        <v>2332626.6800000002</v>
      </c>
      <c r="S35" s="149">
        <f t="shared" si="4"/>
        <v>1399002.9700000002</v>
      </c>
      <c r="T35" s="153">
        <f t="shared" si="5"/>
        <v>0.59975433788659238</v>
      </c>
      <c r="W35" s="470"/>
      <c r="Y35" s="470"/>
    </row>
    <row r="36" spans="1:25">
      <c r="A36" s="135">
        <v>416</v>
      </c>
      <c r="B36" s="589" t="str">
        <f>+VLOOKUP($A36,Master!$D$30:$G$226,4,FALSE)</f>
        <v>Kamate</v>
      </c>
      <c r="C36" s="590"/>
      <c r="D36" s="590"/>
      <c r="E36" s="590"/>
      <c r="F36" s="590"/>
      <c r="G36" s="148">
        <f>'2024'!S36</f>
        <v>64165166.579999991</v>
      </c>
      <c r="H36" s="148">
        <f>SUM('2024'!G112:M112)</f>
        <v>72636617.370000005</v>
      </c>
      <c r="I36" s="149">
        <f t="shared" si="0"/>
        <v>-8471450.790000014</v>
      </c>
      <c r="J36" s="151">
        <f t="shared" si="1"/>
        <v>-0.11662782624977863</v>
      </c>
      <c r="K36" s="148">
        <f>SUM('2023'!G36:M36)</f>
        <v>56431690.07</v>
      </c>
      <c r="L36" s="149">
        <f t="shared" si="7"/>
        <v>7733476.5099999905</v>
      </c>
      <c r="M36" s="153">
        <f t="shared" si="2"/>
        <v>0.13704137693567375</v>
      </c>
      <c r="N36" s="148">
        <f>'2024'!M36</f>
        <v>3738849.7</v>
      </c>
      <c r="O36" s="148">
        <f>'2024'!M112</f>
        <v>7379836.4300000006</v>
      </c>
      <c r="P36" s="149">
        <f t="shared" si="6"/>
        <v>-3640986.7300000004</v>
      </c>
      <c r="Q36" s="151">
        <f t="shared" si="3"/>
        <v>-0.49336957052312336</v>
      </c>
      <c r="R36" s="148">
        <f>'2023'!M36</f>
        <v>7564242.8499999996</v>
      </c>
      <c r="S36" s="149">
        <f t="shared" si="4"/>
        <v>-3825393.1499999994</v>
      </c>
      <c r="T36" s="153">
        <f t="shared" si="5"/>
        <v>-0.50572056263370757</v>
      </c>
      <c r="W36" s="470"/>
      <c r="Y36" s="470"/>
    </row>
    <row r="37" spans="1:25">
      <c r="A37" s="135">
        <v>417</v>
      </c>
      <c r="B37" s="589" t="str">
        <f>+VLOOKUP($A37,Master!$D$30:$G$226,4,FALSE)</f>
        <v>Renta</v>
      </c>
      <c r="C37" s="590"/>
      <c r="D37" s="590"/>
      <c r="E37" s="590"/>
      <c r="F37" s="590"/>
      <c r="G37" s="148">
        <f>'2024'!S37</f>
        <v>6383040.4400000013</v>
      </c>
      <c r="H37" s="148">
        <f>SUM('2024'!G113:M113)</f>
        <v>8197418.75</v>
      </c>
      <c r="I37" s="149">
        <f t="shared" si="0"/>
        <v>-1814378.3099999987</v>
      </c>
      <c r="J37" s="151">
        <f t="shared" si="1"/>
        <v>-0.22133532095087838</v>
      </c>
      <c r="K37" s="148">
        <f>SUM('2023'!G37:M37)</f>
        <v>5695565.580000001</v>
      </c>
      <c r="L37" s="149">
        <f t="shared" si="7"/>
        <v>687474.86000000034</v>
      </c>
      <c r="M37" s="153">
        <f t="shared" si="2"/>
        <v>0.12070352809457074</v>
      </c>
      <c r="N37" s="148">
        <f>'2024'!M37</f>
        <v>1022257.5800000003</v>
      </c>
      <c r="O37" s="148">
        <f>'2024'!M113</f>
        <v>1152607.0699999998</v>
      </c>
      <c r="P37" s="149">
        <f t="shared" si="6"/>
        <v>-130349.48999999953</v>
      </c>
      <c r="Q37" s="151">
        <f t="shared" si="3"/>
        <v>-0.11309100333732947</v>
      </c>
      <c r="R37" s="148">
        <f>'2023'!M37</f>
        <v>855063.86</v>
      </c>
      <c r="S37" s="149">
        <f t="shared" si="4"/>
        <v>167193.72000000032</v>
      </c>
      <c r="T37" s="153">
        <f t="shared" si="5"/>
        <v>0.19553360610984116</v>
      </c>
      <c r="W37" s="470"/>
      <c r="Y37" s="470"/>
    </row>
    <row r="38" spans="1:25">
      <c r="A38" s="135">
        <v>418</v>
      </c>
      <c r="B38" s="589" t="str">
        <f>+VLOOKUP($A38,Master!$D$30:$G$226,4,FALSE)</f>
        <v>Subvencije</v>
      </c>
      <c r="C38" s="590"/>
      <c r="D38" s="590"/>
      <c r="E38" s="590"/>
      <c r="F38" s="590"/>
      <c r="G38" s="148">
        <f>'2024'!S38</f>
        <v>31090798.269999973</v>
      </c>
      <c r="H38" s="148">
        <f>SUM('2024'!G114:M114)</f>
        <v>34673761.079999998</v>
      </c>
      <c r="I38" s="149">
        <f t="shared" si="0"/>
        <v>-3582962.8100000247</v>
      </c>
      <c r="J38" s="151">
        <f t="shared" si="1"/>
        <v>-0.10333354958907803</v>
      </c>
      <c r="K38" s="148">
        <f>SUM('2023'!G38:M38)</f>
        <v>28585330.059999999</v>
      </c>
      <c r="L38" s="149">
        <f t="shared" si="7"/>
        <v>2505468.2099999748</v>
      </c>
      <c r="M38" s="153">
        <f t="shared" si="2"/>
        <v>8.7648741670676822E-2</v>
      </c>
      <c r="N38" s="148">
        <f>'2024'!M38</f>
        <v>6020163.6199999992</v>
      </c>
      <c r="O38" s="148">
        <f>'2024'!M114</f>
        <v>6273241.120000001</v>
      </c>
      <c r="P38" s="149">
        <f t="shared" si="6"/>
        <v>-253077.50000000186</v>
      </c>
      <c r="Q38" s="151">
        <f t="shared" si="3"/>
        <v>-4.0342383651276181E-2</v>
      </c>
      <c r="R38" s="148">
        <f>'2023'!M38</f>
        <v>5321623.71</v>
      </c>
      <c r="S38" s="149">
        <f t="shared" si="4"/>
        <v>698539.90999999922</v>
      </c>
      <c r="T38" s="153">
        <f t="shared" si="5"/>
        <v>0.1312644313214697</v>
      </c>
      <c r="W38" s="470"/>
      <c r="Y38" s="470"/>
    </row>
    <row r="39" spans="1:25">
      <c r="A39" s="135">
        <v>419</v>
      </c>
      <c r="B39" s="589" t="str">
        <f>+VLOOKUP($A39,Master!$D$30:$G$226,4,FALSE)</f>
        <v>Ostali izdaci</v>
      </c>
      <c r="C39" s="590"/>
      <c r="D39" s="590"/>
      <c r="E39" s="590"/>
      <c r="F39" s="590"/>
      <c r="G39" s="148">
        <f>'2024'!S39</f>
        <v>32584838.619999997</v>
      </c>
      <c r="H39" s="148">
        <f>SUM('2024'!G115:M115)</f>
        <v>49697408.439999998</v>
      </c>
      <c r="I39" s="149">
        <f t="shared" si="0"/>
        <v>-17112569.82</v>
      </c>
      <c r="J39" s="151">
        <f t="shared" si="1"/>
        <v>-0.34433525524092701</v>
      </c>
      <c r="K39" s="148">
        <f>SUM('2023'!G39:M39)</f>
        <v>26786987.689999998</v>
      </c>
      <c r="L39" s="149">
        <f t="shared" si="7"/>
        <v>5797850.9299999997</v>
      </c>
      <c r="M39" s="153">
        <f t="shared" si="2"/>
        <v>0.21644281160305412</v>
      </c>
      <c r="N39" s="148">
        <f>'2024'!M39</f>
        <v>5532252.4299999997</v>
      </c>
      <c r="O39" s="148">
        <f>'2024'!M115</f>
        <v>7562208.8000000007</v>
      </c>
      <c r="P39" s="149">
        <f t="shared" si="6"/>
        <v>-2029956.370000001</v>
      </c>
      <c r="Q39" s="151">
        <f t="shared" si="3"/>
        <v>-0.26843431908412807</v>
      </c>
      <c r="R39" s="148">
        <f>'2023'!M39</f>
        <v>5431693.9500000002</v>
      </c>
      <c r="S39" s="149">
        <f t="shared" si="4"/>
        <v>100558.47999999952</v>
      </c>
      <c r="T39" s="153">
        <f t="shared" si="5"/>
        <v>1.8513281662343894E-2</v>
      </c>
      <c r="W39" s="470"/>
      <c r="Y39" s="470"/>
    </row>
    <row r="40" spans="1:25">
      <c r="A40" s="135">
        <v>42</v>
      </c>
      <c r="B40" s="585" t="str">
        <f>+VLOOKUP($A40,Master!$D$30:$G$226,4,FALSE)</f>
        <v>Transferi za socijalnu zaštitu</v>
      </c>
      <c r="C40" s="586"/>
      <c r="D40" s="586"/>
      <c r="E40" s="586"/>
      <c r="F40" s="586"/>
      <c r="G40" s="178">
        <f>'2024'!S40</f>
        <v>571873246.1099999</v>
      </c>
      <c r="H40" s="178">
        <f>SUM('2024'!G116:M116)</f>
        <v>583789807.85000002</v>
      </c>
      <c r="I40" s="179">
        <f t="shared" si="0"/>
        <v>-11916561.740000129</v>
      </c>
      <c r="J40" s="181">
        <f t="shared" si="1"/>
        <v>-2.0412418270690291E-2</v>
      </c>
      <c r="K40" s="178">
        <f>SUM('2023'!G40:M40)</f>
        <v>460371640.7299999</v>
      </c>
      <c r="L40" s="179">
        <f t="shared" si="7"/>
        <v>111501605.38</v>
      </c>
      <c r="M40" s="183">
        <f t="shared" si="2"/>
        <v>0.24219911809336181</v>
      </c>
      <c r="N40" s="178">
        <f>'2024'!M40</f>
        <v>88657241.409999952</v>
      </c>
      <c r="O40" s="178">
        <f>'2024'!M116</f>
        <v>85963012.349999994</v>
      </c>
      <c r="P40" s="179">
        <f t="shared" si="6"/>
        <v>2694229.0599999577</v>
      </c>
      <c r="Q40" s="181">
        <f t="shared" si="3"/>
        <v>3.1341724613259903E-2</v>
      </c>
      <c r="R40" s="178">
        <f>'2023'!M40</f>
        <v>68456466.98999998</v>
      </c>
      <c r="S40" s="179">
        <f t="shared" si="4"/>
        <v>20200774.419999972</v>
      </c>
      <c r="T40" s="183">
        <f t="shared" si="5"/>
        <v>0.29508935106088474</v>
      </c>
      <c r="W40" s="470"/>
      <c r="Y40" s="470"/>
    </row>
    <row r="41" spans="1:25">
      <c r="A41" s="135">
        <v>421</v>
      </c>
      <c r="B41" s="589" t="str">
        <f>+VLOOKUP($A41,Master!$D$30:$G$226,4,FALSE)</f>
        <v>Prava iz oblasti socijalne zaštite</v>
      </c>
      <c r="C41" s="590"/>
      <c r="D41" s="590"/>
      <c r="E41" s="590"/>
      <c r="F41" s="590"/>
      <c r="G41" s="148">
        <f>'2024'!S41</f>
        <v>121145113.60999998</v>
      </c>
      <c r="H41" s="148">
        <f>SUM('2024'!G117:M117)</f>
        <v>124176527.67999999</v>
      </c>
      <c r="I41" s="149">
        <f t="shared" si="0"/>
        <v>-3031414.0700000077</v>
      </c>
      <c r="J41" s="151">
        <f t="shared" si="1"/>
        <v>-2.4412134294911958E-2</v>
      </c>
      <c r="K41" s="148">
        <f>SUM('2023'!G41:M41)</f>
        <v>120072324.13</v>
      </c>
      <c r="L41" s="149">
        <f t="shared" si="7"/>
        <v>1072789.4799999893</v>
      </c>
      <c r="M41" s="153">
        <f t="shared" si="2"/>
        <v>8.934527483939636E-3</v>
      </c>
      <c r="N41" s="148">
        <f>'2024'!M41</f>
        <v>16917527.130000003</v>
      </c>
      <c r="O41" s="148">
        <f>'2024'!M117</f>
        <v>17577294.469999999</v>
      </c>
      <c r="P41" s="149">
        <f t="shared" si="6"/>
        <v>-659767.33999999613</v>
      </c>
      <c r="Q41" s="151">
        <f t="shared" si="3"/>
        <v>-3.753520435844393E-2</v>
      </c>
      <c r="R41" s="148">
        <f>'2023'!M41</f>
        <v>17264195.690000001</v>
      </c>
      <c r="S41" s="149">
        <f t="shared" si="4"/>
        <v>-346668.55999999866</v>
      </c>
      <c r="T41" s="153">
        <f t="shared" si="5"/>
        <v>-2.0080203342505043E-2</v>
      </c>
      <c r="W41" s="470"/>
      <c r="Y41" s="470"/>
    </row>
    <row r="42" spans="1:25">
      <c r="A42" s="135">
        <v>422</v>
      </c>
      <c r="B42" s="589" t="str">
        <f>+VLOOKUP($A42,Master!$D$30:$G$226,4,FALSE)</f>
        <v>Sredstva za tehnološke viškove</v>
      </c>
      <c r="C42" s="590"/>
      <c r="D42" s="590"/>
      <c r="E42" s="590"/>
      <c r="F42" s="590"/>
      <c r="G42" s="148">
        <f>'2024'!S42</f>
        <v>11484233.49</v>
      </c>
      <c r="H42" s="148">
        <f>SUM('2024'!G118:M118)</f>
        <v>14645341.620000001</v>
      </c>
      <c r="I42" s="149">
        <f t="shared" si="0"/>
        <v>-3161108.1300000008</v>
      </c>
      <c r="J42" s="151">
        <f t="shared" si="1"/>
        <v>-0.21584393263200652</v>
      </c>
      <c r="K42" s="148">
        <f>SUM('2023'!G42:M42)</f>
        <v>12490656.829999998</v>
      </c>
      <c r="L42" s="149">
        <f t="shared" si="7"/>
        <v>-1006423.339999998</v>
      </c>
      <c r="M42" s="153">
        <f t="shared" si="2"/>
        <v>-8.0574092595577129E-2</v>
      </c>
      <c r="N42" s="148">
        <f>'2024'!M42</f>
        <v>1906089.0599999998</v>
      </c>
      <c r="O42" s="148">
        <f>'2024'!M118</f>
        <v>2092191.6600000001</v>
      </c>
      <c r="P42" s="149">
        <f t="shared" si="6"/>
        <v>-186102.60000000033</v>
      </c>
      <c r="Q42" s="151">
        <f t="shared" si="3"/>
        <v>-8.89510285114129E-2</v>
      </c>
      <c r="R42" s="148">
        <f>'2023'!M42</f>
        <v>1987831.61</v>
      </c>
      <c r="S42" s="149">
        <f t="shared" si="4"/>
        <v>-81742.550000000279</v>
      </c>
      <c r="T42" s="153">
        <f t="shared" si="5"/>
        <v>-4.1121466017939201E-2</v>
      </c>
      <c r="W42" s="470"/>
      <c r="Y42" s="470"/>
    </row>
    <row r="43" spans="1:25">
      <c r="A43" s="135">
        <v>423</v>
      </c>
      <c r="B43" s="589" t="str">
        <f>+VLOOKUP($A43,Master!$D$30:$G$226,4,FALSE)</f>
        <v>Prava iz oblasti penzijskog i invalidskog osiguranja</v>
      </c>
      <c r="C43" s="590"/>
      <c r="D43" s="590"/>
      <c r="E43" s="590"/>
      <c r="F43" s="590"/>
      <c r="G43" s="148">
        <f>'2024'!S43</f>
        <v>417055101.21999991</v>
      </c>
      <c r="H43" s="148">
        <f>SUM('2024'!G119:M119)</f>
        <v>423582938.55000007</v>
      </c>
      <c r="I43" s="149">
        <f t="shared" si="0"/>
        <v>-6527837.3300001621</v>
      </c>
      <c r="J43" s="151">
        <f t="shared" si="1"/>
        <v>-1.5411001567594118E-2</v>
      </c>
      <c r="K43" s="148">
        <f>SUM('2023'!G43:M43)</f>
        <v>310340061.97999996</v>
      </c>
      <c r="L43" s="149">
        <f t="shared" si="7"/>
        <v>106715039.23999995</v>
      </c>
      <c r="M43" s="153">
        <f t="shared" si="2"/>
        <v>0.34386485121884536</v>
      </c>
      <c r="N43" s="148">
        <f>'2024'!M43</f>
        <v>61550827.919999957</v>
      </c>
      <c r="O43" s="148">
        <f>'2024'!M119</f>
        <v>63238526.219999999</v>
      </c>
      <c r="P43" s="149">
        <f t="shared" si="6"/>
        <v>-1687698.3000000417</v>
      </c>
      <c r="Q43" s="151">
        <f t="shared" si="3"/>
        <v>-2.6687818342393421E-2</v>
      </c>
      <c r="R43" s="148">
        <f>'2023'!M43</f>
        <v>47073242.11999999</v>
      </c>
      <c r="S43" s="149">
        <f t="shared" si="4"/>
        <v>14477585.799999967</v>
      </c>
      <c r="T43" s="153">
        <f t="shared" si="5"/>
        <v>0.30755446508429207</v>
      </c>
      <c r="W43" s="470"/>
      <c r="Y43" s="470"/>
    </row>
    <row r="44" spans="1:25">
      <c r="A44" s="135">
        <v>424</v>
      </c>
      <c r="B44" s="589" t="str">
        <f>+VLOOKUP($A44,Master!$D$30:$G$226,4,FALSE)</f>
        <v>Ostala prava iz oblasti zdravstvene zaštite</v>
      </c>
      <c r="C44" s="590"/>
      <c r="D44" s="590"/>
      <c r="E44" s="590"/>
      <c r="F44" s="590"/>
      <c r="G44" s="148">
        <f>'2024'!S44</f>
        <v>13063032.25</v>
      </c>
      <c r="H44" s="148">
        <f>SUM('2024'!G120:M120)</f>
        <v>12285000</v>
      </c>
      <c r="I44" s="149">
        <f t="shared" si="0"/>
        <v>778032.25</v>
      </c>
      <c r="J44" s="151">
        <f t="shared" si="1"/>
        <v>6.3331888481888532E-2</v>
      </c>
      <c r="K44" s="148">
        <f>SUM('2023'!G44:M44)</f>
        <v>11147174.040000001</v>
      </c>
      <c r="L44" s="149">
        <f t="shared" si="7"/>
        <v>1915858.209999999</v>
      </c>
      <c r="M44" s="153">
        <f t="shared" si="2"/>
        <v>0.1718694086164998</v>
      </c>
      <c r="N44" s="148">
        <f>'2024'!M44</f>
        <v>6613796.0999999996</v>
      </c>
      <c r="O44" s="148">
        <f>'2024'!M120</f>
        <v>1755000</v>
      </c>
      <c r="P44" s="149">
        <f t="shared" si="6"/>
        <v>4858796.0999999996</v>
      </c>
      <c r="Q44" s="151" t="str">
        <f t="shared" si="3"/>
        <v>...</v>
      </c>
      <c r="R44" s="148">
        <f>'2023'!M44</f>
        <v>1043937.75</v>
      </c>
      <c r="S44" s="149">
        <f t="shared" si="4"/>
        <v>5569858.3499999996</v>
      </c>
      <c r="T44" s="153" t="str">
        <f t="shared" si="5"/>
        <v>...</v>
      </c>
      <c r="W44" s="470"/>
      <c r="Y44" s="470"/>
    </row>
    <row r="45" spans="1:25">
      <c r="A45" s="135">
        <v>425</v>
      </c>
      <c r="B45" s="589" t="str">
        <f>+VLOOKUP($A45,Master!$D$30:$G$226,4,FALSE)</f>
        <v>Ostala prava iz zdravstvenog osiguranja</v>
      </c>
      <c r="C45" s="590"/>
      <c r="D45" s="590"/>
      <c r="E45" s="590"/>
      <c r="F45" s="590"/>
      <c r="G45" s="148">
        <f>'2024'!S45</f>
        <v>9125765.5399999991</v>
      </c>
      <c r="H45" s="148">
        <f>SUM('2024'!G121:M121)</f>
        <v>9100000</v>
      </c>
      <c r="I45" s="149">
        <f t="shared" si="0"/>
        <v>25765.539999999106</v>
      </c>
      <c r="J45" s="151">
        <f t="shared" si="1"/>
        <v>2.8313780219779705E-3</v>
      </c>
      <c r="K45" s="148">
        <f>SUM('2023'!G45:M45)</f>
        <v>6321423.75</v>
      </c>
      <c r="L45" s="149">
        <f t="shared" si="7"/>
        <v>2804341.7899999991</v>
      </c>
      <c r="M45" s="153">
        <f t="shared" si="2"/>
        <v>0.44362502830157502</v>
      </c>
      <c r="N45" s="148">
        <f>'2024'!M45</f>
        <v>1669001.2000000009</v>
      </c>
      <c r="O45" s="148">
        <f>'2024'!M121</f>
        <v>1300000</v>
      </c>
      <c r="P45" s="149">
        <f t="shared" si="6"/>
        <v>369001.20000000088</v>
      </c>
      <c r="Q45" s="151">
        <f t="shared" si="3"/>
        <v>0.28384707692307765</v>
      </c>
      <c r="R45" s="148">
        <f>'2023'!M45</f>
        <v>1087259.82</v>
      </c>
      <c r="S45" s="149">
        <f t="shared" si="4"/>
        <v>581741.38000000082</v>
      </c>
      <c r="T45" s="153">
        <f t="shared" si="5"/>
        <v>0.53505277147094499</v>
      </c>
      <c r="W45" s="470"/>
      <c r="Y45" s="470"/>
    </row>
    <row r="46" spans="1:25">
      <c r="A46" s="135">
        <v>43</v>
      </c>
      <c r="B46" s="587" t="str">
        <f>+VLOOKUP($A46,Master!$D$30:$G$226,4,FALSE)</f>
        <v xml:space="preserve">Transferi institucijama, pojedincima, nevladinom i javnom sektoru </v>
      </c>
      <c r="C46" s="588"/>
      <c r="D46" s="588"/>
      <c r="E46" s="588"/>
      <c r="F46" s="588"/>
      <c r="G46" s="160">
        <f>'2024'!S46</f>
        <v>219465321.47000003</v>
      </c>
      <c r="H46" s="160">
        <f>SUM('2024'!G122:M122)</f>
        <v>247041542.56000003</v>
      </c>
      <c r="I46" s="161">
        <f t="shared" si="0"/>
        <v>-27576221.090000004</v>
      </c>
      <c r="J46" s="163">
        <f t="shared" si="1"/>
        <v>-0.11162584561380984</v>
      </c>
      <c r="K46" s="160">
        <f>SUM('2023'!G46:M46)</f>
        <v>187619386.28</v>
      </c>
      <c r="L46" s="161">
        <f t="shared" si="7"/>
        <v>31845935.190000027</v>
      </c>
      <c r="M46" s="165">
        <f t="shared" si="2"/>
        <v>0.16973691163488658</v>
      </c>
      <c r="N46" s="160">
        <f>'2024'!M46</f>
        <v>42247192.36999999</v>
      </c>
      <c r="O46" s="160">
        <f>'2024'!M122</f>
        <v>45619705.909999996</v>
      </c>
      <c r="P46" s="161">
        <f t="shared" si="6"/>
        <v>-3372513.5400000066</v>
      </c>
      <c r="Q46" s="163">
        <f t="shared" si="3"/>
        <v>-7.3926683057830456E-2</v>
      </c>
      <c r="R46" s="160">
        <f>'2023'!M46</f>
        <v>42596767.619999997</v>
      </c>
      <c r="S46" s="161">
        <f t="shared" si="4"/>
        <v>-349575.25000000745</v>
      </c>
      <c r="T46" s="165">
        <f t="shared" si="5"/>
        <v>-8.2066144811390185E-3</v>
      </c>
      <c r="W46" s="470"/>
      <c r="Y46" s="470"/>
    </row>
    <row r="47" spans="1:25">
      <c r="A47" s="135">
        <v>44</v>
      </c>
      <c r="B47" s="587" t="str">
        <f>+VLOOKUP($A47,Master!$D$30:$G$226,4,FALSE)</f>
        <v>Kapitalni izdaci</v>
      </c>
      <c r="C47" s="588"/>
      <c r="D47" s="588"/>
      <c r="E47" s="588"/>
      <c r="F47" s="588"/>
      <c r="G47" s="160">
        <f>'2024'!S47</f>
        <v>97460243.150000006</v>
      </c>
      <c r="H47" s="160">
        <f>SUM('2024'!G123:M123)</f>
        <v>112578671.04000001</v>
      </c>
      <c r="I47" s="161">
        <f t="shared" si="0"/>
        <v>-15118427.890000001</v>
      </c>
      <c r="J47" s="163">
        <f t="shared" si="1"/>
        <v>-0.13429211546322406</v>
      </c>
      <c r="K47" s="160">
        <f>SUM('2023'!G47:M47)</f>
        <v>61320473.450000003</v>
      </c>
      <c r="L47" s="161">
        <f t="shared" si="7"/>
        <v>36139769.700000003</v>
      </c>
      <c r="M47" s="165">
        <f t="shared" si="2"/>
        <v>0.58935894761914964</v>
      </c>
      <c r="N47" s="160">
        <f>'2024'!M47</f>
        <v>21925196.23</v>
      </c>
      <c r="O47" s="160">
        <f>'2024'!M123</f>
        <v>23529457.550000001</v>
      </c>
      <c r="P47" s="161">
        <f t="shared" si="6"/>
        <v>-1604261.3200000003</v>
      </c>
      <c r="Q47" s="163">
        <f t="shared" si="3"/>
        <v>-6.818097342834839E-2</v>
      </c>
      <c r="R47" s="160">
        <f>'2023'!M47</f>
        <v>16132994.560000004</v>
      </c>
      <c r="S47" s="161">
        <f t="shared" si="4"/>
        <v>5792201.6699999962</v>
      </c>
      <c r="T47" s="165">
        <f t="shared" si="5"/>
        <v>0.35902830367036298</v>
      </c>
      <c r="W47" s="470"/>
      <c r="Y47" s="470"/>
    </row>
    <row r="48" spans="1:25">
      <c r="A48" s="135">
        <v>451</v>
      </c>
      <c r="B48" s="557" t="str">
        <f>+VLOOKUP($A48,Master!$D$30:$G$226,4,FALSE)</f>
        <v>Pozajmice i krediti</v>
      </c>
      <c r="C48" s="558"/>
      <c r="D48" s="558"/>
      <c r="E48" s="558"/>
      <c r="F48" s="558"/>
      <c r="G48" s="148">
        <f>'2024'!S48</f>
        <v>0</v>
      </c>
      <c r="H48" s="148">
        <f>SUM('2024'!G124:M124)</f>
        <v>0</v>
      </c>
      <c r="I48" s="149">
        <f>G48-H48</f>
        <v>0</v>
      </c>
      <c r="J48" s="266" t="str">
        <f t="shared" si="1"/>
        <v>...</v>
      </c>
      <c r="K48" s="148">
        <f>SUM('2023'!G48:M48)</f>
        <v>0</v>
      </c>
      <c r="L48" s="263">
        <f t="shared" si="7"/>
        <v>0</v>
      </c>
      <c r="M48" s="475" t="str">
        <f t="shared" si="2"/>
        <v>...</v>
      </c>
      <c r="N48" s="148">
        <f>'2024'!M48</f>
        <v>0</v>
      </c>
      <c r="O48" s="148">
        <f>'2024'!M124</f>
        <v>0</v>
      </c>
      <c r="P48" s="149">
        <f t="shared" si="6"/>
        <v>0</v>
      </c>
      <c r="Q48" s="266" t="str">
        <f t="shared" si="3"/>
        <v>...</v>
      </c>
      <c r="R48" s="148">
        <f>'2023'!M48</f>
        <v>0</v>
      </c>
      <c r="S48" s="263">
        <f>+N48-R48-S58</f>
        <v>105927.36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57" t="str">
        <f>+VLOOKUP($A49,Master!$D$30:$G$226,4,FALSE)</f>
        <v>Rezerve</v>
      </c>
      <c r="C49" s="558"/>
      <c r="D49" s="558"/>
      <c r="E49" s="558"/>
      <c r="F49" s="558"/>
      <c r="G49" s="148">
        <f>'2024'!S49</f>
        <v>20448605.789999999</v>
      </c>
      <c r="H49" s="148">
        <f>SUM('2024'!G125:M125)</f>
        <v>36851056.030000001</v>
      </c>
      <c r="I49" s="149">
        <f t="shared" ref="I49:I50" si="8">G49-H49</f>
        <v>-16402450.240000002</v>
      </c>
      <c r="J49" s="267">
        <f t="shared" si="1"/>
        <v>-0.44510122658756279</v>
      </c>
      <c r="K49" s="148">
        <f>SUM('2023'!G49:M49)</f>
        <v>11057689.189999999</v>
      </c>
      <c r="L49" s="264">
        <f t="shared" si="7"/>
        <v>9390916.5999999996</v>
      </c>
      <c r="M49" s="476">
        <f t="shared" si="2"/>
        <v>0.84926574066602067</v>
      </c>
      <c r="N49" s="148">
        <f>'2024'!M49</f>
        <v>5528221.54</v>
      </c>
      <c r="O49" s="148">
        <f>'2024'!M125</f>
        <v>14834317.01</v>
      </c>
      <c r="P49" s="149">
        <f t="shared" si="6"/>
        <v>-9306095.4699999988</v>
      </c>
      <c r="Q49" s="267">
        <f t="shared" si="3"/>
        <v>-0.62733562075872074</v>
      </c>
      <c r="R49" s="148">
        <f>'2023'!M49</f>
        <v>4451250.0999999996</v>
      </c>
      <c r="S49" s="264">
        <f t="shared" si="4"/>
        <v>1076971.4400000004</v>
      </c>
      <c r="T49" s="476">
        <f t="shared" si="5"/>
        <v>0.24194808555016944</v>
      </c>
      <c r="W49" s="470"/>
      <c r="Y49" s="470"/>
    </row>
    <row r="50" spans="1:25" ht="15.75" thickBot="1">
      <c r="A50" s="135">
        <v>462</v>
      </c>
      <c r="B50" s="575" t="str">
        <f>+VLOOKUP($A50,Master!$D$30:$G$226,4,FALSE)</f>
        <v>Otplata garancija</v>
      </c>
      <c r="C50" s="576"/>
      <c r="D50" s="576"/>
      <c r="E50" s="576"/>
      <c r="F50" s="576"/>
      <c r="G50" s="148">
        <f>'2024'!S50</f>
        <v>2301161.16</v>
      </c>
      <c r="H50" s="148">
        <f>SUM('2024'!G126:M126)</f>
        <v>2</v>
      </c>
      <c r="I50" s="149">
        <f t="shared" si="8"/>
        <v>2301159.16</v>
      </c>
      <c r="J50" s="268" t="str">
        <f t="shared" si="1"/>
        <v>...</v>
      </c>
      <c r="K50" s="148">
        <f>SUM('2023'!G50:M50)</f>
        <v>2813572.16</v>
      </c>
      <c r="L50" s="264">
        <f t="shared" si="7"/>
        <v>-512411</v>
      </c>
      <c r="M50" s="477">
        <f t="shared" si="2"/>
        <v>-0.18212115092864722</v>
      </c>
      <c r="N50" s="148">
        <f>'2024'!M50</f>
        <v>0</v>
      </c>
      <c r="O50" s="148">
        <f>'2024'!M126</f>
        <v>0</v>
      </c>
      <c r="P50" s="149">
        <f t="shared" si="6"/>
        <v>0</v>
      </c>
      <c r="Q50" s="268" t="str">
        <f t="shared" si="3"/>
        <v>...</v>
      </c>
      <c r="R50" s="148">
        <f>'2023'!M50</f>
        <v>1644656.68</v>
      </c>
      <c r="S50" s="264">
        <f t="shared" si="4"/>
        <v>-1644656.68</v>
      </c>
      <c r="T50" s="477">
        <f t="shared" si="5"/>
        <v>-1</v>
      </c>
      <c r="W50" s="470"/>
      <c r="Y50" s="470"/>
    </row>
    <row r="51" spans="1:25" ht="15" customHeight="1" thickBot="1">
      <c r="A51" s="129">
        <v>4630</v>
      </c>
      <c r="B51" s="575" t="str">
        <f>+VLOOKUP($A51,Master!$D$30:$G$226,4,FALSE)</f>
        <v>Otplata obaveza iz prethodnog perioda</v>
      </c>
      <c r="C51" s="576"/>
      <c r="D51" s="576"/>
      <c r="E51" s="576"/>
      <c r="F51" s="576"/>
      <c r="G51" s="295">
        <f>'2024'!S51</f>
        <v>14479812.289999999</v>
      </c>
      <c r="H51" s="295">
        <f>SUM('2024'!G127:M127)</f>
        <v>14189073.210000003</v>
      </c>
      <c r="I51" s="265">
        <f>G51-H51</f>
        <v>290739.07999999635</v>
      </c>
      <c r="J51" s="269">
        <f t="shared" si="1"/>
        <v>2.049035026439161E-2</v>
      </c>
      <c r="K51" s="295">
        <f>SUM('2023'!G51:M51)</f>
        <v>9004555.9800000004</v>
      </c>
      <c r="L51" s="271">
        <f t="shared" si="7"/>
        <v>5475256.3099999987</v>
      </c>
      <c r="M51" s="478">
        <f t="shared" si="2"/>
        <v>0.60805400312476032</v>
      </c>
      <c r="N51" s="295">
        <f>'2024'!M51</f>
        <v>2268536.959999999</v>
      </c>
      <c r="O51" s="295">
        <f>'2024'!M127</f>
        <v>1726287.08</v>
      </c>
      <c r="P51" s="265">
        <f>N51-O51</f>
        <v>542249.87999999896</v>
      </c>
      <c r="Q51" s="269">
        <f t="shared" si="3"/>
        <v>0.31411338605395756</v>
      </c>
      <c r="R51" s="295">
        <f>'2023'!M51</f>
        <v>1151209.7</v>
      </c>
      <c r="S51" s="271">
        <f>+N51-R51</f>
        <v>1117327.2599999991</v>
      </c>
      <c r="T51" s="478">
        <f t="shared" si="5"/>
        <v>0.97056796863334216</v>
      </c>
      <c r="W51" s="470"/>
      <c r="Y51" s="470"/>
    </row>
    <row r="52" spans="1:25" ht="15.75" thickBot="1">
      <c r="A52" s="129">
        <v>1005</v>
      </c>
      <c r="B52" s="575" t="str">
        <f>+VLOOKUP($A52,Master!$D$30:$G$228,4,FALSE)</f>
        <v>Neto povećanje obaveza</v>
      </c>
      <c r="C52" s="576"/>
      <c r="D52" s="576"/>
      <c r="E52" s="576"/>
      <c r="F52" s="576"/>
      <c r="G52" s="148">
        <f>'2024'!S52</f>
        <v>0</v>
      </c>
      <c r="H52" s="148">
        <f>SUM('2024'!G128:M128)</f>
        <v>0</v>
      </c>
      <c r="I52" s="265">
        <f>G52-H52</f>
        <v>0</v>
      </c>
      <c r="J52" s="269" t="str">
        <f t="shared" si="1"/>
        <v>...</v>
      </c>
      <c r="K52" s="148">
        <f>SUM('2023'!G52:M52)</f>
        <v>0</v>
      </c>
      <c r="L52" s="271">
        <f t="shared" si="7"/>
        <v>0</v>
      </c>
      <c r="M52" s="478" t="str">
        <f t="shared" si="2"/>
        <v>...</v>
      </c>
      <c r="N52" s="148">
        <f>'2024'!M52</f>
        <v>0</v>
      </c>
      <c r="O52" s="148">
        <f>'2024'!M128</f>
        <v>0</v>
      </c>
      <c r="P52" s="265">
        <f>N52-O52</f>
        <v>0</v>
      </c>
      <c r="Q52" s="269" t="str">
        <f t="shared" si="3"/>
        <v>...</v>
      </c>
      <c r="R52" s="148">
        <f>'2023'!M52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>'2024'!S53</f>
        <v>42012991.400000095</v>
      </c>
      <c r="H53" s="136">
        <f>SUM('2024'!G129:M129)</f>
        <v>-178294624.9418354</v>
      </c>
      <c r="I53" s="299">
        <f>+G53-H53</f>
        <v>220307616.3418355</v>
      </c>
      <c r="J53" s="270">
        <f t="shared" si="1"/>
        <v>-1.2356380144028789</v>
      </c>
      <c r="K53" s="136">
        <f>SUM('2023'!G53:M53)</f>
        <v>149222759.7900002</v>
      </c>
      <c r="L53" s="272">
        <f t="shared" si="7"/>
        <v>-107209768.3900001</v>
      </c>
      <c r="M53" s="479">
        <f t="shared" si="2"/>
        <v>-0.71845453428736616</v>
      </c>
      <c r="N53" s="136">
        <f>'2024'!M53</f>
        <v>11518701.800000042</v>
      </c>
      <c r="O53" s="136">
        <f>'2024'!M129</f>
        <v>-24860342.259742588</v>
      </c>
      <c r="P53" s="299">
        <f>N53-O53</f>
        <v>36379044.05974263</v>
      </c>
      <c r="Q53" s="270">
        <f t="shared" si="3"/>
        <v>-1.4633364126548156</v>
      </c>
      <c r="R53" s="136">
        <f>'2023'!M53</f>
        <v>-15757829.629999965</v>
      </c>
      <c r="S53" s="272">
        <f t="shared" si="4"/>
        <v>27276531.430000007</v>
      </c>
      <c r="T53" s="479">
        <f t="shared" si="5"/>
        <v>-1.730982760346043</v>
      </c>
      <c r="W53" s="470"/>
      <c r="Y53" s="470"/>
    </row>
    <row r="54" spans="1:25" ht="15.7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36">
        <f>'2024'!S54</f>
        <v>106178157.98000011</v>
      </c>
      <c r="H54" s="136">
        <f>SUM('2024'!G130:M130)</f>
        <v>-105658007.5718354</v>
      </c>
      <c r="I54" s="191">
        <f t="shared" si="0"/>
        <v>211836165.55183551</v>
      </c>
      <c r="J54" s="193">
        <f t="shared" si="1"/>
        <v>-2.0049229624911398</v>
      </c>
      <c r="K54" s="136">
        <f>SUM('2023'!G54:M54)</f>
        <v>205654449.86000019</v>
      </c>
      <c r="L54" s="191">
        <f t="shared" si="7"/>
        <v>-99476291.880000085</v>
      </c>
      <c r="M54" s="195">
        <f t="shared" si="2"/>
        <v>-0.48370600270365571</v>
      </c>
      <c r="N54" s="136">
        <f>'2024'!M54</f>
        <v>15257551.500000041</v>
      </c>
      <c r="O54" s="136">
        <f>'2024'!M130</f>
        <v>-17480505.829742588</v>
      </c>
      <c r="P54" s="191">
        <f t="shared" si="6"/>
        <v>32738057.329742629</v>
      </c>
      <c r="Q54" s="193">
        <f t="shared" si="3"/>
        <v>-1.8728323796008093</v>
      </c>
      <c r="R54" s="136">
        <f>'2023'!M54</f>
        <v>-8193586.7799999658</v>
      </c>
      <c r="S54" s="191">
        <f t="shared" si="4"/>
        <v>23451138.280000009</v>
      </c>
      <c r="T54" s="195">
        <f t="shared" si="5"/>
        <v>-2.8621333867168861</v>
      </c>
      <c r="W54" s="470"/>
      <c r="Y54" s="470"/>
    </row>
    <row r="55" spans="1:25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460">
        <f>'2024'!S55</f>
        <v>342936282.00000006</v>
      </c>
      <c r="H55" s="460">
        <f>SUM('2024'!G131:M131)</f>
        <v>356943755.45000005</v>
      </c>
      <c r="I55" s="461">
        <f t="shared" si="0"/>
        <v>-14007473.449999988</v>
      </c>
      <c r="J55" s="462">
        <f t="shared" si="1"/>
        <v>-3.9242802923784792E-2</v>
      </c>
      <c r="K55" s="460">
        <f>SUM('2023'!G55:M55)</f>
        <v>191495387.16</v>
      </c>
      <c r="L55" s="461">
        <f t="shared" si="7"/>
        <v>151440894.84000006</v>
      </c>
      <c r="M55" s="480">
        <f t="shared" si="2"/>
        <v>0.79083312181022292</v>
      </c>
      <c r="N55" s="460">
        <f>'2024'!M55</f>
        <v>35337295.060000002</v>
      </c>
      <c r="O55" s="460">
        <f>'2024'!M131</f>
        <v>36154424.719999999</v>
      </c>
      <c r="P55" s="461">
        <f t="shared" si="6"/>
        <v>-817129.65999999642</v>
      </c>
      <c r="Q55" s="462">
        <f t="shared" si="3"/>
        <v>-2.2601096997900028E-2</v>
      </c>
      <c r="R55" s="460">
        <f>'2023'!M55</f>
        <v>31852596.969999999</v>
      </c>
      <c r="S55" s="461">
        <f t="shared" si="4"/>
        <v>3484698.0900000036</v>
      </c>
      <c r="T55" s="480">
        <f t="shared" si="5"/>
        <v>0.10940075288938056</v>
      </c>
      <c r="W55" s="470"/>
      <c r="Y55" s="470"/>
    </row>
    <row r="56" spans="1:25">
      <c r="A56" s="129">
        <v>4611</v>
      </c>
      <c r="B56" s="557" t="str">
        <f>+VLOOKUP($A56,Master!$D$30:$G$226,4,FALSE)</f>
        <v>Otplata hartija od vrijednosti i kredita rezidentima</v>
      </c>
      <c r="C56" s="558"/>
      <c r="D56" s="558"/>
      <c r="E56" s="558"/>
      <c r="F56" s="558"/>
      <c r="G56" s="148">
        <f>'2024'!S56</f>
        <v>164267271.25</v>
      </c>
      <c r="H56" s="148">
        <f>SUM('2024'!G132:M132)</f>
        <v>167330993.68000001</v>
      </c>
      <c r="I56" s="197">
        <f t="shared" si="0"/>
        <v>-3063722.4300000072</v>
      </c>
      <c r="J56" s="199">
        <f t="shared" si="1"/>
        <v>-1.8309354188495441E-2</v>
      </c>
      <c r="K56" s="148">
        <f>SUM('2023'!G56:M56)</f>
        <v>58853189.439999998</v>
      </c>
      <c r="L56" s="197">
        <f t="shared" si="7"/>
        <v>105414081.81</v>
      </c>
      <c r="M56" s="201">
        <f t="shared" si="2"/>
        <v>1.7911362631836321</v>
      </c>
      <c r="N56" s="148">
        <f>'2024'!M56</f>
        <v>2591103.59</v>
      </c>
      <c r="O56" s="148">
        <f>'2024'!M132</f>
        <v>2591776.0299999998</v>
      </c>
      <c r="P56" s="197">
        <f t="shared" si="6"/>
        <v>-672.43999999994412</v>
      </c>
      <c r="Q56" s="199">
        <f t="shared" si="3"/>
        <v>-2.5945143107131141E-4</v>
      </c>
      <c r="R56" s="148">
        <f>'2023'!M56</f>
        <v>2461406.0100000002</v>
      </c>
      <c r="S56" s="197">
        <f t="shared" si="4"/>
        <v>129697.57999999961</v>
      </c>
      <c r="T56" s="201">
        <f t="shared" si="5"/>
        <v>5.2692477174864694E-2</v>
      </c>
      <c r="W56" s="470"/>
      <c r="Y56" s="470"/>
    </row>
    <row r="57" spans="1:25">
      <c r="A57" s="129">
        <v>4612</v>
      </c>
      <c r="B57" s="557" t="str">
        <f>+VLOOKUP($A57,Master!$D$30:$G$226,4,FALSE)</f>
        <v>Otplata hartija od vrijednosti i kredita nerezidentima</v>
      </c>
      <c r="C57" s="558"/>
      <c r="D57" s="558"/>
      <c r="E57" s="558"/>
      <c r="F57" s="558"/>
      <c r="G57" s="148">
        <f>'2024'!S57</f>
        <v>178669010.75</v>
      </c>
      <c r="H57" s="148">
        <f>SUM('2024'!G133:M133)</f>
        <v>189612761.76999998</v>
      </c>
      <c r="I57" s="197">
        <f t="shared" si="0"/>
        <v>-10943751.019999981</v>
      </c>
      <c r="J57" s="199">
        <f t="shared" si="1"/>
        <v>-5.7716320978831281E-2</v>
      </c>
      <c r="K57" s="148">
        <f>SUM('2023'!G57:M57)</f>
        <v>132642197.71999998</v>
      </c>
      <c r="L57" s="197">
        <f t="shared" si="7"/>
        <v>46026813.030000016</v>
      </c>
      <c r="M57" s="201">
        <f t="shared" si="2"/>
        <v>0.34699977700279039</v>
      </c>
      <c r="N57" s="148">
        <f>'2024'!M57</f>
        <v>32746191.469999999</v>
      </c>
      <c r="O57" s="148">
        <f>'2024'!M133</f>
        <v>33562648.689999998</v>
      </c>
      <c r="P57" s="197">
        <f t="shared" si="6"/>
        <v>-816457.21999999881</v>
      </c>
      <c r="Q57" s="199">
        <f t="shared" si="3"/>
        <v>-2.4326364332599937E-2</v>
      </c>
      <c r="R57" s="148">
        <f>'2023'!M57</f>
        <v>29391190.959999997</v>
      </c>
      <c r="S57" s="197">
        <f t="shared" si="4"/>
        <v>3355000.5100000016</v>
      </c>
      <c r="T57" s="201">
        <f t="shared" si="5"/>
        <v>0.11414986601141797</v>
      </c>
      <c r="W57" s="470"/>
      <c r="Y57" s="470"/>
    </row>
    <row r="58" spans="1:25" ht="15.75" thickBot="1">
      <c r="A58" s="129">
        <v>4418</v>
      </c>
      <c r="B58" s="585" t="str">
        <f>+VLOOKUP($A58,Master!$D$30:$G$226,4,FALSE)</f>
        <v>Izdaci za kupovinu hartija od vrijednosti</v>
      </c>
      <c r="C58" s="586"/>
      <c r="D58" s="586"/>
      <c r="E58" s="586"/>
      <c r="F58" s="586"/>
      <c r="G58" s="313">
        <f>'2024'!S58</f>
        <v>3266458.45</v>
      </c>
      <c r="H58" s="313">
        <f>SUM('2024'!G134:M134)</f>
        <v>2200001.12</v>
      </c>
      <c r="I58" s="314">
        <f t="shared" ref="I58:I66" si="9">+G58-H58</f>
        <v>1066457.33</v>
      </c>
      <c r="J58" s="315">
        <f t="shared" si="1"/>
        <v>0.48475308503479297</v>
      </c>
      <c r="K58" s="313">
        <f>SUM('2023'!G58:M58)</f>
        <v>720866.76</v>
      </c>
      <c r="L58" s="314">
        <f t="shared" ref="L58:L66" si="10">+G58-K58</f>
        <v>2545591.6900000004</v>
      </c>
      <c r="M58" s="481" t="str">
        <f t="shared" si="2"/>
        <v>...</v>
      </c>
      <c r="N58" s="313">
        <f>'2024'!M58</f>
        <v>0</v>
      </c>
      <c r="O58" s="313">
        <f>'2024'!M134</f>
        <v>0.16</v>
      </c>
      <c r="P58" s="314">
        <f t="shared" ref="P58:P66" si="11">+N58-O58</f>
        <v>-0.16</v>
      </c>
      <c r="Q58" s="315">
        <f t="shared" si="3"/>
        <v>-1</v>
      </c>
      <c r="R58" s="313">
        <f>'2023'!M58</f>
        <v>105927.36</v>
      </c>
      <c r="S58" s="314">
        <f t="shared" ref="S58:S66" si="12">+N58-R58</f>
        <v>-105927.36</v>
      </c>
      <c r="T58" s="481">
        <f t="shared" si="5"/>
        <v>-1</v>
      </c>
      <c r="W58" s="470"/>
      <c r="Y58" s="470"/>
    </row>
    <row r="59" spans="1:25" ht="15.75" thickBot="1">
      <c r="A59" s="129">
        <v>451</v>
      </c>
      <c r="B59" s="595" t="str">
        <f>+VLOOKUP($A59,Master!$D$30:$G$226,4,FALSE)</f>
        <v>Pozajmice i krediti</v>
      </c>
      <c r="C59" s="596"/>
      <c r="D59" s="596"/>
      <c r="E59" s="596"/>
      <c r="F59" s="596"/>
      <c r="G59" s="313">
        <f>'2024'!S59</f>
        <v>4787376.97</v>
      </c>
      <c r="H59" s="313">
        <f>SUM('2024'!G135:M135)</f>
        <v>3041461.3200000003</v>
      </c>
      <c r="I59" s="314">
        <f t="shared" si="9"/>
        <v>1745915.6499999994</v>
      </c>
      <c r="J59" s="315">
        <f t="shared" si="1"/>
        <v>0.57403841979486336</v>
      </c>
      <c r="K59" s="313">
        <f>SUM('2023'!G59:M59)</f>
        <v>7418847.4399999995</v>
      </c>
      <c r="L59" s="314">
        <f t="shared" si="10"/>
        <v>-2631470.4699999997</v>
      </c>
      <c r="M59" s="481">
        <f t="shared" si="2"/>
        <v>-0.35470071210953491</v>
      </c>
      <c r="N59" s="313">
        <f>'2024'!M59</f>
        <v>0</v>
      </c>
      <c r="O59" s="313">
        <f>'2024'!M135</f>
        <v>460435.14</v>
      </c>
      <c r="P59" s="314">
        <f t="shared" si="11"/>
        <v>-460435.14</v>
      </c>
      <c r="Q59" s="315">
        <f t="shared" si="3"/>
        <v>-1</v>
      </c>
      <c r="R59" s="313">
        <f>'2023'!M59</f>
        <v>435818</v>
      </c>
      <c r="S59" s="314">
        <f t="shared" si="12"/>
        <v>-435818</v>
      </c>
      <c r="T59" s="481">
        <f t="shared" si="5"/>
        <v>-1</v>
      </c>
      <c r="W59" s="470"/>
      <c r="Y59" s="470"/>
    </row>
    <row r="60" spans="1:25" ht="15.75" thickBot="1">
      <c r="A60" s="129">
        <v>1002</v>
      </c>
      <c r="B60" s="577" t="str">
        <f>+VLOOKUP($A60,Master!$D$30:$G$226,4,FALSE)</f>
        <v>Nedostajuća sredstva</v>
      </c>
      <c r="C60" s="578"/>
      <c r="D60" s="578"/>
      <c r="E60" s="578"/>
      <c r="F60" s="578"/>
      <c r="G60" s="298">
        <f>'2024'!S60</f>
        <v>-308977126.01999998</v>
      </c>
      <c r="H60" s="298">
        <f>SUM('2024'!G136:M136)</f>
        <v>-540479842.83183539</v>
      </c>
      <c r="I60" s="300">
        <f t="shared" si="9"/>
        <v>231502716.81183541</v>
      </c>
      <c r="J60" s="301">
        <f t="shared" si="1"/>
        <v>-0.42832812339287374</v>
      </c>
      <c r="K60" s="298">
        <f>SUM('2023'!G60:M60)</f>
        <v>-50412341.569999799</v>
      </c>
      <c r="L60" s="300">
        <f>+G60-K60</f>
        <v>-258564784.45000017</v>
      </c>
      <c r="M60" s="482" t="str">
        <f t="shared" si="2"/>
        <v>...</v>
      </c>
      <c r="N60" s="298">
        <f>'2024'!M60</f>
        <v>-23818593.259999961</v>
      </c>
      <c r="O60" s="298">
        <f>'2024'!M136</f>
        <v>-61475202.279742584</v>
      </c>
      <c r="P60" s="300">
        <f t="shared" si="11"/>
        <v>37656609.019742623</v>
      </c>
      <c r="Q60" s="301">
        <f t="shared" si="3"/>
        <v>-0.61254957484135508</v>
      </c>
      <c r="R60" s="298">
        <f>'2023'!M60</f>
        <v>-48152171.959999964</v>
      </c>
      <c r="S60" s="300">
        <f t="shared" si="12"/>
        <v>24333578.700000003</v>
      </c>
      <c r="T60" s="482">
        <f t="shared" si="5"/>
        <v>-0.5053474788263741</v>
      </c>
      <c r="W60" s="470"/>
      <c r="Y60" s="470"/>
    </row>
    <row r="61" spans="1:25" ht="15.75" thickBot="1">
      <c r="A61" s="129">
        <v>1003</v>
      </c>
      <c r="B61" s="579" t="str">
        <f>+VLOOKUP($A61,Master!$D$30:$G$226,4,FALSE)</f>
        <v>Finansiranje</v>
      </c>
      <c r="C61" s="580"/>
      <c r="D61" s="580"/>
      <c r="E61" s="580"/>
      <c r="F61" s="580"/>
      <c r="G61" s="136">
        <f>'2024'!S61</f>
        <v>308977126.01999998</v>
      </c>
      <c r="H61" s="136">
        <f>SUM('2024'!G137:M137)</f>
        <v>540479842.83183539</v>
      </c>
      <c r="I61" s="299">
        <f t="shared" si="9"/>
        <v>-231502716.81183541</v>
      </c>
      <c r="J61" s="302">
        <f t="shared" si="1"/>
        <v>-0.42832812339287374</v>
      </c>
      <c r="K61" s="136">
        <f>SUM('2023'!G61:M61)</f>
        <v>50412341.569999807</v>
      </c>
      <c r="L61" s="299">
        <f t="shared" si="10"/>
        <v>258564784.45000017</v>
      </c>
      <c r="M61" s="483" t="str">
        <f t="shared" si="2"/>
        <v>...</v>
      </c>
      <c r="N61" s="136">
        <f>'2024'!M61</f>
        <v>23818593.259999961</v>
      </c>
      <c r="O61" s="136">
        <f>'2024'!M137</f>
        <v>61475202.279742584</v>
      </c>
      <c r="P61" s="300">
        <f t="shared" si="11"/>
        <v>-37656609.019742623</v>
      </c>
      <c r="Q61" s="302">
        <f t="shared" si="3"/>
        <v>-0.61254957484135508</v>
      </c>
      <c r="R61" s="136">
        <f>'2023'!M61</f>
        <v>48152171.959999964</v>
      </c>
      <c r="S61" s="299">
        <f t="shared" si="12"/>
        <v>-24333578.700000003</v>
      </c>
      <c r="T61" s="483">
        <f t="shared" si="5"/>
        <v>-0.5053474788263741</v>
      </c>
      <c r="W61" s="470"/>
      <c r="Y61" s="470"/>
    </row>
    <row r="62" spans="1:25">
      <c r="A62" s="129">
        <v>7511</v>
      </c>
      <c r="B62" s="573" t="str">
        <f>+VLOOKUP($A62,Master!$D$30:$G$226,4,FALSE)</f>
        <v>Pozajmice i krediti od domaćih izvora</v>
      </c>
      <c r="C62" s="574"/>
      <c r="D62" s="574"/>
      <c r="E62" s="574"/>
      <c r="F62" s="574"/>
      <c r="G62" s="148">
        <f>'2024'!S62</f>
        <v>0</v>
      </c>
      <c r="H62" s="148">
        <f>SUM('2024'!G138:M138)</f>
        <v>0</v>
      </c>
      <c r="I62" s="197">
        <f t="shared" si="9"/>
        <v>0</v>
      </c>
      <c r="J62" s="199" t="str">
        <f t="shared" si="1"/>
        <v>...</v>
      </c>
      <c r="K62" s="148">
        <f>SUM('2023'!G62:M62)</f>
        <v>0</v>
      </c>
      <c r="L62" s="197">
        <f t="shared" si="10"/>
        <v>0</v>
      </c>
      <c r="M62" s="201" t="str">
        <f t="shared" si="2"/>
        <v>...</v>
      </c>
      <c r="N62" s="148">
        <f>'2024'!M62</f>
        <v>0</v>
      </c>
      <c r="O62" s="148">
        <f>'2024'!M138</f>
        <v>0</v>
      </c>
      <c r="P62" s="197">
        <f t="shared" si="11"/>
        <v>0</v>
      </c>
      <c r="Q62" s="199" t="str">
        <f t="shared" si="3"/>
        <v>...</v>
      </c>
      <c r="R62" s="148">
        <f>'2023'!M62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57" t="str">
        <f>+VLOOKUP($A63,Master!$D$30:$G$226,4,FALSE)</f>
        <v>Pozajmice i krediti od inostranih izvora</v>
      </c>
      <c r="C63" s="558"/>
      <c r="D63" s="558"/>
      <c r="E63" s="558"/>
      <c r="F63" s="558"/>
      <c r="G63" s="148">
        <f>'2024'!S63</f>
        <v>704304912.54999995</v>
      </c>
      <c r="H63" s="148">
        <f>SUM('2024'!G139:M139)</f>
        <v>867000000</v>
      </c>
      <c r="I63" s="197">
        <f t="shared" si="9"/>
        <v>-162695087.45000005</v>
      </c>
      <c r="J63" s="199">
        <f t="shared" si="1"/>
        <v>-0.18765292670126876</v>
      </c>
      <c r="K63" s="148">
        <f>SUM('2023'!G63:M63)</f>
        <v>116182376.78999999</v>
      </c>
      <c r="L63" s="197">
        <f t="shared" si="10"/>
        <v>588122535.75999999</v>
      </c>
      <c r="M63" s="201" t="str">
        <f t="shared" si="2"/>
        <v>...</v>
      </c>
      <c r="N63" s="148">
        <f>'2024'!M63</f>
        <v>4706813.25</v>
      </c>
      <c r="O63" s="148">
        <f>'2024'!M139</f>
        <v>180000000</v>
      </c>
      <c r="P63" s="197">
        <f t="shared" si="11"/>
        <v>-175293186.75</v>
      </c>
      <c r="Q63" s="199">
        <f t="shared" si="3"/>
        <v>-0.97385103750000002</v>
      </c>
      <c r="R63" s="148">
        <f>'2023'!M63</f>
        <v>944562.51</v>
      </c>
      <c r="S63" s="197">
        <f t="shared" si="12"/>
        <v>3762250.74</v>
      </c>
      <c r="T63" s="201" t="str">
        <f t="shared" si="5"/>
        <v>...</v>
      </c>
      <c r="W63" s="470"/>
      <c r="Y63" s="470"/>
    </row>
    <row r="64" spans="1:25">
      <c r="A64" s="129">
        <v>72</v>
      </c>
      <c r="B64" s="557" t="str">
        <f>+VLOOKUP($A64,Master!$D$30:$G$226,4,FALSE)</f>
        <v>Primici od prodaje imovine</v>
      </c>
      <c r="C64" s="558"/>
      <c r="D64" s="558"/>
      <c r="E64" s="558"/>
      <c r="F64" s="558"/>
      <c r="G64" s="148">
        <f>'2024'!S64</f>
        <v>1437252.1400000001</v>
      </c>
      <c r="H64" s="148">
        <f>SUM('2024'!G140:M140)</f>
        <v>3500000</v>
      </c>
      <c r="I64" s="197">
        <f t="shared" si="9"/>
        <v>-2062747.8599999999</v>
      </c>
      <c r="J64" s="199">
        <f t="shared" si="1"/>
        <v>-0.58935653142857136</v>
      </c>
      <c r="K64" s="148">
        <f>SUM('2023'!G64:M64)</f>
        <v>2062023.8800000001</v>
      </c>
      <c r="L64" s="197">
        <f t="shared" si="10"/>
        <v>-624771.74</v>
      </c>
      <c r="M64" s="201">
        <f t="shared" si="2"/>
        <v>-0.30298957546505234</v>
      </c>
      <c r="N64" s="148">
        <f>'2024'!M64</f>
        <v>369935.11</v>
      </c>
      <c r="O64" s="148">
        <f>'2024'!M140</f>
        <v>500000</v>
      </c>
      <c r="P64" s="197">
        <f t="shared" si="11"/>
        <v>-130064.89000000001</v>
      </c>
      <c r="Q64" s="199">
        <f t="shared" si="3"/>
        <v>-0.26012977999999998</v>
      </c>
      <c r="R64" s="148">
        <f>'2023'!M64</f>
        <v>178782.18</v>
      </c>
      <c r="S64" s="197">
        <f t="shared" si="12"/>
        <v>191152.93</v>
      </c>
      <c r="T64" s="201">
        <f t="shared" si="5"/>
        <v>1.0691945360549915</v>
      </c>
      <c r="W64" s="470"/>
      <c r="Y64" s="470"/>
    </row>
    <row r="65" spans="1:25">
      <c r="A65" s="129">
        <v>73</v>
      </c>
      <c r="B65" s="557" t="str">
        <f>+VLOOKUP($A65,Master!$D$30:$G$226,4,FALSE)</f>
        <v>Primici od otplate kredita i sredstva prenesena iz prethodne godine</v>
      </c>
      <c r="C65" s="558"/>
      <c r="D65" s="558"/>
      <c r="E65" s="558"/>
      <c r="F65" s="558"/>
      <c r="G65" s="148">
        <f>'2024'!S65</f>
        <v>13115710.35</v>
      </c>
      <c r="H65" s="148">
        <f>SUM('2024'!G141:M141)</f>
        <v>3885183.5179814929</v>
      </c>
      <c r="I65" s="197">
        <f t="shared" si="9"/>
        <v>9230526.8320185058</v>
      </c>
      <c r="J65" s="199" t="str">
        <f t="shared" si="1"/>
        <v>...</v>
      </c>
      <c r="K65" s="148">
        <f>SUM('2023'!G65:M65)</f>
        <v>8706340.1799999997</v>
      </c>
      <c r="L65" s="197">
        <f t="shared" si="10"/>
        <v>4409370.17</v>
      </c>
      <c r="M65" s="201">
        <f t="shared" si="2"/>
        <v>0.50645507513353327</v>
      </c>
      <c r="N65" s="148">
        <f>'2024'!M65</f>
        <v>3057323.5199999996</v>
      </c>
      <c r="O65" s="148">
        <f>'2024'!M141</f>
        <v>158719.86425742233</v>
      </c>
      <c r="P65" s="197">
        <f t="shared" si="11"/>
        <v>2898603.6557425773</v>
      </c>
      <c r="Q65" s="199" t="str">
        <f t="shared" si="3"/>
        <v>...</v>
      </c>
      <c r="R65" s="148">
        <f>'2023'!M65</f>
        <v>323305.51</v>
      </c>
      <c r="S65" s="197">
        <f t="shared" si="12"/>
        <v>2734018.01</v>
      </c>
      <c r="T65" s="201" t="str">
        <f t="shared" si="5"/>
        <v>...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'2024'!S66</f>
        <v>-409880749.01999998</v>
      </c>
      <c r="H66" s="296">
        <f>SUM('2024'!G142:M142)</f>
        <v>-333905340.68614614</v>
      </c>
      <c r="I66" s="211">
        <f t="shared" si="9"/>
        <v>-75975408.333853841</v>
      </c>
      <c r="J66" s="213">
        <f t="shared" si="1"/>
        <v>0.22753576860355418</v>
      </c>
      <c r="K66" s="296">
        <f>SUM('2023'!G66:M66)</f>
        <v>-76538399.28000018</v>
      </c>
      <c r="L66" s="211">
        <f t="shared" si="10"/>
        <v>-333342349.73999977</v>
      </c>
      <c r="M66" s="215" t="str">
        <f t="shared" si="2"/>
        <v>...</v>
      </c>
      <c r="N66" s="296">
        <f>'2024'!M66</f>
        <v>15684521.379999962</v>
      </c>
      <c r="O66" s="296">
        <f>'2024'!M142</f>
        <v>-119183517.58451484</v>
      </c>
      <c r="P66" s="211">
        <f t="shared" si="11"/>
        <v>134868038.96451479</v>
      </c>
      <c r="Q66" s="213">
        <f t="shared" si="3"/>
        <v>-1.1315997521962533</v>
      </c>
      <c r="R66" s="296">
        <f>'2023'!M66</f>
        <v>46705521.759999961</v>
      </c>
      <c r="S66" s="211">
        <f t="shared" si="12"/>
        <v>-31021000.379999999</v>
      </c>
      <c r="T66" s="215">
        <f t="shared" si="5"/>
        <v>-0.66418271782518301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43cxAW0bmW6wPvFRDQgW2ttg41ATZcp28JVdL3d8P94O/vQqPoBMmhJcTKoVezpxakBuz7VBltW5VdKkPVH/pQ==" saltValue="W4HqH9cbmZvSB7lhlthPyw==" spinCount="100000" sheet="1" objects="1" scenarios="1"/>
  <mergeCells count="63"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</mergeCells>
  <pageMargins left="0.11811023622047245" right="0.11811023622047245" top="0.19685039370078741" bottom="0.19685039370078741" header="0.31496062992125984" footer="0.31496062992125984"/>
  <pageSetup paperSize="9" scale="37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zoomScale="90" zoomScaleNormal="90" workbookViewId="0">
      <pane ySplit="1" topLeftCell="A32" activePane="bottomLeft" state="frozen"/>
      <selection pane="bottomLeft" activeCell="L55" sqref="L5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59" t="str">
        <f>+Master!G252</f>
        <v>Ostvarenje budžeta</v>
      </c>
      <c r="C7" s="560"/>
      <c r="D7" s="560"/>
      <c r="E7" s="560"/>
      <c r="F7" s="560"/>
      <c r="G7" s="568">
        <v>2024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20" t="str">
        <f>+Master!G249</f>
        <v>BDP</v>
      </c>
      <c r="T7" s="221">
        <v>7034000000</v>
      </c>
    </row>
    <row r="8" spans="1:24" ht="16.5" customHeight="1">
      <c r="A8" s="129"/>
      <c r="B8" s="561"/>
      <c r="C8" s="562"/>
      <c r="D8" s="562"/>
      <c r="E8" s="562"/>
      <c r="F8" s="563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68" t="str">
        <f>+Master!G247</f>
        <v>Jan - Dec</v>
      </c>
      <c r="T8" s="572"/>
    </row>
    <row r="9" spans="1:24" ht="13.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79" t="str">
        <f>+VLOOKUP($A10,Master!$D$30:$G$226,4,FALSE)</f>
        <v>Prihodi budžeta</v>
      </c>
      <c r="C10" s="580"/>
      <c r="D10" s="580"/>
      <c r="E10" s="580"/>
      <c r="F10" s="580"/>
      <c r="G10" s="513">
        <f>G11+G19+G24+G25+G26+G27+G28</f>
        <v>150930823.46000001</v>
      </c>
      <c r="H10" s="513">
        <f t="shared" ref="H10:L10" si="2">+H11+H19+SUM(H24:H28)</f>
        <v>180248667.54000002</v>
      </c>
      <c r="I10" s="513">
        <f t="shared" si="2"/>
        <v>244547117.78000003</v>
      </c>
      <c r="J10" s="513">
        <f t="shared" si="2"/>
        <v>317572444.20999998</v>
      </c>
      <c r="K10" s="513">
        <f t="shared" si="2"/>
        <v>193296652.73999998</v>
      </c>
      <c r="L10" s="513">
        <f t="shared" si="2"/>
        <v>222584008.75</v>
      </c>
      <c r="M10" s="513">
        <f t="shared" ref="M10:R10" si="3">+M11+M19+SUM(M24:M28)</f>
        <v>259958662.52000004</v>
      </c>
      <c r="N10" s="513">
        <f t="shared" si="3"/>
        <v>0</v>
      </c>
      <c r="O10" s="513">
        <f t="shared" si="3"/>
        <v>0</v>
      </c>
      <c r="P10" s="513">
        <f t="shared" si="3"/>
        <v>0</v>
      </c>
      <c r="Q10" s="513">
        <f t="shared" si="3"/>
        <v>0</v>
      </c>
      <c r="R10" s="513">
        <f t="shared" si="3"/>
        <v>0</v>
      </c>
      <c r="S10" s="514">
        <f>+SUM(G10:R10)</f>
        <v>1569138377</v>
      </c>
      <c r="T10" s="515">
        <f>+S10/$T$7*100</f>
        <v>22.307909823713391</v>
      </c>
      <c r="V10" s="493"/>
    </row>
    <row r="11" spans="1:24">
      <c r="A11" s="135">
        <v>711</v>
      </c>
      <c r="B11" s="603" t="str">
        <f>+VLOOKUP($A11,Master!$D$30:$G$226,4,FALSE)</f>
        <v>Porezi</v>
      </c>
      <c r="C11" s="604"/>
      <c r="D11" s="604"/>
      <c r="E11" s="604"/>
      <c r="F11" s="604"/>
      <c r="G11" s="516">
        <f t="shared" ref="G11:I11" si="4">+SUM(G12:G18)</f>
        <v>122011952.05999999</v>
      </c>
      <c r="H11" s="516">
        <f t="shared" si="4"/>
        <v>121308599.17000002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176287449.87000003</v>
      </c>
      <c r="N11" s="516">
        <f t="shared" si="5"/>
        <v>0</v>
      </c>
      <c r="O11" s="516">
        <f t="shared" si="5"/>
        <v>0</v>
      </c>
      <c r="P11" s="516">
        <f t="shared" si="5"/>
        <v>0</v>
      </c>
      <c r="Q11" s="516">
        <f t="shared" si="5"/>
        <v>0</v>
      </c>
      <c r="R11" s="517">
        <f t="shared" si="5"/>
        <v>0</v>
      </c>
      <c r="S11" s="518">
        <f>+SUM(G11:R11)</f>
        <v>1135601424.4200001</v>
      </c>
      <c r="T11" s="519">
        <f t="shared" ref="T11:T66" si="6">+S11/$T$7*100</f>
        <v>16.144461535683821</v>
      </c>
      <c r="V11" s="276"/>
    </row>
    <row r="12" spans="1:24">
      <c r="A12" s="135">
        <v>7111</v>
      </c>
      <c r="B12" s="589" t="str">
        <f>+VLOOKUP($A12,Master!$D$30:$G$226,4,FALSE)</f>
        <v>Porez na dohodak fizičkih lica</v>
      </c>
      <c r="C12" s="590"/>
      <c r="D12" s="590"/>
      <c r="E12" s="590"/>
      <c r="F12" s="590"/>
      <c r="G12" s="499">
        <v>1998079.15</v>
      </c>
      <c r="H12" s="499">
        <v>6162755.9100000001</v>
      </c>
      <c r="I12" s="499">
        <v>6774640.8399999999</v>
      </c>
      <c r="J12" s="499">
        <v>9120679.6699999999</v>
      </c>
      <c r="K12" s="499">
        <v>7999182.8499999996</v>
      </c>
      <c r="L12" s="148">
        <v>5714143.4299999997</v>
      </c>
      <c r="M12" s="148">
        <v>8103849.4699999997</v>
      </c>
      <c r="N12" s="148"/>
      <c r="O12" s="148"/>
      <c r="P12" s="148"/>
      <c r="Q12" s="148"/>
      <c r="R12" s="148"/>
      <c r="S12" s="227">
        <f>+SUM(G12:R12)</f>
        <v>45873331.32</v>
      </c>
      <c r="T12" s="436">
        <f t="shared" si="6"/>
        <v>0.65216564287745238</v>
      </c>
    </row>
    <row r="13" spans="1:24">
      <c r="A13" s="135">
        <v>7112</v>
      </c>
      <c r="B13" s="589" t="str">
        <f>+VLOOKUP($A13,Master!$D$30:$G$226,4,FALSE)</f>
        <v>Porez na dobit pravnih lica</v>
      </c>
      <c r="C13" s="590"/>
      <c r="D13" s="590"/>
      <c r="E13" s="590"/>
      <c r="F13" s="590"/>
      <c r="G13" s="499">
        <v>1951464.9</v>
      </c>
      <c r="H13" s="499">
        <v>5771727.9400000004</v>
      </c>
      <c r="I13" s="499">
        <v>71210822.510000005</v>
      </c>
      <c r="J13" s="499">
        <v>100269900.84</v>
      </c>
      <c r="K13" s="499">
        <v>6533790.1500000004</v>
      </c>
      <c r="L13" s="148">
        <v>5452063.1399999997</v>
      </c>
      <c r="M13" s="148">
        <v>6399901.1399999997</v>
      </c>
      <c r="N13" s="148"/>
      <c r="O13" s="148"/>
      <c r="P13" s="148"/>
      <c r="Q13" s="148"/>
      <c r="R13" s="148"/>
      <c r="S13" s="227">
        <f t="shared" ref="S13:S65" si="7">+SUM(G13:R13)</f>
        <v>197589670.61999997</v>
      </c>
      <c r="T13" s="436">
        <f t="shared" si="6"/>
        <v>2.8090655476258171</v>
      </c>
      <c r="V13" s="276"/>
      <c r="W13" s="276"/>
      <c r="X13" s="494"/>
    </row>
    <row r="14" spans="1:24">
      <c r="A14" s="135">
        <v>7113</v>
      </c>
      <c r="B14" s="589" t="str">
        <f>+VLOOKUP($A14,Master!$D$30:$G$226,4,FALSE)</f>
        <v>Porez na promet nepokretnosti</v>
      </c>
      <c r="C14" s="590"/>
      <c r="D14" s="590"/>
      <c r="E14" s="590"/>
      <c r="F14" s="590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/>
      <c r="O14" s="148"/>
      <c r="P14" s="148"/>
      <c r="Q14" s="148"/>
      <c r="R14" s="148"/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89" t="str">
        <f>+VLOOKUP($A15,Master!$D$30:$G$226,4,FALSE)</f>
        <v>Porez na dodatu vrijednost</v>
      </c>
      <c r="C15" s="590"/>
      <c r="D15" s="590"/>
      <c r="E15" s="590"/>
      <c r="F15" s="590"/>
      <c r="G15" s="499">
        <v>91572726.909999996</v>
      </c>
      <c r="H15" s="499">
        <v>81980319.980000004</v>
      </c>
      <c r="I15" s="499">
        <v>78800496.590000004</v>
      </c>
      <c r="J15" s="499">
        <v>94537941.620000005</v>
      </c>
      <c r="K15" s="499">
        <v>88184792.75</v>
      </c>
      <c r="L15" s="148">
        <v>100885481.09</v>
      </c>
      <c r="M15" s="148">
        <v>119418214.70999999</v>
      </c>
      <c r="N15" s="148"/>
      <c r="O15" s="148"/>
      <c r="P15" s="148"/>
      <c r="Q15" s="148"/>
      <c r="R15" s="148"/>
      <c r="S15" s="227">
        <f t="shared" si="7"/>
        <v>655379973.6500001</v>
      </c>
      <c r="T15" s="436">
        <f t="shared" si="6"/>
        <v>9.3173155196189938</v>
      </c>
      <c r="V15" s="276"/>
      <c r="W15" s="276"/>
      <c r="X15" s="494"/>
    </row>
    <row r="16" spans="1:24">
      <c r="A16" s="135">
        <v>7115</v>
      </c>
      <c r="B16" s="589" t="str">
        <f>+VLOOKUP($A16,Master!$D$30:$G$226,4,FALSE)</f>
        <v>Akcize</v>
      </c>
      <c r="C16" s="590"/>
      <c r="D16" s="590"/>
      <c r="E16" s="590"/>
      <c r="F16" s="590"/>
      <c r="G16" s="499">
        <v>22556344.960000001</v>
      </c>
      <c r="H16" s="499">
        <v>22366846.550000001</v>
      </c>
      <c r="I16" s="499">
        <v>21994790.370000001</v>
      </c>
      <c r="J16" s="499">
        <v>26932676.210000001</v>
      </c>
      <c r="K16" s="499">
        <v>31723753.75</v>
      </c>
      <c r="L16" s="148">
        <v>34644163.43</v>
      </c>
      <c r="M16" s="148">
        <v>34841981.670000002</v>
      </c>
      <c r="N16" s="148"/>
      <c r="O16" s="148"/>
      <c r="P16" s="148"/>
      <c r="Q16" s="148"/>
      <c r="R16" s="148"/>
      <c r="S16" s="227">
        <f t="shared" si="7"/>
        <v>195060556.94</v>
      </c>
      <c r="T16" s="436">
        <f t="shared" si="6"/>
        <v>2.7731099934603356</v>
      </c>
      <c r="V16" s="276"/>
      <c r="W16" s="276"/>
      <c r="X16" s="494"/>
    </row>
    <row r="17" spans="1:24">
      <c r="A17" s="135">
        <v>7116</v>
      </c>
      <c r="B17" s="589" t="str">
        <f>+VLOOKUP($A17,Master!$D$30:$G$226,4,FALSE)</f>
        <v>Porez na međunarodnu trgovinu i transakcije</v>
      </c>
      <c r="C17" s="590"/>
      <c r="D17" s="590"/>
      <c r="E17" s="590"/>
      <c r="F17" s="590"/>
      <c r="G17" s="499">
        <v>2997811.11</v>
      </c>
      <c r="H17" s="499">
        <v>3849203.28</v>
      </c>
      <c r="I17" s="499">
        <v>4636318.09</v>
      </c>
      <c r="J17" s="499">
        <v>5632584.1600000001</v>
      </c>
      <c r="K17" s="499">
        <v>5010618.79</v>
      </c>
      <c r="L17" s="148">
        <v>5120393.08</v>
      </c>
      <c r="M17" s="148">
        <v>6113583.7999999998</v>
      </c>
      <c r="N17" s="148"/>
      <c r="O17" s="148"/>
      <c r="P17" s="148"/>
      <c r="Q17" s="148"/>
      <c r="R17" s="148"/>
      <c r="S17" s="227">
        <f t="shared" si="7"/>
        <v>33360512.309999999</v>
      </c>
      <c r="T17" s="436">
        <f t="shared" si="6"/>
        <v>0.47427512524879156</v>
      </c>
      <c r="V17" s="276"/>
      <c r="W17" s="276"/>
      <c r="X17" s="494"/>
    </row>
    <row r="18" spans="1:24">
      <c r="A18" s="135">
        <v>7118</v>
      </c>
      <c r="B18" s="589" t="str">
        <f>+VLOOKUP($A18,Master!$D$30:$G$226,4,FALSE)</f>
        <v>Ostali državni porezi</v>
      </c>
      <c r="C18" s="590"/>
      <c r="D18" s="590"/>
      <c r="E18" s="590"/>
      <c r="F18" s="590"/>
      <c r="G18" s="499">
        <v>935525.03</v>
      </c>
      <c r="H18" s="499">
        <v>1177745.51</v>
      </c>
      <c r="I18" s="499">
        <v>1140306.55</v>
      </c>
      <c r="J18" s="499">
        <v>1213350.5</v>
      </c>
      <c r="K18" s="499">
        <v>1273370.29</v>
      </c>
      <c r="L18" s="148">
        <v>1187162.6200000001</v>
      </c>
      <c r="M18" s="148">
        <v>1409919.08</v>
      </c>
      <c r="N18" s="148"/>
      <c r="O18" s="148"/>
      <c r="P18" s="148"/>
      <c r="Q18" s="148"/>
      <c r="R18" s="148"/>
      <c r="S18" s="227">
        <f t="shared" si="7"/>
        <v>8337379.5800000001</v>
      </c>
      <c r="T18" s="436">
        <f t="shared" si="6"/>
        <v>0.11852970685243104</v>
      </c>
      <c r="V18" s="276"/>
      <c r="W18" s="276"/>
      <c r="X18" s="494"/>
    </row>
    <row r="19" spans="1:24">
      <c r="A19" s="135">
        <v>712</v>
      </c>
      <c r="B19" s="591" t="str">
        <f>+VLOOKUP($A19,Master!$D$30:$G$226,4,FALSE)</f>
        <v>Doprinosi</v>
      </c>
      <c r="C19" s="592"/>
      <c r="D19" s="592"/>
      <c r="E19" s="592"/>
      <c r="F19" s="592"/>
      <c r="G19" s="520">
        <f t="shared" ref="G19" si="8">SUM(G20:G23)</f>
        <v>13548213.42</v>
      </c>
      <c r="H19" s="520">
        <f t="shared" ref="H19:L19" si="9">SUM(H20:H23)</f>
        <v>51209301.960000001</v>
      </c>
      <c r="I19" s="520">
        <f t="shared" si="9"/>
        <v>50079162.990000002</v>
      </c>
      <c r="J19" s="520">
        <f t="shared" si="9"/>
        <v>58312079.649999999</v>
      </c>
      <c r="K19" s="520">
        <f t="shared" si="9"/>
        <v>44239433.410000004</v>
      </c>
      <c r="L19" s="520">
        <f t="shared" si="9"/>
        <v>48567223.640000001</v>
      </c>
      <c r="M19" s="520">
        <f t="shared" ref="M19:R19" si="10">SUM(M20:M23)</f>
        <v>55016979.530000001</v>
      </c>
      <c r="N19" s="520">
        <f t="shared" si="10"/>
        <v>0</v>
      </c>
      <c r="O19" s="520">
        <f t="shared" si="10"/>
        <v>0</v>
      </c>
      <c r="P19" s="520">
        <f t="shared" si="10"/>
        <v>0</v>
      </c>
      <c r="Q19" s="520">
        <f t="shared" si="10"/>
        <v>0</v>
      </c>
      <c r="R19" s="520">
        <f t="shared" si="10"/>
        <v>0</v>
      </c>
      <c r="S19" s="521">
        <f t="shared" si="7"/>
        <v>320972394.60000002</v>
      </c>
      <c r="T19" s="522">
        <f t="shared" si="6"/>
        <v>4.563156022177993</v>
      </c>
      <c r="V19" s="276"/>
      <c r="W19" s="276"/>
      <c r="X19" s="494"/>
    </row>
    <row r="20" spans="1:24">
      <c r="A20" s="135">
        <v>7121</v>
      </c>
      <c r="B20" s="589" t="str">
        <f>+VLOOKUP($A20,Master!$D$30:$G$226,4,FALSE)</f>
        <v>Doprinosi za penzijsko i invalidsko osiguranje</v>
      </c>
      <c r="C20" s="590"/>
      <c r="D20" s="590"/>
      <c r="E20" s="590"/>
      <c r="F20" s="590"/>
      <c r="G20" s="499">
        <v>12277377.310000001</v>
      </c>
      <c r="H20" s="499">
        <v>47091163.350000001</v>
      </c>
      <c r="I20" s="499">
        <v>45892077.740000002</v>
      </c>
      <c r="J20" s="499">
        <v>53612426.219999999</v>
      </c>
      <c r="K20" s="499">
        <v>40659761.590000004</v>
      </c>
      <c r="L20" s="148">
        <v>44568700.899999999</v>
      </c>
      <c r="M20" s="148">
        <v>50382564.299999997</v>
      </c>
      <c r="N20" s="148"/>
      <c r="O20" s="148"/>
      <c r="P20" s="148"/>
      <c r="Q20" s="148"/>
      <c r="R20" s="148"/>
      <c r="S20" s="227">
        <f>+SUM(G20:R20)</f>
        <v>294484071.41000003</v>
      </c>
      <c r="T20" s="436">
        <f t="shared" si="6"/>
        <v>4.1865804863520051</v>
      </c>
      <c r="V20" s="276"/>
      <c r="W20" s="276"/>
      <c r="X20" s="494"/>
    </row>
    <row r="21" spans="1:24">
      <c r="A21" s="135">
        <v>7122</v>
      </c>
      <c r="B21" s="589" t="str">
        <f>+VLOOKUP($A21,Master!$D$30:$G$226,4,FALSE)</f>
        <v>Doprinosi za zdravstveno osiguranje</v>
      </c>
      <c r="C21" s="590"/>
      <c r="D21" s="590"/>
      <c r="E21" s="590"/>
      <c r="F21" s="590"/>
      <c r="G21" s="499">
        <v>307850.36</v>
      </c>
      <c r="H21" s="499">
        <v>382153.8</v>
      </c>
      <c r="I21" s="499">
        <v>494660.43</v>
      </c>
      <c r="J21" s="499">
        <v>456232.43</v>
      </c>
      <c r="K21" s="499">
        <v>296984.02</v>
      </c>
      <c r="L21" s="148">
        <v>372046.09</v>
      </c>
      <c r="M21" s="148">
        <v>516613.79</v>
      </c>
      <c r="N21" s="148"/>
      <c r="O21" s="148"/>
      <c r="P21" s="148"/>
      <c r="Q21" s="148"/>
      <c r="R21" s="148"/>
      <c r="S21" s="227">
        <f t="shared" si="7"/>
        <v>2826540.92</v>
      </c>
      <c r="T21" s="436">
        <f t="shared" si="6"/>
        <v>4.0183976684674438E-2</v>
      </c>
      <c r="V21" s="276"/>
      <c r="W21" s="276"/>
      <c r="X21" s="494"/>
    </row>
    <row r="22" spans="1:24">
      <c r="A22" s="135">
        <v>7123</v>
      </c>
      <c r="B22" s="589" t="str">
        <f>+VLOOKUP($A22,Master!$D$30:$G$226,4,FALSE)</f>
        <v>Doprinosi za osiguranje od nezaposlenosti</v>
      </c>
      <c r="C22" s="590"/>
      <c r="D22" s="590"/>
      <c r="E22" s="590"/>
      <c r="F22" s="590"/>
      <c r="G22" s="499">
        <v>569229.31000000006</v>
      </c>
      <c r="H22" s="499">
        <v>2203988.56</v>
      </c>
      <c r="I22" s="499">
        <v>2137007.6800000002</v>
      </c>
      <c r="J22" s="499">
        <v>2464722.08</v>
      </c>
      <c r="K22" s="499">
        <v>1910648.69</v>
      </c>
      <c r="L22" s="148">
        <v>2095564.37</v>
      </c>
      <c r="M22" s="148">
        <v>2381944.41</v>
      </c>
      <c r="N22" s="148"/>
      <c r="O22" s="148"/>
      <c r="P22" s="148"/>
      <c r="Q22" s="148"/>
      <c r="R22" s="148"/>
      <c r="S22" s="227">
        <f t="shared" si="7"/>
        <v>13763105.100000001</v>
      </c>
      <c r="T22" s="436">
        <f t="shared" si="6"/>
        <v>0.19566541228319595</v>
      </c>
    </row>
    <row r="23" spans="1:24">
      <c r="A23" s="135">
        <v>7124</v>
      </c>
      <c r="B23" s="589" t="str">
        <f>+VLOOKUP($A23,Master!$D$30:$G$226,4,FALSE)</f>
        <v>Ostali doprinosi</v>
      </c>
      <c r="C23" s="590"/>
      <c r="D23" s="590"/>
      <c r="E23" s="590"/>
      <c r="F23" s="590"/>
      <c r="G23" s="499">
        <v>393756.44</v>
      </c>
      <c r="H23" s="499">
        <v>1531996.25</v>
      </c>
      <c r="I23" s="499">
        <v>1555417.14</v>
      </c>
      <c r="J23" s="499">
        <v>1778698.92</v>
      </c>
      <c r="K23" s="499">
        <v>1372039.11</v>
      </c>
      <c r="L23" s="148">
        <v>1530912.28</v>
      </c>
      <c r="M23" s="148">
        <v>1735857.03</v>
      </c>
      <c r="N23" s="148"/>
      <c r="O23" s="148"/>
      <c r="P23" s="148"/>
      <c r="Q23" s="148"/>
      <c r="R23" s="148"/>
      <c r="S23" s="227">
        <f t="shared" si="7"/>
        <v>9898677.1699999999</v>
      </c>
      <c r="T23" s="436">
        <f t="shared" si="6"/>
        <v>0.14072614685811771</v>
      </c>
      <c r="V23" s="495"/>
      <c r="W23" s="495"/>
      <c r="X23" s="494"/>
    </row>
    <row r="24" spans="1:24">
      <c r="A24" s="135">
        <v>713</v>
      </c>
      <c r="B24" s="591" t="str">
        <f>+VLOOKUP($A24,Master!$D$30:$G$226,4,FALSE)</f>
        <v>Takse</v>
      </c>
      <c r="C24" s="592"/>
      <c r="D24" s="592"/>
      <c r="E24" s="592"/>
      <c r="F24" s="592"/>
      <c r="G24" s="160">
        <v>859681.09</v>
      </c>
      <c r="H24" s="160">
        <v>998586.78</v>
      </c>
      <c r="I24" s="160">
        <v>986568.83000000007</v>
      </c>
      <c r="J24" s="160">
        <v>1424375.7499999998</v>
      </c>
      <c r="K24" s="160">
        <v>1250720.22</v>
      </c>
      <c r="L24" s="523">
        <v>1263029.55</v>
      </c>
      <c r="M24" s="523">
        <v>1800426.57</v>
      </c>
      <c r="N24" s="523"/>
      <c r="O24" s="523"/>
      <c r="P24" s="523"/>
      <c r="Q24" s="523"/>
      <c r="R24" s="523"/>
      <c r="S24" s="521">
        <f t="shared" si="7"/>
        <v>8583388.7899999991</v>
      </c>
      <c r="T24" s="522">
        <f t="shared" si="6"/>
        <v>0.12202713662212111</v>
      </c>
    </row>
    <row r="25" spans="1:24">
      <c r="A25" s="135">
        <v>714</v>
      </c>
      <c r="B25" s="591" t="str">
        <f>+VLOOKUP($A25,Master!$D$30:$G$226,4,FALSE)</f>
        <v>Naknade</v>
      </c>
      <c r="C25" s="592"/>
      <c r="D25" s="592"/>
      <c r="E25" s="592"/>
      <c r="F25" s="592"/>
      <c r="G25" s="160">
        <v>2491580.6799999997</v>
      </c>
      <c r="H25" s="160">
        <v>4111753.23</v>
      </c>
      <c r="I25" s="160">
        <v>3497306.59</v>
      </c>
      <c r="J25" s="160">
        <v>5307671.18</v>
      </c>
      <c r="K25" s="160">
        <v>3457943.4</v>
      </c>
      <c r="L25" s="523">
        <v>4104367.62</v>
      </c>
      <c r="M25" s="523">
        <v>6739444.4199999999</v>
      </c>
      <c r="N25" s="523"/>
      <c r="O25" s="523"/>
      <c r="P25" s="523"/>
      <c r="Q25" s="523"/>
      <c r="R25" s="523"/>
      <c r="S25" s="521">
        <f t="shared" si="7"/>
        <v>29710067.119999997</v>
      </c>
      <c r="T25" s="522">
        <f t="shared" si="6"/>
        <v>0.42237798009667327</v>
      </c>
    </row>
    <row r="26" spans="1:24">
      <c r="A26" s="135">
        <v>715</v>
      </c>
      <c r="B26" s="591" t="str">
        <f>+VLOOKUP($A26,Master!$D$30:$G$226,4,FALSE)</f>
        <v>Ostali prihodi</v>
      </c>
      <c r="C26" s="592"/>
      <c r="D26" s="592"/>
      <c r="E26" s="592"/>
      <c r="F26" s="592"/>
      <c r="G26" s="160">
        <v>7787071.8500000006</v>
      </c>
      <c r="H26" s="160">
        <v>2506490.67</v>
      </c>
      <c r="I26" s="160">
        <v>2145824.81</v>
      </c>
      <c r="J26" s="160">
        <v>12834932.449999999</v>
      </c>
      <c r="K26" s="160">
        <v>2024117.45</v>
      </c>
      <c r="L26" s="523">
        <v>13130891.25</v>
      </c>
      <c r="M26" s="523">
        <v>16955520.719999999</v>
      </c>
      <c r="N26" s="523"/>
      <c r="O26" s="523"/>
      <c r="P26" s="523"/>
      <c r="Q26" s="523"/>
      <c r="R26" s="523"/>
      <c r="S26" s="521">
        <f t="shared" si="7"/>
        <v>57384849.200000003</v>
      </c>
      <c r="T26" s="522">
        <f t="shared" si="6"/>
        <v>0.81582100085299969</v>
      </c>
    </row>
    <row r="27" spans="1:24">
      <c r="A27" s="135">
        <v>73</v>
      </c>
      <c r="B27" s="591" t="str">
        <f>+VLOOKUP($A27,Master!$D$30:$G$226,4,FALSE)</f>
        <v>Primici od otplate kredita i sredstva prenesena iz prethodne godine</v>
      </c>
      <c r="C27" s="592"/>
      <c r="D27" s="592"/>
      <c r="E27" s="592"/>
      <c r="F27" s="592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/>
      <c r="O27" s="523"/>
      <c r="P27" s="523"/>
      <c r="Q27" s="523"/>
      <c r="R27" s="523"/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91" t="str">
        <f>+VLOOKUP($A28,Master!$D$30:$G$226,4,FALSE)</f>
        <v>Donacije i transferi</v>
      </c>
      <c r="C28" s="592"/>
      <c r="D28" s="592"/>
      <c r="E28" s="592"/>
      <c r="F28" s="592"/>
      <c r="G28" s="160">
        <v>4232324.3600000003</v>
      </c>
      <c r="H28" s="160">
        <v>113935.73</v>
      </c>
      <c r="I28" s="160">
        <v>3280879.61</v>
      </c>
      <c r="J28" s="160">
        <v>1986252.18</v>
      </c>
      <c r="K28" s="160">
        <v>1598929.68</v>
      </c>
      <c r="L28" s="523">
        <v>2515089.9</v>
      </c>
      <c r="M28" s="523">
        <v>3158841.41</v>
      </c>
      <c r="N28" s="523"/>
      <c r="O28" s="523"/>
      <c r="P28" s="523"/>
      <c r="Q28" s="523"/>
      <c r="R28" s="523"/>
      <c r="S28" s="521">
        <f t="shared" si="7"/>
        <v>16886252.870000001</v>
      </c>
      <c r="T28" s="524">
        <f t="shared" si="6"/>
        <v>0.24006614827978393</v>
      </c>
    </row>
    <row r="29" spans="1:24" ht="13.5" thickBot="1">
      <c r="A29" s="135">
        <v>4</v>
      </c>
      <c r="B29" s="579" t="str">
        <f>+VLOOKUP($A29,Master!$D$30:$G$226,4,FALSE)</f>
        <v>Izdaci budžeta</v>
      </c>
      <c r="C29" s="580"/>
      <c r="D29" s="580"/>
      <c r="E29" s="580"/>
      <c r="F29" s="580"/>
      <c r="G29" s="136">
        <f>+G30+G40+G46+SUM(G47:G51)</f>
        <v>137945910.84</v>
      </c>
      <c r="H29" s="136">
        <f t="shared" ref="H29:L29" si="11">+H30+H40+H46+SUM(H47:H51)</f>
        <v>214414363.52999997</v>
      </c>
      <c r="I29" s="136">
        <f t="shared" si="11"/>
        <v>231116952.97</v>
      </c>
      <c r="J29" s="136">
        <f t="shared" si="11"/>
        <v>258418562.37999997</v>
      </c>
      <c r="K29" s="136">
        <f t="shared" si="11"/>
        <v>214725921.41000003</v>
      </c>
      <c r="L29" s="136">
        <f t="shared" si="11"/>
        <v>222063713.75</v>
      </c>
      <c r="M29" s="136">
        <f t="shared" ref="M29:R29" si="12">+M30+M40+M46+SUM(M47:M51)</f>
        <v>248439960.72</v>
      </c>
      <c r="N29" s="136">
        <f t="shared" si="12"/>
        <v>0</v>
      </c>
      <c r="O29" s="136">
        <f t="shared" si="12"/>
        <v>0</v>
      </c>
      <c r="P29" s="136">
        <f t="shared" si="12"/>
        <v>0</v>
      </c>
      <c r="Q29" s="136">
        <f t="shared" si="12"/>
        <v>0</v>
      </c>
      <c r="R29" s="136">
        <f t="shared" si="12"/>
        <v>0</v>
      </c>
      <c r="S29" s="525">
        <f t="shared" si="7"/>
        <v>1527125385.6000001</v>
      </c>
      <c r="T29" s="526">
        <f t="shared" si="6"/>
        <v>21.710625328404891</v>
      </c>
    </row>
    <row r="30" spans="1:24">
      <c r="A30" s="135">
        <v>41</v>
      </c>
      <c r="B30" s="597" t="str">
        <f>+VLOOKUP($A30,Master!$D$30:$G$226,4,FALSE)</f>
        <v>Tekući izdaci</v>
      </c>
      <c r="C30" s="598"/>
      <c r="D30" s="598"/>
      <c r="E30" s="598"/>
      <c r="F30" s="598"/>
      <c r="G30" s="172">
        <f t="shared" ref="G30" si="13">+SUM(G31:G39)</f>
        <v>61605376.840000004</v>
      </c>
      <c r="H30" s="172">
        <f t="shared" ref="H30:L30" si="14">+SUM(H31:H39)</f>
        <v>82046417.609999955</v>
      </c>
      <c r="I30" s="172">
        <f t="shared" si="14"/>
        <v>89985407.119999975</v>
      </c>
      <c r="J30" s="172">
        <f t="shared" si="14"/>
        <v>107557377</v>
      </c>
      <c r="K30" s="172">
        <f t="shared" si="14"/>
        <v>86451313.580000028</v>
      </c>
      <c r="L30" s="172">
        <f t="shared" si="14"/>
        <v>85637531.270000011</v>
      </c>
      <c r="M30" s="172">
        <f t="shared" ref="M30:R30" si="15">+SUM(M31:M39)</f>
        <v>87813572.210000038</v>
      </c>
      <c r="N30" s="172">
        <f t="shared" si="15"/>
        <v>0</v>
      </c>
      <c r="O30" s="172">
        <f t="shared" si="15"/>
        <v>0</v>
      </c>
      <c r="P30" s="172">
        <f t="shared" si="15"/>
        <v>0</v>
      </c>
      <c r="Q30" s="172">
        <f t="shared" si="15"/>
        <v>0</v>
      </c>
      <c r="R30" s="231">
        <f t="shared" si="15"/>
        <v>0</v>
      </c>
      <c r="S30" s="527">
        <f t="shared" si="7"/>
        <v>601096995.63</v>
      </c>
      <c r="T30" s="519">
        <f t="shared" si="6"/>
        <v>8.545592772675576</v>
      </c>
      <c r="U30" s="472"/>
    </row>
    <row r="31" spans="1:24">
      <c r="A31" s="135">
        <v>411</v>
      </c>
      <c r="B31" s="589" t="str">
        <f>+VLOOKUP($A31,Master!$D$30:$G$226,4,FALSE)</f>
        <v>Bruto zarade i doprinosi na teret poslodavca</v>
      </c>
      <c r="C31" s="590"/>
      <c r="D31" s="590"/>
      <c r="E31" s="590"/>
      <c r="F31" s="590"/>
      <c r="G31" s="499">
        <v>55136615.750000007</v>
      </c>
      <c r="H31" s="499">
        <v>55692244.729999967</v>
      </c>
      <c r="I31" s="499">
        <v>55409720.469999999</v>
      </c>
      <c r="J31" s="499">
        <v>52206366.690000013</v>
      </c>
      <c r="K31" s="499">
        <v>59775945.540000021</v>
      </c>
      <c r="L31" s="148">
        <v>56818382.910000011</v>
      </c>
      <c r="M31" s="148">
        <v>56266964.270000018</v>
      </c>
      <c r="N31" s="148"/>
      <c r="O31" s="148"/>
      <c r="P31" s="498"/>
      <c r="Q31" s="148"/>
      <c r="R31" s="148"/>
      <c r="S31" s="227">
        <f t="shared" si="7"/>
        <v>391306240.36000007</v>
      </c>
      <c r="T31" s="436">
        <f t="shared" si="6"/>
        <v>5.5630685294284916</v>
      </c>
      <c r="U31" s="472"/>
    </row>
    <row r="32" spans="1:24">
      <c r="A32" s="135">
        <v>412</v>
      </c>
      <c r="B32" s="589" t="str">
        <f>+VLOOKUP($A32,Master!$D$30:$G$226,4,FALSE)</f>
        <v>Ostala lična primanja</v>
      </c>
      <c r="C32" s="590"/>
      <c r="D32" s="590"/>
      <c r="E32" s="590"/>
      <c r="F32" s="590"/>
      <c r="G32" s="499">
        <v>104790.61</v>
      </c>
      <c r="H32" s="499">
        <v>1837884.4900000002</v>
      </c>
      <c r="I32" s="499">
        <v>2257740.919999999</v>
      </c>
      <c r="J32" s="499">
        <v>1683790.7199999997</v>
      </c>
      <c r="K32" s="499">
        <v>1510365</v>
      </c>
      <c r="L32" s="148">
        <v>1609176.6600000001</v>
      </c>
      <c r="M32" s="148">
        <v>1737204.9199999995</v>
      </c>
      <c r="N32" s="148"/>
      <c r="O32" s="148"/>
      <c r="P32" s="148"/>
      <c r="Q32" s="148"/>
      <c r="R32" s="148"/>
      <c r="S32" s="227">
        <f t="shared" si="7"/>
        <v>10740953.319999998</v>
      </c>
      <c r="T32" s="436">
        <f t="shared" si="6"/>
        <v>0.15270050213249928</v>
      </c>
      <c r="U32" s="472"/>
      <c r="V32" s="275"/>
    </row>
    <row r="33" spans="1:24">
      <c r="A33" s="135">
        <v>413</v>
      </c>
      <c r="B33" s="589" t="str">
        <f>+VLOOKUP($A33,Master!$D$30:$G$226,4,FALSE)</f>
        <v>Rashodi za materijal</v>
      </c>
      <c r="C33" s="590"/>
      <c r="D33" s="590"/>
      <c r="E33" s="590"/>
      <c r="F33" s="590"/>
      <c r="G33" s="499">
        <v>201738.93999999997</v>
      </c>
      <c r="H33" s="499">
        <v>3185464.5300000003</v>
      </c>
      <c r="I33" s="499">
        <v>3529714.7899999996</v>
      </c>
      <c r="J33" s="499">
        <v>3288871.4699999997</v>
      </c>
      <c r="K33" s="499">
        <v>2243018</v>
      </c>
      <c r="L33" s="148">
        <v>2355582.7499999995</v>
      </c>
      <c r="M33" s="148">
        <v>3351257.3600000003</v>
      </c>
      <c r="N33" s="148"/>
      <c r="O33" s="148"/>
      <c r="P33" s="148"/>
      <c r="Q33" s="148"/>
      <c r="R33" s="148"/>
      <c r="S33" s="227">
        <f t="shared" si="7"/>
        <v>18155647.84</v>
      </c>
      <c r="T33" s="436">
        <f t="shared" si="6"/>
        <v>0.25811270742109754</v>
      </c>
      <c r="U33" s="472"/>
    </row>
    <row r="34" spans="1:24" s="334" customFormat="1">
      <c r="A34" s="333">
        <v>414</v>
      </c>
      <c r="B34" s="607" t="str">
        <f>+VLOOKUP($A34,Master!$D$30:$G$226,4,FALSE)</f>
        <v>Rashodi za usluge</v>
      </c>
      <c r="C34" s="608"/>
      <c r="D34" s="608"/>
      <c r="E34" s="608"/>
      <c r="F34" s="608"/>
      <c r="G34" s="499">
        <v>768611.57000000007</v>
      </c>
      <c r="H34" s="499">
        <v>3308116.05</v>
      </c>
      <c r="I34" s="499">
        <v>6882861.3600000003</v>
      </c>
      <c r="J34" s="499">
        <v>5918747.6499999994</v>
      </c>
      <c r="K34" s="499">
        <v>4186824.1599999997</v>
      </c>
      <c r="L34" s="148">
        <v>5253820.6599999992</v>
      </c>
      <c r="M34" s="148">
        <v>6412992.6799999997</v>
      </c>
      <c r="N34" s="148"/>
      <c r="O34" s="148"/>
      <c r="P34" s="148"/>
      <c r="Q34" s="148"/>
      <c r="R34" s="148"/>
      <c r="S34" s="227">
        <f t="shared" si="7"/>
        <v>32731974.129999999</v>
      </c>
      <c r="T34" s="436">
        <f t="shared" si="6"/>
        <v>0.46533941043502985</v>
      </c>
      <c r="U34" s="472"/>
    </row>
    <row r="35" spans="1:24">
      <c r="A35" s="135">
        <v>415</v>
      </c>
      <c r="B35" s="589" t="str">
        <f>+VLOOKUP($A35,Master!$D$30:$G$226,4,FALSE)</f>
        <v>Rashodi za tekuće održavanje</v>
      </c>
      <c r="C35" s="590"/>
      <c r="D35" s="590"/>
      <c r="E35" s="590"/>
      <c r="F35" s="590"/>
      <c r="G35" s="499">
        <v>4201.5999999999995</v>
      </c>
      <c r="H35" s="499">
        <v>1444596.6199999996</v>
      </c>
      <c r="I35" s="499">
        <v>1881542.3199999998</v>
      </c>
      <c r="J35" s="499">
        <v>3225908.9499999997</v>
      </c>
      <c r="K35" s="499">
        <v>504578.94999999995</v>
      </c>
      <c r="L35" s="148">
        <v>3145877.9800000004</v>
      </c>
      <c r="M35" s="148">
        <v>3731629.6500000004</v>
      </c>
      <c r="N35" s="148"/>
      <c r="O35" s="148"/>
      <c r="P35" s="148"/>
      <c r="Q35" s="148"/>
      <c r="R35" s="148"/>
      <c r="S35" s="227">
        <f t="shared" si="7"/>
        <v>13938336.07</v>
      </c>
      <c r="T35" s="436">
        <f t="shared" si="6"/>
        <v>0.19815661174296273</v>
      </c>
      <c r="U35" s="472"/>
    </row>
    <row r="36" spans="1:24">
      <c r="A36" s="135">
        <v>416</v>
      </c>
      <c r="B36" s="589" t="str">
        <f>+VLOOKUP($A36,Master!$D$30:$G$226,4,FALSE)</f>
        <v>Kamate</v>
      </c>
      <c r="C36" s="590"/>
      <c r="D36" s="590"/>
      <c r="E36" s="590"/>
      <c r="F36" s="590"/>
      <c r="G36" s="499">
        <v>4029329.47</v>
      </c>
      <c r="H36" s="499">
        <v>4129191.9600000004</v>
      </c>
      <c r="I36" s="499">
        <v>7187848.6899999976</v>
      </c>
      <c r="J36" s="499">
        <v>31152856.879999992</v>
      </c>
      <c r="K36" s="499">
        <v>8072726.5900000008</v>
      </c>
      <c r="L36" s="148">
        <v>5854363.290000001</v>
      </c>
      <c r="M36" s="148">
        <v>3738849.7</v>
      </c>
      <c r="N36" s="148"/>
      <c r="O36" s="148"/>
      <c r="P36" s="148"/>
      <c r="Q36" s="148"/>
      <c r="R36" s="148"/>
      <c r="S36" s="227">
        <f>+SUM(G36:R36)</f>
        <v>64165166.579999991</v>
      </c>
      <c r="T36" s="436">
        <f t="shared" si="6"/>
        <v>0.91221448080750622</v>
      </c>
      <c r="U36" s="472"/>
      <c r="V36" s="275"/>
    </row>
    <row r="37" spans="1:24">
      <c r="A37" s="135">
        <v>417</v>
      </c>
      <c r="B37" s="589" t="str">
        <f>+VLOOKUP($A37,Master!$D$30:$G$226,4,FALSE)</f>
        <v>Renta</v>
      </c>
      <c r="C37" s="590"/>
      <c r="D37" s="590"/>
      <c r="E37" s="590"/>
      <c r="F37" s="590"/>
      <c r="G37" s="499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148">
        <v>996164.27000000025</v>
      </c>
      <c r="M37" s="148">
        <v>1022257.5800000003</v>
      </c>
      <c r="N37" s="148"/>
      <c r="O37" s="148"/>
      <c r="P37" s="148"/>
      <c r="Q37" s="148"/>
      <c r="R37" s="148"/>
      <c r="S37" s="227">
        <f t="shared" si="7"/>
        <v>6383040.4400000013</v>
      </c>
      <c r="T37" s="436">
        <f t="shared" si="6"/>
        <v>9.0745528006824019E-2</v>
      </c>
      <c r="U37" s="472"/>
      <c r="V37" s="275"/>
    </row>
    <row r="38" spans="1:24">
      <c r="A38" s="135">
        <v>418</v>
      </c>
      <c r="B38" s="589" t="str">
        <f>+VLOOKUP($A38,Master!$D$30:$G$226,4,FALSE)</f>
        <v>Subvencije</v>
      </c>
      <c r="C38" s="590"/>
      <c r="D38" s="590"/>
      <c r="E38" s="590"/>
      <c r="F38" s="590"/>
      <c r="G38" s="499">
        <v>1261570.0099999986</v>
      </c>
      <c r="H38" s="499">
        <v>3823193.8399999933</v>
      </c>
      <c r="I38" s="499">
        <v>6034941.5099999923</v>
      </c>
      <c r="J38" s="499">
        <v>4256461.2399999993</v>
      </c>
      <c r="K38" s="499">
        <v>4091213.4399999962</v>
      </c>
      <c r="L38" s="148">
        <v>5603254.6099999957</v>
      </c>
      <c r="M38" s="148">
        <v>6020163.6199999992</v>
      </c>
      <c r="N38" s="148"/>
      <c r="O38" s="148"/>
      <c r="P38" s="148"/>
      <c r="Q38" s="148"/>
      <c r="R38" s="148"/>
      <c r="S38" s="227">
        <f t="shared" si="7"/>
        <v>31090798.269999973</v>
      </c>
      <c r="T38" s="436">
        <f t="shared" si="6"/>
        <v>0.44200736806937696</v>
      </c>
      <c r="U38" s="472"/>
    </row>
    <row r="39" spans="1:24">
      <c r="A39" s="135">
        <v>419</v>
      </c>
      <c r="B39" s="589" t="str">
        <f>+VLOOKUP($A39,Master!$D$30:$G$226,4,FALSE)</f>
        <v>Ostali izdaci</v>
      </c>
      <c r="C39" s="590"/>
      <c r="D39" s="590"/>
      <c r="E39" s="590"/>
      <c r="F39" s="590"/>
      <c r="G39" s="499">
        <v>98363.42</v>
      </c>
      <c r="H39" s="499">
        <v>7565592.3899999987</v>
      </c>
      <c r="I39" s="499">
        <v>5572488.7899999991</v>
      </c>
      <c r="J39" s="499">
        <v>4456229.17</v>
      </c>
      <c r="K39" s="499">
        <v>5359004.28</v>
      </c>
      <c r="L39" s="148">
        <v>4000908.1399999997</v>
      </c>
      <c r="M39" s="148">
        <v>5532252.4299999997</v>
      </c>
      <c r="N39" s="148"/>
      <c r="O39" s="148"/>
      <c r="P39" s="148"/>
      <c r="Q39" s="148"/>
      <c r="R39" s="148"/>
      <c r="S39" s="227">
        <f t="shared" si="7"/>
        <v>32584838.619999997</v>
      </c>
      <c r="T39" s="436">
        <f t="shared" si="6"/>
        <v>0.46324763463178842</v>
      </c>
      <c r="U39" s="472"/>
      <c r="V39" s="275"/>
    </row>
    <row r="40" spans="1:24">
      <c r="A40" s="135">
        <v>42</v>
      </c>
      <c r="B40" s="585" t="str">
        <f>+VLOOKUP($A40,Master!$D$30:$G$226,4,FALSE)</f>
        <v>Transferi za socijalnu zaštitu</v>
      </c>
      <c r="C40" s="586"/>
      <c r="D40" s="586"/>
      <c r="E40" s="586"/>
      <c r="F40" s="586"/>
      <c r="G40" s="178">
        <f>+SUM(G41:G45)</f>
        <v>68160265.649999991</v>
      </c>
      <c r="H40" s="178">
        <f t="shared" ref="H40:L40" si="16">+SUM(H41:H45)</f>
        <v>82067860.660000026</v>
      </c>
      <c r="I40" s="178">
        <f t="shared" si="16"/>
        <v>83535130.719999999</v>
      </c>
      <c r="J40" s="178">
        <f t="shared" si="16"/>
        <v>83364547.779999986</v>
      </c>
      <c r="K40" s="178">
        <f t="shared" si="16"/>
        <v>82007767.449999988</v>
      </c>
      <c r="L40" s="178">
        <f t="shared" si="16"/>
        <v>84080432.439999953</v>
      </c>
      <c r="M40" s="178">
        <f t="shared" ref="M40:R40" si="17">+SUM(M41:M45)</f>
        <v>88657241.409999952</v>
      </c>
      <c r="N40" s="178">
        <f t="shared" si="17"/>
        <v>0</v>
      </c>
      <c r="O40" s="178">
        <f t="shared" si="17"/>
        <v>0</v>
      </c>
      <c r="P40" s="178">
        <f t="shared" si="17"/>
        <v>0</v>
      </c>
      <c r="Q40" s="178">
        <f t="shared" si="17"/>
        <v>0</v>
      </c>
      <c r="R40" s="178">
        <f t="shared" si="17"/>
        <v>0</v>
      </c>
      <c r="S40" s="528">
        <f t="shared" si="7"/>
        <v>571873246.1099999</v>
      </c>
      <c r="T40" s="529">
        <f t="shared" si="6"/>
        <v>8.1301286054876307</v>
      </c>
      <c r="U40" s="472"/>
    </row>
    <row r="41" spans="1:24">
      <c r="A41" s="135">
        <v>421</v>
      </c>
      <c r="B41" s="589" t="str">
        <f>+VLOOKUP($A41,Master!$D$30:$G$226,4,FALSE)</f>
        <v>Prava iz oblasti socijalne zaštite</v>
      </c>
      <c r="C41" s="590"/>
      <c r="D41" s="590"/>
      <c r="E41" s="590"/>
      <c r="F41" s="590"/>
      <c r="G41" s="499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148">
        <v>17979185.619999997</v>
      </c>
      <c r="M41" s="148">
        <v>16917527.130000003</v>
      </c>
      <c r="N41" s="148"/>
      <c r="O41" s="148"/>
      <c r="P41" s="148"/>
      <c r="Q41" s="148"/>
      <c r="R41" s="148"/>
      <c r="S41" s="227">
        <f t="shared" si="7"/>
        <v>121145113.60999998</v>
      </c>
      <c r="T41" s="436">
        <f t="shared" si="6"/>
        <v>1.7222791243957918</v>
      </c>
      <c r="U41" s="472"/>
    </row>
    <row r="42" spans="1:24">
      <c r="A42" s="135">
        <v>422</v>
      </c>
      <c r="B42" s="589" t="str">
        <f>+VLOOKUP($A42,Master!$D$30:$G$226,4,FALSE)</f>
        <v>Sredstva za tehnološke viškove</v>
      </c>
      <c r="C42" s="590"/>
      <c r="D42" s="590"/>
      <c r="E42" s="590"/>
      <c r="F42" s="590"/>
      <c r="G42" s="499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148">
        <v>1850184.16</v>
      </c>
      <c r="M42" s="148">
        <v>1906089.0599999998</v>
      </c>
      <c r="N42" s="148"/>
      <c r="O42" s="148"/>
      <c r="P42" s="148"/>
      <c r="Q42" s="148"/>
      <c r="R42" s="148"/>
      <c r="S42" s="227">
        <f t="shared" si="7"/>
        <v>11484233.49</v>
      </c>
      <c r="T42" s="436">
        <f t="shared" si="6"/>
        <v>0.16326746502701167</v>
      </c>
      <c r="U42" s="472"/>
      <c r="V42" s="275"/>
    </row>
    <row r="43" spans="1:24">
      <c r="A43" s="135">
        <v>423</v>
      </c>
      <c r="B43" s="589" t="str">
        <f>+VLOOKUP($A43,Master!$D$30:$G$226,4,FALSE)</f>
        <v>Prava iz oblasti penzijskog i invalidskog osiguranja</v>
      </c>
      <c r="C43" s="590"/>
      <c r="D43" s="590"/>
      <c r="E43" s="590"/>
      <c r="F43" s="590"/>
      <c r="G43" s="499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60912897.669999979</v>
      </c>
      <c r="L43" s="148">
        <v>61972227.06999997</v>
      </c>
      <c r="M43" s="486">
        <v>61550827.919999957</v>
      </c>
      <c r="N43" s="148"/>
      <c r="O43" s="148"/>
      <c r="P43" s="148"/>
      <c r="Q43" s="148"/>
      <c r="R43" s="148"/>
      <c r="S43" s="227">
        <f t="shared" si="7"/>
        <v>417055101.21999991</v>
      </c>
      <c r="T43" s="436">
        <f t="shared" si="6"/>
        <v>5.9291313793005385</v>
      </c>
      <c r="U43" s="472"/>
    </row>
    <row r="44" spans="1:24">
      <c r="A44" s="135">
        <v>424</v>
      </c>
      <c r="B44" s="589" t="str">
        <f>+VLOOKUP($A44,Master!$D$30:$G$226,4,FALSE)</f>
        <v>Ostala prava iz oblasti zdravstvene zaštite</v>
      </c>
      <c r="C44" s="590"/>
      <c r="D44" s="590"/>
      <c r="E44" s="590"/>
      <c r="F44" s="590"/>
      <c r="G44" s="499">
        <v>949033.99999999988</v>
      </c>
      <c r="H44" s="499">
        <v>923268.97999999986</v>
      </c>
      <c r="I44" s="499">
        <v>1261874.7299999995</v>
      </c>
      <c r="J44" s="499">
        <v>1234497.5799999998</v>
      </c>
      <c r="K44" s="499">
        <v>1046920.1199999999</v>
      </c>
      <c r="L44" s="148">
        <v>1033640.7399999999</v>
      </c>
      <c r="M44" s="148">
        <v>6613796.0999999996</v>
      </c>
      <c r="N44" s="148"/>
      <c r="O44" s="148"/>
      <c r="P44" s="148"/>
      <c r="Q44" s="148"/>
      <c r="R44" s="148"/>
      <c r="S44" s="227">
        <f t="shared" si="7"/>
        <v>13063032.25</v>
      </c>
      <c r="T44" s="436">
        <f t="shared" si="6"/>
        <v>0.18571271324992891</v>
      </c>
      <c r="U44" s="472"/>
    </row>
    <row r="45" spans="1:24" s="334" customFormat="1">
      <c r="A45" s="333">
        <v>425</v>
      </c>
      <c r="B45" s="609" t="str">
        <f>+VLOOKUP($A45,Master!$D$30:$G$226,4,FALSE)</f>
        <v>Ostala prava iz zdravstvenog osiguranja</v>
      </c>
      <c r="C45" s="610"/>
      <c r="D45" s="610"/>
      <c r="E45" s="610"/>
      <c r="F45" s="610"/>
      <c r="G45" s="499">
        <v>34748.049999999996</v>
      </c>
      <c r="H45" s="499">
        <v>1222905.48</v>
      </c>
      <c r="I45" s="499">
        <v>2373259.1799999997</v>
      </c>
      <c r="J45" s="499">
        <v>1411087.4900000005</v>
      </c>
      <c r="K45" s="499">
        <v>1169569.2899999991</v>
      </c>
      <c r="L45" s="148">
        <v>1245194.8499999996</v>
      </c>
      <c r="M45" s="148">
        <v>1669001.2000000009</v>
      </c>
      <c r="N45" s="148"/>
      <c r="O45" s="148"/>
      <c r="P45" s="148"/>
      <c r="Q45" s="148"/>
      <c r="R45" s="148"/>
      <c r="S45" s="227">
        <f t="shared" si="7"/>
        <v>9125765.5399999991</v>
      </c>
      <c r="T45" s="436">
        <f t="shared" si="6"/>
        <v>0.12973792351435881</v>
      </c>
      <c r="U45" s="472"/>
    </row>
    <row r="46" spans="1:24">
      <c r="A46" s="135">
        <v>43</v>
      </c>
      <c r="B46" s="587" t="str">
        <f>+VLOOKUP($A46,Master!$D$30:$G$226,4,FALSE)</f>
        <v xml:space="preserve">Transferi institucijama, pojedincima, nevladinom i javnom sektoru </v>
      </c>
      <c r="C46" s="588"/>
      <c r="D46" s="588"/>
      <c r="E46" s="588"/>
      <c r="F46" s="588"/>
      <c r="G46" s="160">
        <v>3021521.19</v>
      </c>
      <c r="H46" s="160">
        <v>35873257.970000006</v>
      </c>
      <c r="I46" s="160">
        <v>38920245.800000004</v>
      </c>
      <c r="J46" s="160">
        <v>41212139.38000001</v>
      </c>
      <c r="K46" s="160">
        <v>24558346.619999997</v>
      </c>
      <c r="L46" s="160">
        <v>33632618.140000008</v>
      </c>
      <c r="M46" s="160">
        <v>42247192.36999999</v>
      </c>
      <c r="N46" s="160"/>
      <c r="O46" s="160"/>
      <c r="P46" s="160"/>
      <c r="Q46" s="160"/>
      <c r="R46" s="160"/>
      <c r="S46" s="521">
        <f t="shared" si="7"/>
        <v>219465321.47000003</v>
      </c>
      <c r="T46" s="522">
        <f t="shared" si="6"/>
        <v>3.120064280210407</v>
      </c>
      <c r="U46" s="472"/>
    </row>
    <row r="47" spans="1:24">
      <c r="A47" s="135">
        <v>44</v>
      </c>
      <c r="B47" s="587" t="str">
        <f>+VLOOKUP($A47,Master!$D$30:$G$226,4,FALSE)</f>
        <v>Kapitalni izdaci</v>
      </c>
      <c r="C47" s="588"/>
      <c r="D47" s="588"/>
      <c r="E47" s="588"/>
      <c r="F47" s="588"/>
      <c r="G47" s="160">
        <v>3531423.4500000007</v>
      </c>
      <c r="H47" s="160">
        <v>9832570.8200000003</v>
      </c>
      <c r="I47" s="160">
        <v>15207243.570000002</v>
      </c>
      <c r="J47" s="160">
        <v>22278281.120000001</v>
      </c>
      <c r="K47" s="160">
        <v>11786212.940000001</v>
      </c>
      <c r="L47" s="160">
        <v>12899315.02</v>
      </c>
      <c r="M47" s="160">
        <v>21925196.23</v>
      </c>
      <c r="N47" s="160"/>
      <c r="O47" s="160"/>
      <c r="P47" s="160"/>
      <c r="Q47" s="160"/>
      <c r="R47" s="160"/>
      <c r="S47" s="521">
        <f t="shared" si="7"/>
        <v>97460243.150000006</v>
      </c>
      <c r="T47" s="522">
        <f t="shared" si="6"/>
        <v>1.3855593282627241</v>
      </c>
      <c r="U47" s="472"/>
      <c r="V47" s="275"/>
      <c r="W47" s="292"/>
      <c r="X47" s="292"/>
    </row>
    <row r="48" spans="1:24">
      <c r="A48" s="135">
        <v>451</v>
      </c>
      <c r="B48" s="611" t="str">
        <f>+VLOOKUP($A48,Master!$D$30:$G$226,4,FALSE)</f>
        <v>Pozajmice i krediti</v>
      </c>
      <c r="C48" s="612"/>
      <c r="D48" s="612"/>
      <c r="E48" s="612"/>
      <c r="F48" s="612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148">
        <v>0</v>
      </c>
      <c r="M48" s="148">
        <v>0</v>
      </c>
      <c r="N48" s="148"/>
      <c r="O48" s="148"/>
      <c r="P48" s="148"/>
      <c r="Q48" s="148"/>
      <c r="R48" s="148"/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16" t="str">
        <f>+VLOOKUP($A49,Master!$D$30:$G$226,4,FALSE)</f>
        <v>Rezerve</v>
      </c>
      <c r="C49" s="617"/>
      <c r="D49" s="617"/>
      <c r="E49" s="617"/>
      <c r="F49" s="617"/>
      <c r="G49" s="499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148">
        <v>3778637.9000000004</v>
      </c>
      <c r="M49" s="148">
        <v>5528221.54</v>
      </c>
      <c r="N49" s="148"/>
      <c r="O49" s="148"/>
      <c r="P49" s="148"/>
      <c r="Q49" s="148"/>
      <c r="R49" s="148"/>
      <c r="S49" s="227">
        <f t="shared" si="7"/>
        <v>20448605.789999999</v>
      </c>
      <c r="T49" s="436">
        <f t="shared" si="6"/>
        <v>0.29071091541086153</v>
      </c>
      <c r="U49" s="472"/>
    </row>
    <row r="50" spans="1:21" ht="13.5" thickBot="1">
      <c r="A50" s="135">
        <v>462</v>
      </c>
      <c r="B50" s="575" t="str">
        <f>+VLOOKUP($A50,Master!$D$30:$G$226,4,FALSE)</f>
        <v>Otplata garancija</v>
      </c>
      <c r="C50" s="576"/>
      <c r="D50" s="576"/>
      <c r="E50" s="576"/>
      <c r="F50" s="576"/>
      <c r="G50" s="499">
        <v>0</v>
      </c>
      <c r="H50" s="499">
        <v>2301161.16</v>
      </c>
      <c r="I50" s="499">
        <v>0</v>
      </c>
      <c r="J50" s="499">
        <v>0</v>
      </c>
      <c r="K50" s="499">
        <v>0</v>
      </c>
      <c r="L50" s="148">
        <v>0</v>
      </c>
      <c r="M50" s="148">
        <v>0</v>
      </c>
      <c r="N50" s="148"/>
      <c r="O50" s="148"/>
      <c r="P50" s="148"/>
      <c r="Q50" s="148"/>
      <c r="R50" s="148"/>
      <c r="S50" s="227">
        <f t="shared" si="7"/>
        <v>2301161.16</v>
      </c>
      <c r="T50" s="436">
        <f t="shared" si="6"/>
        <v>3.2714830253056583E-2</v>
      </c>
      <c r="U50" s="472"/>
    </row>
    <row r="51" spans="1:21" ht="13.5" thickBot="1">
      <c r="A51" s="129">
        <v>4630</v>
      </c>
      <c r="B51" s="618" t="str">
        <f>+VLOOKUP($A51,Master!$D$30:$G$226,4,TRUE)</f>
        <v>Otplata obaveza iz prethodnog perioda</v>
      </c>
      <c r="C51" s="619"/>
      <c r="D51" s="619"/>
      <c r="E51" s="619"/>
      <c r="F51" s="619"/>
      <c r="G51" s="430">
        <v>1627323.7099999997</v>
      </c>
      <c r="H51" s="430">
        <v>2293095.31</v>
      </c>
      <c r="I51" s="430">
        <v>2714121.04</v>
      </c>
      <c r="J51" s="430">
        <v>1764225.4699999997</v>
      </c>
      <c r="K51" s="430">
        <v>1777330.8200000003</v>
      </c>
      <c r="L51" s="430">
        <v>2035178.9799999997</v>
      </c>
      <c r="M51" s="430">
        <v>2268536.959999999</v>
      </c>
      <c r="N51" s="430"/>
      <c r="O51" s="430"/>
      <c r="P51" s="430"/>
      <c r="Q51" s="430"/>
      <c r="R51" s="430"/>
      <c r="S51" s="398">
        <f>+SUM(G51:R51)</f>
        <v>14479812.289999999</v>
      </c>
      <c r="T51" s="440">
        <f t="shared" si="6"/>
        <v>0.20585459610463464</v>
      </c>
      <c r="U51" s="472"/>
    </row>
    <row r="52" spans="1:21" ht="13.5" thickBot="1">
      <c r="A52" s="61">
        <v>1005</v>
      </c>
      <c r="B52" s="620" t="str">
        <f>+VLOOKUP($A52,Master!$D$30:$G$228,4,FALSE)</f>
        <v>Neto povećanje obaveza</v>
      </c>
      <c r="C52" s="621"/>
      <c r="D52" s="621"/>
      <c r="E52" s="621"/>
      <c r="F52" s="621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" si="18">+G10-G29</f>
        <v>12984912.620000005</v>
      </c>
      <c r="H53" s="136">
        <f t="shared" ref="H53:L53" si="19">+H10-H29</f>
        <v>-34165695.98999995</v>
      </c>
      <c r="I53" s="136">
        <f t="shared" si="19"/>
        <v>13430164.810000032</v>
      </c>
      <c r="J53" s="136">
        <f t="shared" si="19"/>
        <v>59153881.830000013</v>
      </c>
      <c r="K53" s="136">
        <f t="shared" si="19"/>
        <v>-21429268.670000046</v>
      </c>
      <c r="L53" s="136">
        <f t="shared" si="19"/>
        <v>520295</v>
      </c>
      <c r="M53" s="136">
        <f t="shared" ref="M53:R53" si="20">+M10-M29</f>
        <v>11518701.800000042</v>
      </c>
      <c r="N53" s="136">
        <f t="shared" si="20"/>
        <v>0</v>
      </c>
      <c r="O53" s="136">
        <f t="shared" si="20"/>
        <v>0</v>
      </c>
      <c r="P53" s="136">
        <f t="shared" si="20"/>
        <v>0</v>
      </c>
      <c r="Q53" s="136">
        <f t="shared" si="20"/>
        <v>0</v>
      </c>
      <c r="R53" s="136">
        <f t="shared" si="20"/>
        <v>0</v>
      </c>
      <c r="S53" s="530">
        <f>SUM(G53:R53)</f>
        <v>42012991.400000095</v>
      </c>
      <c r="T53" s="531">
        <f t="shared" si="6"/>
        <v>0.59728449530850292</v>
      </c>
    </row>
    <row r="54" spans="1:21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" si="21">+G53+G36</f>
        <v>17014242.090000004</v>
      </c>
      <c r="H54" s="190">
        <f t="shared" ref="H54:L54" si="22">+H53+H36</f>
        <v>-30036504.029999949</v>
      </c>
      <c r="I54" s="190">
        <f t="shared" si="22"/>
        <v>20618013.50000003</v>
      </c>
      <c r="J54" s="190">
        <f t="shared" si="22"/>
        <v>90306738.710000008</v>
      </c>
      <c r="K54" s="190">
        <f t="shared" si="22"/>
        <v>-13356542.080000047</v>
      </c>
      <c r="L54" s="190">
        <f t="shared" si="22"/>
        <v>6374658.290000001</v>
      </c>
      <c r="M54" s="190">
        <f t="shared" ref="M54:R54" si="23">+M53+M36</f>
        <v>15257551.500000041</v>
      </c>
      <c r="N54" s="190">
        <f t="shared" si="23"/>
        <v>0</v>
      </c>
      <c r="O54" s="190">
        <f t="shared" si="23"/>
        <v>0</v>
      </c>
      <c r="P54" s="190">
        <f t="shared" si="23"/>
        <v>0</v>
      </c>
      <c r="Q54" s="190">
        <f t="shared" si="23"/>
        <v>0</v>
      </c>
      <c r="R54" s="190">
        <f t="shared" si="23"/>
        <v>0</v>
      </c>
      <c r="S54" s="530">
        <f t="shared" si="7"/>
        <v>106178157.98000011</v>
      </c>
      <c r="T54" s="531">
        <f t="shared" si="6"/>
        <v>1.5094989761160094</v>
      </c>
    </row>
    <row r="55" spans="1:21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59757330.13000001</v>
      </c>
      <c r="J55" s="160">
        <f t="shared" si="25"/>
        <v>117170926.2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0</v>
      </c>
      <c r="O55" s="178">
        <f t="shared" si="26"/>
        <v>0</v>
      </c>
      <c r="P55" s="178">
        <f t="shared" si="26"/>
        <v>0</v>
      </c>
      <c r="Q55" s="178">
        <f t="shared" si="26"/>
        <v>0</v>
      </c>
      <c r="R55" s="178">
        <f t="shared" si="26"/>
        <v>0</v>
      </c>
      <c r="S55" s="532">
        <f t="shared" si="7"/>
        <v>342936282.00000006</v>
      </c>
      <c r="T55" s="533">
        <f t="shared" si="6"/>
        <v>4.8754091839636065</v>
      </c>
    </row>
    <row r="56" spans="1:21">
      <c r="A56" s="129">
        <v>4611</v>
      </c>
      <c r="B56" s="573" t="str">
        <f>+VLOOKUP($A56,Master!$D$30:$G$226,4,FALSE)</f>
        <v>Otplata hartija od vrijednosti i kredita rezidentima</v>
      </c>
      <c r="C56" s="574"/>
      <c r="D56" s="574"/>
      <c r="E56" s="574"/>
      <c r="F56" s="574"/>
      <c r="G56" s="554">
        <v>2494755.4499999997</v>
      </c>
      <c r="H56" s="554">
        <v>2954245.6799999997</v>
      </c>
      <c r="I56" s="554">
        <v>23477657.120000005</v>
      </c>
      <c r="J56" s="554">
        <v>95643965.920000002</v>
      </c>
      <c r="K56" s="554">
        <v>9858911.2700000014</v>
      </c>
      <c r="L56" s="196">
        <v>27246632.220000003</v>
      </c>
      <c r="M56" s="196">
        <v>2591103.59</v>
      </c>
      <c r="N56" s="196"/>
      <c r="O56" s="196"/>
      <c r="P56" s="196"/>
      <c r="Q56" s="196"/>
      <c r="R56" s="196"/>
      <c r="S56" s="235">
        <f t="shared" si="7"/>
        <v>164267271.25</v>
      </c>
      <c r="T56" s="444">
        <f t="shared" si="6"/>
        <v>2.3353322611600795</v>
      </c>
    </row>
    <row r="57" spans="1:21" ht="13.5" thickBot="1">
      <c r="A57" s="129">
        <v>4612</v>
      </c>
      <c r="B57" s="557" t="str">
        <f>+VLOOKUP($A57,Master!$D$30:$G$226,4,FALSE)</f>
        <v>Otplata hartija od vrijednosti i kredita nerezidentima</v>
      </c>
      <c r="C57" s="558"/>
      <c r="D57" s="558"/>
      <c r="E57" s="558"/>
      <c r="F57" s="558"/>
      <c r="G57" s="554">
        <v>32313186.740000002</v>
      </c>
      <c r="H57" s="554">
        <v>3787783.5300000007</v>
      </c>
      <c r="I57" s="554">
        <v>36279673.010000005</v>
      </c>
      <c r="J57" s="554">
        <v>21526960.279999997</v>
      </c>
      <c r="K57" s="554">
        <v>29335488.09</v>
      </c>
      <c r="L57" s="196">
        <v>22679727.629999999</v>
      </c>
      <c r="M57" s="196">
        <v>32746191.469999999</v>
      </c>
      <c r="N57" s="196"/>
      <c r="O57" s="196"/>
      <c r="P57" s="196"/>
      <c r="Q57" s="196"/>
      <c r="R57" s="196"/>
      <c r="S57" s="235">
        <f t="shared" si="7"/>
        <v>178669010.75</v>
      </c>
      <c r="T57" s="444">
        <f t="shared" si="6"/>
        <v>2.5400769228035256</v>
      </c>
    </row>
    <row r="58" spans="1:21" ht="13.5" thickBot="1">
      <c r="A58" s="129">
        <v>4418</v>
      </c>
      <c r="B58" s="595" t="str">
        <f>+VLOOKUP($A58,Master!$D$30:$G$226,4,FALSE)</f>
        <v>Izdaci za kupovinu hartija od vrijednosti</v>
      </c>
      <c r="C58" s="596"/>
      <c r="D58" s="596"/>
      <c r="E58" s="596"/>
      <c r="F58" s="596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>
        <v>0</v>
      </c>
      <c r="N58" s="432"/>
      <c r="O58" s="432"/>
      <c r="P58" s="432"/>
      <c r="Q58" s="432"/>
      <c r="R58" s="432"/>
      <c r="S58" s="532">
        <f>SUM(G58:R58)</f>
        <v>3266458.45</v>
      </c>
      <c r="T58" s="534">
        <f t="shared" si="6"/>
        <v>4.6438135484788173E-2</v>
      </c>
    </row>
    <row r="59" spans="1:21" ht="13.5" thickBot="1">
      <c r="A59" s="135">
        <v>451</v>
      </c>
      <c r="B59" s="595" t="str">
        <f>+VLOOKUP($A59,Master!$D$30:$G$226,4,FALSE)</f>
        <v>Pozajmice i krediti</v>
      </c>
      <c r="C59" s="596"/>
      <c r="D59" s="596"/>
      <c r="E59" s="596"/>
      <c r="F59" s="596"/>
      <c r="G59" s="499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32">
        <v>1012363.69</v>
      </c>
      <c r="M59" s="432">
        <v>0</v>
      </c>
      <c r="N59" s="432"/>
      <c r="O59" s="432"/>
      <c r="P59" s="432"/>
      <c r="Q59" s="432"/>
      <c r="R59" s="432"/>
      <c r="S59" s="532">
        <f>SUM(G59:R59)</f>
        <v>4787376.97</v>
      </c>
      <c r="T59" s="534">
        <f t="shared" si="6"/>
        <v>6.8060519903326691E-2</v>
      </c>
    </row>
    <row r="60" spans="1:21" ht="13.5" thickBot="1">
      <c r="A60" s="129">
        <v>1002</v>
      </c>
      <c r="B60" s="577" t="str">
        <f>+VLOOKUP($A60,Master!$D$30:$G$226,4,FALSE)</f>
        <v>Nedostajuća sredstva</v>
      </c>
      <c r="C60" s="578"/>
      <c r="D60" s="578"/>
      <c r="E60" s="578"/>
      <c r="F60" s="578"/>
      <c r="G60" s="202">
        <f>+G53-G55-G58-G59</f>
        <v>-22537751.18</v>
      </c>
      <c r="H60" s="202">
        <f t="shared" ref="H60:L60" si="27">+H53-H55-H58-H59</f>
        <v>-41419035.199999951</v>
      </c>
      <c r="I60" s="202">
        <f t="shared" si="27"/>
        <v>-48651227.519999973</v>
      </c>
      <c r="J60" s="202">
        <f t="shared" si="27"/>
        <v>-58985128.469999991</v>
      </c>
      <c r="K60" s="202">
        <f t="shared" si="27"/>
        <v>-62786266.350000046</v>
      </c>
      <c r="L60" s="202">
        <f t="shared" si="27"/>
        <v>-50779124.039999999</v>
      </c>
      <c r="M60" s="202">
        <f t="shared" ref="M60" si="28">+M53-M55-M58-M59</f>
        <v>-23818593.259999961</v>
      </c>
      <c r="N60" s="202">
        <f t="shared" ref="N60" si="29">+N53-N55-N58-N59</f>
        <v>0</v>
      </c>
      <c r="O60" s="202">
        <f t="shared" ref="O60" si="30">+O53-O55-O58-O59</f>
        <v>0</v>
      </c>
      <c r="P60" s="202">
        <f t="shared" ref="P60" si="31">+P53-P55-P58-P59</f>
        <v>0</v>
      </c>
      <c r="Q60" s="202">
        <f t="shared" ref="Q60" si="32">+Q53-Q55-Q58-Q59</f>
        <v>0</v>
      </c>
      <c r="R60" s="202">
        <f t="shared" ref="R60:S60" si="33">+R53-R55-R58-R59</f>
        <v>0</v>
      </c>
      <c r="S60" s="532">
        <f t="shared" si="33"/>
        <v>-308977126.01999998</v>
      </c>
      <c r="T60" s="535">
        <f t="shared" si="6"/>
        <v>-4.3926233440432183</v>
      </c>
    </row>
    <row r="61" spans="1:21" ht="13.5" thickBot="1">
      <c r="A61" s="129">
        <v>1003</v>
      </c>
      <c r="B61" s="579" t="str">
        <f>+VLOOKUP($A61,Master!$D$30:$G$226,4,FALSE)</f>
        <v>Finansiranje</v>
      </c>
      <c r="C61" s="580"/>
      <c r="D61" s="580"/>
      <c r="E61" s="580"/>
      <c r="F61" s="580"/>
      <c r="G61" s="136">
        <f>+SUM(G62:G66)</f>
        <v>22537751.18</v>
      </c>
      <c r="H61" s="136">
        <f t="shared" ref="H61:L61" si="34">+SUM(H62:H66)</f>
        <v>41419035.199999951</v>
      </c>
      <c r="I61" s="136">
        <f t="shared" si="34"/>
        <v>48651227.519999981</v>
      </c>
      <c r="J61" s="136">
        <f t="shared" si="34"/>
        <v>58985128.469999991</v>
      </c>
      <c r="K61" s="136">
        <f t="shared" si="34"/>
        <v>62786266.350000046</v>
      </c>
      <c r="L61" s="136">
        <f t="shared" si="34"/>
        <v>50779124.039999999</v>
      </c>
      <c r="M61" s="136">
        <f t="shared" ref="M61:R61" si="35">+SUM(M62:M66)</f>
        <v>23818593.259999961</v>
      </c>
      <c r="N61" s="136">
        <f t="shared" si="35"/>
        <v>0</v>
      </c>
      <c r="O61" s="136">
        <f t="shared" si="35"/>
        <v>0</v>
      </c>
      <c r="P61" s="136">
        <f t="shared" si="35"/>
        <v>0</v>
      </c>
      <c r="Q61" s="136">
        <f t="shared" si="35"/>
        <v>0</v>
      </c>
      <c r="R61" s="136">
        <f t="shared" si="35"/>
        <v>0</v>
      </c>
      <c r="S61" s="536">
        <f t="shared" si="7"/>
        <v>308977126.01999998</v>
      </c>
      <c r="T61" s="537">
        <f t="shared" si="6"/>
        <v>4.3926233440432183</v>
      </c>
    </row>
    <row r="62" spans="1:21">
      <c r="A62" s="129">
        <v>7511</v>
      </c>
      <c r="B62" s="573" t="str">
        <f>+VLOOKUP($A62,Master!$D$30:$G$226,4,FALSE)</f>
        <v>Pozajmice i krediti od domaćih izvora</v>
      </c>
      <c r="C62" s="574"/>
      <c r="D62" s="574"/>
      <c r="E62" s="574"/>
      <c r="F62" s="574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196">
        <v>0</v>
      </c>
      <c r="M62" s="196">
        <v>0</v>
      </c>
      <c r="N62" s="196"/>
      <c r="O62" s="196"/>
      <c r="P62" s="196"/>
      <c r="Q62" s="196"/>
      <c r="R62" s="196"/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57" t="str">
        <f>+VLOOKUP($A63,Master!$D$30:$G$226,4,FALSE)</f>
        <v>Pozajmice i krediti od inostranih izvora</v>
      </c>
      <c r="C63" s="558"/>
      <c r="D63" s="558"/>
      <c r="E63" s="558"/>
      <c r="F63" s="558"/>
      <c r="G63" s="554">
        <v>1570614.04</v>
      </c>
      <c r="H63" s="554">
        <v>1779527.23</v>
      </c>
      <c r="I63" s="554">
        <v>691084422.79999995</v>
      </c>
      <c r="J63" s="554">
        <v>4120414.6200000006</v>
      </c>
      <c r="K63" s="554">
        <v>266766.86</v>
      </c>
      <c r="L63" s="196">
        <v>776353.75</v>
      </c>
      <c r="M63" s="196">
        <v>4706813.25</v>
      </c>
      <c r="N63" s="196"/>
      <c r="O63" s="196"/>
      <c r="P63" s="196"/>
      <c r="Q63" s="196"/>
      <c r="R63" s="196"/>
      <c r="S63" s="235">
        <f t="shared" si="7"/>
        <v>704304912.54999995</v>
      </c>
      <c r="T63" s="444">
        <f t="shared" si="6"/>
        <v>10.012864835797554</v>
      </c>
    </row>
    <row r="64" spans="1:21">
      <c r="A64" s="129">
        <v>72</v>
      </c>
      <c r="B64" s="557" t="str">
        <f>+VLOOKUP($A64,Master!$D$30:$G$226,4,FALSE)</f>
        <v>Primici od prodaje imovine</v>
      </c>
      <c r="C64" s="558"/>
      <c r="D64" s="558"/>
      <c r="E64" s="558"/>
      <c r="F64" s="558"/>
      <c r="G64" s="554">
        <v>29140.719999999998</v>
      </c>
      <c r="H64" s="554">
        <v>223106.54</v>
      </c>
      <c r="I64" s="554">
        <v>24726.440000000002</v>
      </c>
      <c r="J64" s="554">
        <v>107366.27000000003</v>
      </c>
      <c r="K64" s="554">
        <v>292415.26</v>
      </c>
      <c r="L64" s="196">
        <v>390561.8</v>
      </c>
      <c r="M64" s="196">
        <v>369935.11</v>
      </c>
      <c r="N64" s="196"/>
      <c r="O64" s="196"/>
      <c r="P64" s="196"/>
      <c r="Q64" s="196"/>
      <c r="R64" s="196"/>
      <c r="S64" s="235">
        <f t="shared" si="7"/>
        <v>1437252.1400000001</v>
      </c>
      <c r="T64" s="444">
        <f t="shared" si="6"/>
        <v>2.0432927779357409E-2</v>
      </c>
    </row>
    <row r="65" spans="1:20">
      <c r="A65" s="129">
        <v>73</v>
      </c>
      <c r="B65" s="591" t="s">
        <v>101</v>
      </c>
      <c r="C65" s="592"/>
      <c r="D65" s="592"/>
      <c r="E65" s="592"/>
      <c r="F65" s="592"/>
      <c r="G65" s="160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2050431.7200000002</v>
      </c>
      <c r="M65" s="160">
        <v>3057323.5199999996</v>
      </c>
      <c r="N65" s="160"/>
      <c r="O65" s="160"/>
      <c r="P65" s="160"/>
      <c r="Q65" s="160"/>
      <c r="R65" s="160"/>
      <c r="S65" s="228">
        <f t="shared" si="7"/>
        <v>13115710.35</v>
      </c>
      <c r="T65" s="437">
        <f t="shared" si="6"/>
        <v>0.18646161998862668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17796050.460000001</v>
      </c>
      <c r="H66" s="210">
        <f t="shared" ref="H66:L66" si="36">-H60-SUM(H62:H65)</f>
        <v>38119866.029999949</v>
      </c>
      <c r="I66" s="210">
        <f t="shared" si="36"/>
        <v>-643418791.22000003</v>
      </c>
      <c r="J66" s="210">
        <f t="shared" si="36"/>
        <v>53601907.329999991</v>
      </c>
      <c r="K66" s="210">
        <f t="shared" si="36"/>
        <v>60773920.230000049</v>
      </c>
      <c r="L66" s="210">
        <f t="shared" si="36"/>
        <v>47561776.769999996</v>
      </c>
      <c r="M66" s="210">
        <f t="shared" ref="M66:S66" si="37">-M60-SUM(M62:M65)</f>
        <v>15684521.379999962</v>
      </c>
      <c r="N66" s="210">
        <f t="shared" si="37"/>
        <v>0</v>
      </c>
      <c r="O66" s="210">
        <f t="shared" si="37"/>
        <v>0</v>
      </c>
      <c r="P66" s="210">
        <f t="shared" si="37"/>
        <v>0</v>
      </c>
      <c r="Q66" s="210">
        <f t="shared" si="37"/>
        <v>0</v>
      </c>
      <c r="R66" s="210">
        <f t="shared" si="37"/>
        <v>0</v>
      </c>
      <c r="S66" s="238">
        <f t="shared" si="37"/>
        <v>-409880749.01999998</v>
      </c>
      <c r="T66" s="448">
        <f t="shared" si="6"/>
        <v>-5.82713603952232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28" t="str">
        <f>+Master!G253</f>
        <v>Plan ostvarenja budžeta</v>
      </c>
      <c r="C83" s="629"/>
      <c r="D83" s="629"/>
      <c r="E83" s="629"/>
      <c r="F83" s="629"/>
      <c r="G83" s="613">
        <v>2024</v>
      </c>
      <c r="H83" s="614"/>
      <c r="I83" s="614"/>
      <c r="J83" s="614"/>
      <c r="K83" s="614"/>
      <c r="L83" s="614"/>
      <c r="M83" s="614"/>
      <c r="N83" s="614"/>
      <c r="O83" s="614"/>
      <c r="P83" s="614"/>
      <c r="Q83" s="614"/>
      <c r="R83" s="615"/>
      <c r="S83" s="96" t="str">
        <f>+S7</f>
        <v>BDP</v>
      </c>
      <c r="T83" s="97">
        <v>7034000000</v>
      </c>
    </row>
    <row r="84" spans="1:26" ht="15.75" customHeight="1">
      <c r="B84" s="630"/>
      <c r="C84" s="631"/>
      <c r="D84" s="631"/>
      <c r="E84" s="631"/>
      <c r="F84" s="632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13" t="str">
        <f>+Master!G247</f>
        <v>Jan - Dec</v>
      </c>
      <c r="T84" s="615">
        <f>+T8</f>
        <v>0</v>
      </c>
    </row>
    <row r="85" spans="1:26" ht="13.5" thickBot="1">
      <c r="B85" s="633"/>
      <c r="C85" s="634"/>
      <c r="D85" s="634"/>
      <c r="E85" s="634"/>
      <c r="F85" s="635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22" t="str">
        <f>+VLOOKUP(LEFT($A86,LEN(A86)-1)*1,Master!$D$30:$G$226,4,FALSE)</f>
        <v>Prihodi budžeta</v>
      </c>
      <c r="C86" s="623"/>
      <c r="D86" s="623"/>
      <c r="E86" s="623"/>
      <c r="F86" s="623"/>
      <c r="G86" s="504">
        <f t="shared" ref="G86:L86" si="43">+G87+G95+SUM(G100:G104)</f>
        <v>148772496.12504369</v>
      </c>
      <c r="H86" s="504">
        <f t="shared" si="43"/>
        <v>158113558.17313686</v>
      </c>
      <c r="I86" s="504">
        <f t="shared" si="43"/>
        <v>226012505.71659711</v>
      </c>
      <c r="J86" s="504">
        <f t="shared" si="43"/>
        <v>276575922.35471165</v>
      </c>
      <c r="K86" s="504">
        <f t="shared" si="43"/>
        <v>202370960.75834674</v>
      </c>
      <c r="L86" s="504">
        <f t="shared" si="43"/>
        <v>221931557.19007117</v>
      </c>
      <c r="M86" s="504">
        <f t="shared" ref="M86:Q86" si="44">+M87+M95+SUM(M100:M104)</f>
        <v>239840109.13525739</v>
      </c>
      <c r="N86" s="504">
        <f t="shared" si="44"/>
        <v>272049279.02293092</v>
      </c>
      <c r="O86" s="504">
        <f t="shared" si="44"/>
        <v>250826710.01184744</v>
      </c>
      <c r="P86" s="504">
        <f t="shared" si="44"/>
        <v>243206119.80349156</v>
      </c>
      <c r="Q86" s="504">
        <f t="shared" si="44"/>
        <v>209400426.87586257</v>
      </c>
      <c r="R86" s="504">
        <f>+R87+R95+SUM(R100:R104)</f>
        <v>268154122.822703</v>
      </c>
      <c r="S86" s="538">
        <f>+SUM(G86:R86)</f>
        <v>2717253767.9899998</v>
      </c>
      <c r="T86" s="539">
        <f>+S86/$T$83*100</f>
        <v>38.630278191498434</v>
      </c>
      <c r="U86" s="243"/>
    </row>
    <row r="87" spans="1:26">
      <c r="A87" s="105" t="str">
        <f t="shared" si="42"/>
        <v>711p</v>
      </c>
      <c r="B87" s="624" t="str">
        <f>+VLOOKUP(LEFT($A87,LEN(A87)-1)*1,Master!$D$30:$G$226,4,FALSE)</f>
        <v>Porezi</v>
      </c>
      <c r="C87" s="625"/>
      <c r="D87" s="625"/>
      <c r="E87" s="625"/>
      <c r="F87" s="625"/>
      <c r="G87" s="540">
        <f t="shared" ref="G87:L87" si="45">+SUM(G88:G94)</f>
        <v>120138427.04115422</v>
      </c>
      <c r="H87" s="540">
        <f t="shared" si="45"/>
        <v>104149284.03317438</v>
      </c>
      <c r="I87" s="540">
        <f t="shared" si="45"/>
        <v>169447357.55468205</v>
      </c>
      <c r="J87" s="540">
        <f t="shared" si="45"/>
        <v>211701078.28476781</v>
      </c>
      <c r="K87" s="540">
        <f t="shared" si="45"/>
        <v>141387167.73744527</v>
      </c>
      <c r="L87" s="540">
        <f t="shared" si="45"/>
        <v>151720280.57414097</v>
      </c>
      <c r="M87" s="540">
        <f t="shared" ref="M87:R87" si="46">+SUM(M88:M94)</f>
        <v>161274945.54288816</v>
      </c>
      <c r="N87" s="540">
        <f t="shared" si="46"/>
        <v>187405726.52360511</v>
      </c>
      <c r="O87" s="540">
        <f t="shared" si="46"/>
        <v>174959844.19682884</v>
      </c>
      <c r="P87" s="540">
        <f t="shared" si="46"/>
        <v>165156163.28658262</v>
      </c>
      <c r="Q87" s="540">
        <f t="shared" si="46"/>
        <v>139953378.33863863</v>
      </c>
      <c r="R87" s="541">
        <f t="shared" si="46"/>
        <v>156175298.44609201</v>
      </c>
      <c r="S87" s="542">
        <f t="shared" ref="S87:S141" si="47">+SUM(G87:R87)</f>
        <v>1883468951.5599999</v>
      </c>
      <c r="T87" s="519">
        <f t="shared" ref="T87:T142" si="48">+S87/$T$83*100</f>
        <v>26.776641335797553</v>
      </c>
      <c r="V87" s="292"/>
    </row>
    <row r="88" spans="1:26">
      <c r="A88" s="105" t="str">
        <f t="shared" si="42"/>
        <v>7111p</v>
      </c>
      <c r="B88" s="626" t="str">
        <f>+VLOOKUP(LEFT($A88,LEN(A88)-1)*1,Master!$D$30:$G$229,4,FALSE)</f>
        <v>Porez na dohodak fizičkih lica</v>
      </c>
      <c r="C88" s="627"/>
      <c r="D88" s="627"/>
      <c r="E88" s="627"/>
      <c r="F88" s="627"/>
      <c r="G88" s="77">
        <v>1801825.5334530019</v>
      </c>
      <c r="H88" s="77">
        <v>4797498.8725749766</v>
      </c>
      <c r="I88" s="77">
        <v>5058808.8901446629</v>
      </c>
      <c r="J88" s="77">
        <v>6551317.4334513247</v>
      </c>
      <c r="K88" s="77">
        <v>6354534.9348088503</v>
      </c>
      <c r="L88" s="77">
        <v>6384865.2399824038</v>
      </c>
      <c r="M88" s="77">
        <v>7316280.3532713847</v>
      </c>
      <c r="N88" s="77">
        <v>7257242.9681147542</v>
      </c>
      <c r="O88" s="77">
        <v>7168345.1062709643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80771569.449999988</v>
      </c>
      <c r="T88" s="436">
        <f t="shared" si="48"/>
        <v>1.1483020962468011</v>
      </c>
      <c r="V88" s="292"/>
    </row>
    <row r="89" spans="1:26">
      <c r="A89" s="105" t="str">
        <f t="shared" si="42"/>
        <v>7112p</v>
      </c>
      <c r="B89" s="626" t="str">
        <f>+VLOOKUP(LEFT($A89,LEN(A89)-1)*1,Master!$D$30:$G$229,4,FALSE)</f>
        <v>Porez na dobit pravnih lica</v>
      </c>
      <c r="C89" s="627"/>
      <c r="D89" s="627"/>
      <c r="E89" s="627"/>
      <c r="F89" s="627"/>
      <c r="G89" s="77">
        <v>1369765.6788657729</v>
      </c>
      <c r="H89" s="77">
        <v>4097750.9290820062</v>
      </c>
      <c r="I89" s="77">
        <v>40990734.989670277</v>
      </c>
      <c r="J89" s="77">
        <v>82072475.918768093</v>
      </c>
      <c r="K89" s="77">
        <v>7598554.4799611485</v>
      </c>
      <c r="L89" s="77">
        <v>5102445.9317580881</v>
      </c>
      <c r="M89" s="77">
        <v>4518923.1926221987</v>
      </c>
      <c r="N89" s="77">
        <v>3667425.793923636</v>
      </c>
      <c r="O89" s="77">
        <v>3031043.3402888682</v>
      </c>
      <c r="P89" s="77">
        <v>3498970.8755320241</v>
      </c>
      <c r="Q89" s="77">
        <v>3851456.9221399422</v>
      </c>
      <c r="R89" s="77">
        <v>4851508.0273879413</v>
      </c>
      <c r="S89" s="101">
        <f t="shared" si="47"/>
        <v>164651056.08000001</v>
      </c>
      <c r="T89" s="436">
        <f t="shared" si="48"/>
        <v>2.3407884003412001</v>
      </c>
      <c r="V89" s="292"/>
    </row>
    <row r="90" spans="1:26">
      <c r="A90" s="105" t="str">
        <f t="shared" si="42"/>
        <v>7113p</v>
      </c>
      <c r="B90" s="626" t="str">
        <f>+VLOOKUP(LEFT($A90,LEN(A90)-1)*1,Master!$D$30:$G$229,4,FALSE)</f>
        <v>Porez na promet nepokretnosti</v>
      </c>
      <c r="C90" s="627"/>
      <c r="D90" s="627"/>
      <c r="E90" s="627"/>
      <c r="F90" s="627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26" t="str">
        <f>+VLOOKUP(LEFT($A91,LEN(A91)-1)*1,Master!$D$30:$G$229,4,FALSE)</f>
        <v>Porez na dodatu vrijednost</v>
      </c>
      <c r="C91" s="627"/>
      <c r="D91" s="627"/>
      <c r="E91" s="627"/>
      <c r="F91" s="627"/>
      <c r="G91" s="77">
        <v>90392579.434542105</v>
      </c>
      <c r="H91" s="77">
        <v>70110183.355581105</v>
      </c>
      <c r="I91" s="77">
        <v>91649985.128395304</v>
      </c>
      <c r="J91" s="77">
        <v>91035705.503332198</v>
      </c>
      <c r="K91" s="77">
        <v>93750264.273905918</v>
      </c>
      <c r="L91" s="77">
        <v>99669954.964028701</v>
      </c>
      <c r="M91" s="77">
        <v>104980576.46239747</v>
      </c>
      <c r="N91" s="77">
        <v>126842944.99737209</v>
      </c>
      <c r="O91" s="77">
        <v>120744196.841892</v>
      </c>
      <c r="P91" s="77">
        <v>115092102.58641601</v>
      </c>
      <c r="Q91" s="77">
        <v>95782845.757082894</v>
      </c>
      <c r="R91" s="77">
        <v>99581108.985054299</v>
      </c>
      <c r="S91" s="101">
        <f t="shared" si="47"/>
        <v>1199632448.2900002</v>
      </c>
      <c r="T91" s="436">
        <f t="shared" si="48"/>
        <v>17.054768954933184</v>
      </c>
      <c r="V91" s="292"/>
    </row>
    <row r="92" spans="1:26">
      <c r="A92" s="105" t="str">
        <f t="shared" si="42"/>
        <v>7115p</v>
      </c>
      <c r="B92" s="626" t="str">
        <f>+VLOOKUP(LEFT($A92,LEN(A92)-1)*1,Master!$D$30:$G$229,4,FALSE)</f>
        <v>Akcize</v>
      </c>
      <c r="C92" s="627"/>
      <c r="D92" s="627"/>
      <c r="E92" s="627"/>
      <c r="F92" s="627"/>
      <c r="G92" s="77">
        <v>22805003.605203237</v>
      </c>
      <c r="H92" s="77">
        <v>20592857.793570951</v>
      </c>
      <c r="I92" s="77">
        <v>25607651.370289065</v>
      </c>
      <c r="J92" s="77">
        <v>26354503.905432209</v>
      </c>
      <c r="K92" s="77">
        <v>27199796.80399929</v>
      </c>
      <c r="L92" s="77">
        <v>33707423.847654335</v>
      </c>
      <c r="M92" s="77">
        <v>37914208.164682284</v>
      </c>
      <c r="N92" s="77">
        <v>42617140.779784925</v>
      </c>
      <c r="O92" s="77">
        <v>37411081.022537023</v>
      </c>
      <c r="P92" s="77">
        <v>31963707.2157037</v>
      </c>
      <c r="Q92" s="77">
        <v>27368867.618220858</v>
      </c>
      <c r="R92" s="77">
        <v>32257757.872922163</v>
      </c>
      <c r="S92" s="101">
        <f t="shared" si="47"/>
        <v>365800000.00000006</v>
      </c>
      <c r="T92" s="436">
        <f t="shared" si="48"/>
        <v>5.2004549331816898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26" t="str">
        <f>+VLOOKUP(LEFT($A93,LEN(A93)-1)*1,Master!$D$30:$G$229,4,FALSE)</f>
        <v>Porez na međunarodnu trgovinu i transakcije</v>
      </c>
      <c r="C93" s="627"/>
      <c r="D93" s="627"/>
      <c r="E93" s="627"/>
      <c r="F93" s="627"/>
      <c r="G93" s="77">
        <v>2756177.5797694027</v>
      </c>
      <c r="H93" s="77">
        <v>3597080.8322044765</v>
      </c>
      <c r="I93" s="77">
        <v>5080642.3039190965</v>
      </c>
      <c r="J93" s="77">
        <v>4566217.8601228138</v>
      </c>
      <c r="K93" s="77">
        <v>5315794.5622604089</v>
      </c>
      <c r="L93" s="77">
        <v>5532491.7635528967</v>
      </c>
      <c r="M93" s="77">
        <v>5355802.238618318</v>
      </c>
      <c r="N93" s="77">
        <v>5706699.2805261482</v>
      </c>
      <c r="O93" s="77">
        <v>5186142.2097657854</v>
      </c>
      <c r="P93" s="77">
        <v>5014923.9993494628</v>
      </c>
      <c r="Q93" s="77">
        <v>4765187.6368120126</v>
      </c>
      <c r="R93" s="77">
        <v>5418029.1830991814</v>
      </c>
      <c r="S93" s="101">
        <f t="shared" si="47"/>
        <v>58295189.450000003</v>
      </c>
      <c r="T93" s="436">
        <f t="shared" si="48"/>
        <v>0.82876300042649986</v>
      </c>
      <c r="V93" s="292"/>
    </row>
    <row r="94" spans="1:26">
      <c r="A94" s="105" t="str">
        <f t="shared" si="42"/>
        <v>7118p</v>
      </c>
      <c r="B94" s="626" t="str">
        <f>+VLOOKUP(LEFT($A94,LEN(A94)-1)*1,Master!$D$30:$G$229,4,FALSE)</f>
        <v>Ostali državni porezi</v>
      </c>
      <c r="C94" s="627"/>
      <c r="D94" s="627"/>
      <c r="E94" s="627"/>
      <c r="F94" s="627"/>
      <c r="G94" s="77">
        <v>1013075.2093207003</v>
      </c>
      <c r="H94" s="77">
        <v>953912.25016085315</v>
      </c>
      <c r="I94" s="77">
        <v>1059534.8722636329</v>
      </c>
      <c r="J94" s="77">
        <v>1120857.6636611964</v>
      </c>
      <c r="K94" s="77">
        <v>1168222.682509661</v>
      </c>
      <c r="L94" s="77">
        <v>1323098.8271645412</v>
      </c>
      <c r="M94" s="77">
        <v>1189155.1312965241</v>
      </c>
      <c r="N94" s="77">
        <v>1314272.7038835543</v>
      </c>
      <c r="O94" s="77">
        <v>1419035.6760742143</v>
      </c>
      <c r="P94" s="77">
        <v>1305475.5819203202</v>
      </c>
      <c r="Q94" s="77">
        <v>1274869.5732153796</v>
      </c>
      <c r="R94" s="77">
        <v>1177178.1185294199</v>
      </c>
      <c r="S94" s="101">
        <f t="shared" si="47"/>
        <v>14318688.289999997</v>
      </c>
      <c r="T94" s="436">
        <f t="shared" si="48"/>
        <v>0.20356395066818306</v>
      </c>
      <c r="V94" s="292"/>
    </row>
    <row r="95" spans="1:26">
      <c r="A95" s="105" t="str">
        <f t="shared" si="42"/>
        <v>712p</v>
      </c>
      <c r="B95" s="636" t="str">
        <f>+VLOOKUP(LEFT($A95,LEN(A95)-1)*1,Master!$D$30:$G$229,4,FALSE)</f>
        <v>Doprinosi</v>
      </c>
      <c r="C95" s="637"/>
      <c r="D95" s="637"/>
      <c r="E95" s="637"/>
      <c r="F95" s="637"/>
      <c r="G95" s="543">
        <f>+SUM(G96:G99)</f>
        <v>16352055.41693222</v>
      </c>
      <c r="H95" s="543">
        <f t="shared" ref="H95:L95" si="49">+SUM(H96:H99)</f>
        <v>43548052.584407724</v>
      </c>
      <c r="I95" s="544">
        <f t="shared" si="49"/>
        <v>44933194.735314272</v>
      </c>
      <c r="J95" s="543">
        <f t="shared" si="49"/>
        <v>50076292.309714273</v>
      </c>
      <c r="K95" s="543">
        <f t="shared" si="49"/>
        <v>48321180.060848266</v>
      </c>
      <c r="L95" s="543">
        <f t="shared" si="49"/>
        <v>50551963.338566609</v>
      </c>
      <c r="M95" s="543">
        <f t="shared" ref="M95:R95" si="50">+SUM(M96:M99)</f>
        <v>50964232.425356537</v>
      </c>
      <c r="N95" s="543">
        <f t="shared" si="50"/>
        <v>52474361.259312101</v>
      </c>
      <c r="O95" s="543">
        <f t="shared" si="50"/>
        <v>50349013.984039314</v>
      </c>
      <c r="P95" s="543">
        <f t="shared" si="50"/>
        <v>54363640.398909025</v>
      </c>
      <c r="Q95" s="543">
        <f t="shared" si="50"/>
        <v>49713551.309563525</v>
      </c>
      <c r="R95" s="545">
        <f t="shared" si="50"/>
        <v>93751510.127036065</v>
      </c>
      <c r="S95" s="546">
        <f t="shared" si="47"/>
        <v>605399047.94999993</v>
      </c>
      <c r="T95" s="522">
        <f t="shared" si="48"/>
        <v>8.6067535961046335</v>
      </c>
      <c r="V95" s="292"/>
    </row>
    <row r="96" spans="1:26">
      <c r="A96" s="105" t="str">
        <f t="shared" si="42"/>
        <v>7121p</v>
      </c>
      <c r="B96" s="626" t="str">
        <f>+VLOOKUP(LEFT($A96,LEN(A96)-1)*1,Master!$D$30:$G$229,4,FALSE)</f>
        <v>Doprinosi za penzijsko i invalidsko osiguranje</v>
      </c>
      <c r="C96" s="627"/>
      <c r="D96" s="627"/>
      <c r="E96" s="627"/>
      <c r="F96" s="627"/>
      <c r="G96" s="77">
        <v>15107540.897000929</v>
      </c>
      <c r="H96" s="77">
        <v>40305437.222684398</v>
      </c>
      <c r="I96" s="77">
        <v>41579529.6672429</v>
      </c>
      <c r="J96" s="77">
        <v>46231459.004317187</v>
      </c>
      <c r="K96" s="77">
        <v>44651588.880563311</v>
      </c>
      <c r="L96" s="77">
        <v>46822646.22277157</v>
      </c>
      <c r="M96" s="77">
        <v>47257904.543847948</v>
      </c>
      <c r="N96" s="77">
        <v>48709049.092347272</v>
      </c>
      <c r="O96" s="77">
        <v>46357711.69623474</v>
      </c>
      <c r="P96" s="77">
        <v>50246198.769257635</v>
      </c>
      <c r="Q96" s="77">
        <v>45838849.938908279</v>
      </c>
      <c r="R96" s="77">
        <v>86674431.954823792</v>
      </c>
      <c r="S96" s="101">
        <f t="shared" si="47"/>
        <v>559782347.88999999</v>
      </c>
      <c r="T96" s="436">
        <f t="shared" si="48"/>
        <v>7.9582363930907025</v>
      </c>
      <c r="V96" s="292"/>
      <c r="W96" s="292"/>
    </row>
    <row r="97" spans="1:23">
      <c r="A97" s="105" t="str">
        <f t="shared" si="42"/>
        <v>7122p</v>
      </c>
      <c r="B97" s="626" t="str">
        <f>+VLOOKUP(LEFT($A97,LEN(A97)-1)*1,Master!$D$30:$G$229,4,FALSE)</f>
        <v>Doprinosi za zdravstveno osiguranje</v>
      </c>
      <c r="C97" s="627"/>
      <c r="D97" s="627"/>
      <c r="E97" s="627"/>
      <c r="F97" s="627"/>
      <c r="G97" s="77">
        <v>128998.53121441192</v>
      </c>
      <c r="H97" s="77">
        <v>275556.51165052858</v>
      </c>
      <c r="I97" s="77">
        <v>180181.08257484142</v>
      </c>
      <c r="J97" s="77">
        <v>229244.65815501672</v>
      </c>
      <c r="K97" s="77">
        <v>255605.92274265984</v>
      </c>
      <c r="L97" s="77">
        <v>237031.78373634661</v>
      </c>
      <c r="M97" s="77">
        <v>208441.15359945668</v>
      </c>
      <c r="N97" s="77">
        <v>183197.86811796174</v>
      </c>
      <c r="O97" s="77">
        <v>439037.7087866519</v>
      </c>
      <c r="P97" s="77">
        <v>198177.17517812611</v>
      </c>
      <c r="Q97" s="77">
        <v>252339.37554671103</v>
      </c>
      <c r="R97" s="77">
        <v>412188.22869728797</v>
      </c>
      <c r="S97" s="101">
        <f t="shared" si="47"/>
        <v>3000000</v>
      </c>
      <c r="T97" s="436">
        <f t="shared" si="48"/>
        <v>4.2649985783338069E-2</v>
      </c>
      <c r="V97" s="292"/>
    </row>
    <row r="98" spans="1:23">
      <c r="A98" s="105" t="str">
        <f t="shared" si="42"/>
        <v>7123p</v>
      </c>
      <c r="B98" s="626" t="str">
        <f>+VLOOKUP(LEFT($A98,LEN(A98)-1)*1,Master!$D$30:$G$229,4,FALSE)</f>
        <v>Doprinosi za osiguranje od nezaposlenosti</v>
      </c>
      <c r="C98" s="627"/>
      <c r="D98" s="627"/>
      <c r="E98" s="627"/>
      <c r="F98" s="627"/>
      <c r="G98" s="77">
        <v>652800.53008117527</v>
      </c>
      <c r="H98" s="77">
        <v>1715642.9051287719</v>
      </c>
      <c r="I98" s="77">
        <v>1754023.8579447954</v>
      </c>
      <c r="J98" s="77">
        <v>1982407.8906747878</v>
      </c>
      <c r="K98" s="77">
        <v>1897711.3195239312</v>
      </c>
      <c r="L98" s="77">
        <v>1960821.9840019587</v>
      </c>
      <c r="M98" s="77">
        <v>1975020.7772685695</v>
      </c>
      <c r="N98" s="77">
        <v>2096351.9564830353</v>
      </c>
      <c r="O98" s="77">
        <v>2032210.9670301753</v>
      </c>
      <c r="P98" s="77">
        <v>2198914.888620181</v>
      </c>
      <c r="Q98" s="77">
        <v>2000429.4325449851</v>
      </c>
      <c r="R98" s="77">
        <v>3731281.5306976326</v>
      </c>
      <c r="S98" s="101">
        <f t="shared" si="47"/>
        <v>23997618.039999995</v>
      </c>
      <c r="T98" s="436">
        <f t="shared" si="48"/>
        <v>0.34116602274665903</v>
      </c>
      <c r="V98" s="292"/>
    </row>
    <row r="99" spans="1:23">
      <c r="A99" s="105" t="str">
        <f t="shared" si="42"/>
        <v>7124p</v>
      </c>
      <c r="B99" s="626" t="str">
        <f>+VLOOKUP(LEFT($A99,LEN(A99)-1)*1,Master!$D$30:$G$229,4,FALSE)</f>
        <v>Ostali doprinosi</v>
      </c>
      <c r="C99" s="627"/>
      <c r="D99" s="627"/>
      <c r="E99" s="627"/>
      <c r="F99" s="627"/>
      <c r="G99" s="77">
        <v>462715.45863570302</v>
      </c>
      <c r="H99" s="77">
        <v>1251415.9449440332</v>
      </c>
      <c r="I99" s="77">
        <v>1419460.1275517347</v>
      </c>
      <c r="J99" s="77">
        <v>1633180.7565672826</v>
      </c>
      <c r="K99" s="77">
        <v>1516273.9380183634</v>
      </c>
      <c r="L99" s="77">
        <v>1531463.3480567331</v>
      </c>
      <c r="M99" s="77">
        <v>1522865.9506405692</v>
      </c>
      <c r="N99" s="77">
        <v>1485762.3423638348</v>
      </c>
      <c r="O99" s="77">
        <v>1520053.6119877459</v>
      </c>
      <c r="P99" s="77">
        <v>1720349.5658530837</v>
      </c>
      <c r="Q99" s="77">
        <v>1621932.5625635546</v>
      </c>
      <c r="R99" s="77">
        <v>2933608.4128173613</v>
      </c>
      <c r="S99" s="101">
        <f t="shared" si="47"/>
        <v>18619082.02</v>
      </c>
      <c r="T99" s="436">
        <f t="shared" si="48"/>
        <v>0.26470119448393514</v>
      </c>
      <c r="V99" s="292"/>
    </row>
    <row r="100" spans="1:23">
      <c r="A100" s="105" t="str">
        <f t="shared" si="42"/>
        <v>713p</v>
      </c>
      <c r="B100" s="636" t="str">
        <f>+VLOOKUP(LEFT($A100,LEN(A100)-1)*1,Master!$D$30:$G$229,4,FALSE)</f>
        <v>Takse</v>
      </c>
      <c r="C100" s="637"/>
      <c r="D100" s="637"/>
      <c r="E100" s="637"/>
      <c r="F100" s="637"/>
      <c r="G100" s="510">
        <v>748860.49593329686</v>
      </c>
      <c r="H100" s="510">
        <v>953485.20987465465</v>
      </c>
      <c r="I100" s="510">
        <v>1089304.8526208741</v>
      </c>
      <c r="J100" s="510">
        <v>1026263.3154744842</v>
      </c>
      <c r="K100" s="510">
        <v>1352524.7555279485</v>
      </c>
      <c r="L100" s="510">
        <v>1432990.8665296927</v>
      </c>
      <c r="M100" s="510">
        <v>1590359.9048749318</v>
      </c>
      <c r="N100" s="510">
        <v>1811559.3329411284</v>
      </c>
      <c r="O100" s="510">
        <v>1526095.1346786334</v>
      </c>
      <c r="P100" s="510">
        <v>1507019.7783381043</v>
      </c>
      <c r="Q100" s="510">
        <v>1214632.6297800925</v>
      </c>
      <c r="R100" s="510">
        <v>1598448.2234261595</v>
      </c>
      <c r="S100" s="546">
        <f t="shared" si="47"/>
        <v>15851544.500000004</v>
      </c>
      <c r="T100" s="522">
        <f t="shared" si="48"/>
        <v>0.2253560491896503</v>
      </c>
      <c r="V100" s="292"/>
    </row>
    <row r="101" spans="1:23">
      <c r="A101" s="105" t="str">
        <f t="shared" si="42"/>
        <v>714p</v>
      </c>
      <c r="B101" s="636" t="str">
        <f>+VLOOKUP(LEFT($A101,LEN(A101)-1)*1,Master!$D$30:$G$229,4,FALSE)</f>
        <v>Naknade</v>
      </c>
      <c r="C101" s="637"/>
      <c r="D101" s="637"/>
      <c r="E101" s="637"/>
      <c r="F101" s="637"/>
      <c r="G101" s="510">
        <v>2682300.8007396669</v>
      </c>
      <c r="H101" s="510">
        <v>3068842.3901493941</v>
      </c>
      <c r="I101" s="510">
        <v>3887539.9432760077</v>
      </c>
      <c r="J101" s="510">
        <v>3944624.4181581014</v>
      </c>
      <c r="K101" s="510">
        <v>4975153.702935664</v>
      </c>
      <c r="L101" s="510">
        <v>5391338.4291397706</v>
      </c>
      <c r="M101" s="510">
        <v>4551170.0714253988</v>
      </c>
      <c r="N101" s="510">
        <v>6300259.5139867421</v>
      </c>
      <c r="O101" s="510">
        <v>4876357.2568455562</v>
      </c>
      <c r="P101" s="510">
        <v>7715065.1027632868</v>
      </c>
      <c r="Q101" s="510">
        <v>9181200.883062087</v>
      </c>
      <c r="R101" s="510">
        <v>6249228.1375183258</v>
      </c>
      <c r="S101" s="546">
        <f t="shared" si="47"/>
        <v>62823080.649999999</v>
      </c>
      <c r="T101" s="522">
        <f t="shared" si="48"/>
        <v>0.89313449886266705</v>
      </c>
      <c r="V101" s="292"/>
    </row>
    <row r="102" spans="1:23">
      <c r="A102" s="105" t="str">
        <f t="shared" si="42"/>
        <v>715p</v>
      </c>
      <c r="B102" s="636" t="str">
        <f>+VLOOKUP(LEFT($A102,LEN(A102)-1)*1,Master!$D$30:$G$229,4,FALSE)</f>
        <v>Ostali prihodi</v>
      </c>
      <c r="C102" s="637"/>
      <c r="D102" s="637"/>
      <c r="E102" s="637"/>
      <c r="F102" s="637"/>
      <c r="G102" s="510">
        <v>4850852.370284291</v>
      </c>
      <c r="H102" s="510">
        <v>4543893.9555307049</v>
      </c>
      <c r="I102" s="510">
        <v>5155108.6307039</v>
      </c>
      <c r="J102" s="510">
        <v>8577664.0265969969</v>
      </c>
      <c r="K102" s="510">
        <v>4181225.1038118028</v>
      </c>
      <c r="L102" s="510">
        <v>8484983.9839163478</v>
      </c>
      <c r="M102" s="510">
        <v>17098272.995156821</v>
      </c>
      <c r="N102" s="510">
        <v>20053662.995308049</v>
      </c>
      <c r="O102" s="510">
        <v>14711690.041677319</v>
      </c>
      <c r="P102" s="510">
        <v>10010521.839120742</v>
      </c>
      <c r="Q102" s="510">
        <v>4813954.3170404471</v>
      </c>
      <c r="R102" s="510">
        <v>5929313.0708526587</v>
      </c>
      <c r="S102" s="546">
        <f t="shared" si="47"/>
        <v>108411143.33000009</v>
      </c>
      <c r="T102" s="522">
        <f t="shared" si="48"/>
        <v>1.5412445739266434</v>
      </c>
      <c r="V102" s="292"/>
    </row>
    <row r="103" spans="1:23">
      <c r="A103" s="105" t="str">
        <f t="shared" si="42"/>
        <v>73p</v>
      </c>
      <c r="B103" s="636" t="str">
        <f>+VLOOKUP(LEFT($A103,LEN(A103)-1)*1,Master!$D$30:$G$229,4,FALSE)</f>
        <v>Primici od otplate kredita i sredstva prenesena iz prethodne godine</v>
      </c>
      <c r="C103" s="637"/>
      <c r="D103" s="637"/>
      <c r="E103" s="637"/>
      <c r="F103" s="637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38" t="str">
        <f>+VLOOKUP(LEFT($A104,LEN(A104)-1)*1,Master!$D$30:$G$229,4,FALSE)</f>
        <v>Donacije i transferi</v>
      </c>
      <c r="C104" s="639"/>
      <c r="D104" s="639"/>
      <c r="E104" s="639"/>
      <c r="F104" s="639"/>
      <c r="G104" s="510">
        <v>4000000</v>
      </c>
      <c r="H104" s="510">
        <v>1850000</v>
      </c>
      <c r="I104" s="510">
        <v>1500000</v>
      </c>
      <c r="J104" s="510">
        <v>1250000</v>
      </c>
      <c r="K104" s="510">
        <v>2153709.39777778</v>
      </c>
      <c r="L104" s="510">
        <v>4349999.9977777796</v>
      </c>
      <c r="M104" s="510">
        <v>4361128.1955555324</v>
      </c>
      <c r="N104" s="510">
        <v>4003709.39777778</v>
      </c>
      <c r="O104" s="510">
        <v>4403709.39777778</v>
      </c>
      <c r="P104" s="510">
        <v>4453709.39777778</v>
      </c>
      <c r="Q104" s="510">
        <v>4523709.39777778</v>
      </c>
      <c r="R104" s="510">
        <v>4450324.8177777799</v>
      </c>
      <c r="S104" s="547">
        <f t="shared" si="47"/>
        <v>41300000</v>
      </c>
      <c r="T104" s="524">
        <f t="shared" si="48"/>
        <v>0.58714813761728746</v>
      </c>
      <c r="V104" s="292"/>
    </row>
    <row r="105" spans="1:23" ht="13.5" thickBot="1">
      <c r="A105" s="105" t="str">
        <f t="shared" si="42"/>
        <v>4p</v>
      </c>
      <c r="B105" s="622" t="str">
        <f>+VLOOKUP(LEFT($A105,LEN(A105)-1)*1,Master!$D$30:$G$229,4,FALSE)</f>
        <v>Izdaci budžeta</v>
      </c>
      <c r="C105" s="623"/>
      <c r="D105" s="623"/>
      <c r="E105" s="623"/>
      <c r="F105" s="623"/>
      <c r="G105" s="505">
        <f t="shared" ref="G105:L105" si="51">+G106+G116+G122+SUM(G123:G127)</f>
        <v>184919053.78499997</v>
      </c>
      <c r="H105" s="505">
        <f t="shared" si="51"/>
        <v>232561234.48499998</v>
      </c>
      <c r="I105" s="505">
        <f t="shared" si="51"/>
        <v>238081263.40500003</v>
      </c>
      <c r="J105" s="505">
        <f t="shared" si="51"/>
        <v>255682841.11500001</v>
      </c>
      <c r="K105" s="505">
        <f t="shared" si="51"/>
        <v>241962982.43500003</v>
      </c>
      <c r="L105" s="505">
        <f t="shared" si="51"/>
        <v>234003907.77500001</v>
      </c>
      <c r="M105" s="505">
        <f t="shared" ref="M105:R105" si="52">+M106+M116+M122+SUM(M123:M127)</f>
        <v>264700451.39499998</v>
      </c>
      <c r="N105" s="505">
        <f t="shared" si="52"/>
        <v>232010503.685</v>
      </c>
      <c r="O105" s="505">
        <f t="shared" si="52"/>
        <v>242368363.40499997</v>
      </c>
      <c r="P105" s="505">
        <f t="shared" si="52"/>
        <v>248749473.49499997</v>
      </c>
      <c r="Q105" s="505">
        <f t="shared" si="52"/>
        <v>263598346.51499999</v>
      </c>
      <c r="R105" s="505">
        <f t="shared" si="52"/>
        <v>314228950.07499999</v>
      </c>
      <c r="S105" s="548">
        <f>+SUM(G105:R105)</f>
        <v>2952867371.5699997</v>
      </c>
      <c r="T105" s="549">
        <f t="shared" si="48"/>
        <v>41.979917139181119</v>
      </c>
      <c r="V105" s="275"/>
    </row>
    <row r="106" spans="1:23">
      <c r="A106" s="105" t="str">
        <f t="shared" si="42"/>
        <v>41p</v>
      </c>
      <c r="B106" s="640" t="str">
        <f>+VLOOKUP(LEFT($A106,LEN(A106)-1)*1,Master!$D$30:$G$229,4,FALSE)</f>
        <v>Tekući izdaci</v>
      </c>
      <c r="C106" s="641"/>
      <c r="D106" s="641"/>
      <c r="E106" s="641"/>
      <c r="F106" s="641"/>
      <c r="G106" s="511">
        <f t="shared" ref="G106:L106" si="53">+SUM(G107:G115)</f>
        <v>87878650.644999996</v>
      </c>
      <c r="H106" s="511">
        <f t="shared" si="53"/>
        <v>86906152.424999982</v>
      </c>
      <c r="I106" s="511">
        <f t="shared" si="53"/>
        <v>95451885.045000017</v>
      </c>
      <c r="J106" s="511">
        <f t="shared" si="53"/>
        <v>106856668.84499998</v>
      </c>
      <c r="K106" s="511">
        <f t="shared" si="53"/>
        <v>97851421.115000039</v>
      </c>
      <c r="L106" s="511">
        <f t="shared" si="53"/>
        <v>89489132.13499999</v>
      </c>
      <c r="M106" s="511">
        <f t="shared" ref="M106:R106" si="54">+SUM(M107:M115)</f>
        <v>93027671.495000005</v>
      </c>
      <c r="N106" s="511">
        <f t="shared" si="54"/>
        <v>85997595.745000005</v>
      </c>
      <c r="O106" s="511">
        <f t="shared" si="54"/>
        <v>93577491.554999977</v>
      </c>
      <c r="P106" s="511">
        <f t="shared" si="54"/>
        <v>102706807.965</v>
      </c>
      <c r="Q106" s="511">
        <f t="shared" si="54"/>
        <v>96849062.034999996</v>
      </c>
      <c r="R106" s="512">
        <f t="shared" si="54"/>
        <v>129450330.31499998</v>
      </c>
      <c r="S106" s="542">
        <f t="shared" si="47"/>
        <v>1166042869.3199999</v>
      </c>
      <c r="T106" s="519">
        <f t="shared" si="48"/>
        <v>16.577237266420244</v>
      </c>
      <c r="V106" s="275"/>
      <c r="W106" s="275"/>
    </row>
    <row r="107" spans="1:23">
      <c r="A107" s="105" t="str">
        <f t="shared" si="42"/>
        <v>411p</v>
      </c>
      <c r="B107" s="626" t="str">
        <f>+VLOOKUP(LEFT($A107,LEN(A107)-1)*1,Master!$D$30:$G$229,4,FALSE)</f>
        <v>Bruto zarade i doprinosi na teret poslodavca</v>
      </c>
      <c r="C107" s="627"/>
      <c r="D107" s="627"/>
      <c r="E107" s="627"/>
      <c r="F107" s="627"/>
      <c r="G107" s="77">
        <v>57236559.594999999</v>
      </c>
      <c r="H107" s="77">
        <v>55816093.644999981</v>
      </c>
      <c r="I107" s="77">
        <v>56488796.335000001</v>
      </c>
      <c r="J107" s="77">
        <v>56489142.515000008</v>
      </c>
      <c r="K107" s="77">
        <v>56540382.745000005</v>
      </c>
      <c r="L107" s="77">
        <v>56491886.404999994</v>
      </c>
      <c r="M107" s="77">
        <v>56491988.854999997</v>
      </c>
      <c r="N107" s="77">
        <v>56492266.684999995</v>
      </c>
      <c r="O107" s="77">
        <v>56492339.675000004</v>
      </c>
      <c r="P107" s="77">
        <v>56496440.484999992</v>
      </c>
      <c r="Q107" s="77">
        <v>56495043.11500001</v>
      </c>
      <c r="R107" s="77">
        <v>56488380.25499998</v>
      </c>
      <c r="S107" s="101">
        <f t="shared" si="47"/>
        <v>678019320.31000006</v>
      </c>
      <c r="T107" s="436">
        <f t="shared" si="48"/>
        <v>9.6391714573500149</v>
      </c>
      <c r="V107" s="488"/>
    </row>
    <row r="108" spans="1:23">
      <c r="A108" s="105" t="str">
        <f t="shared" si="42"/>
        <v>412p</v>
      </c>
      <c r="B108" s="626" t="str">
        <f>+VLOOKUP(LEFT($A108,LEN(A108)-1)*1,Master!$D$30:$G$229,4,FALSE)</f>
        <v>Ostala lična primanja</v>
      </c>
      <c r="C108" s="627"/>
      <c r="D108" s="627"/>
      <c r="E108" s="627"/>
      <c r="F108" s="627"/>
      <c r="G108" s="77">
        <v>2100463.6400000006</v>
      </c>
      <c r="H108" s="77">
        <v>1740741.4700000007</v>
      </c>
      <c r="I108" s="77">
        <v>1753124.9700000007</v>
      </c>
      <c r="J108" s="77">
        <v>1673330.2600000009</v>
      </c>
      <c r="K108" s="77">
        <v>1703169.2100000009</v>
      </c>
      <c r="L108" s="77">
        <v>1690210.7300000009</v>
      </c>
      <c r="M108" s="77">
        <v>1580765.9100000006</v>
      </c>
      <c r="N108" s="77">
        <v>1509788.27</v>
      </c>
      <c r="O108" s="77">
        <v>1478140.4400000002</v>
      </c>
      <c r="P108" s="77">
        <v>1471283.5899999999</v>
      </c>
      <c r="Q108" s="77">
        <v>1474746.63</v>
      </c>
      <c r="R108" s="77">
        <v>1592508.5300000003</v>
      </c>
      <c r="S108" s="101">
        <f t="shared" si="47"/>
        <v>19768273.650000006</v>
      </c>
      <c r="T108" s="436">
        <f t="shared" si="48"/>
        <v>0.28103886337787892</v>
      </c>
      <c r="V108" s="488"/>
    </row>
    <row r="109" spans="1:23">
      <c r="A109" s="105" t="str">
        <f t="shared" si="42"/>
        <v>413p</v>
      </c>
      <c r="B109" s="626" t="str">
        <f>+VLOOKUP(LEFT($A109,LEN(A109)-1)*1,Master!$D$30:$G$229,4,FALSE)</f>
        <v>Rashodi za materijal</v>
      </c>
      <c r="C109" s="627"/>
      <c r="D109" s="627"/>
      <c r="E109" s="627"/>
      <c r="F109" s="627"/>
      <c r="G109" s="77">
        <v>2592981.6999999997</v>
      </c>
      <c r="H109" s="77">
        <v>4515110.08</v>
      </c>
      <c r="I109" s="77">
        <v>4746218.3499999987</v>
      </c>
      <c r="J109" s="77">
        <v>3300771.2399999998</v>
      </c>
      <c r="K109" s="77">
        <v>3656056.06</v>
      </c>
      <c r="L109" s="77">
        <v>3933495.0999999992</v>
      </c>
      <c r="M109" s="77">
        <v>3252425.830000001</v>
      </c>
      <c r="N109" s="77">
        <v>4247306.54</v>
      </c>
      <c r="O109" s="77">
        <v>4898294.7299999995</v>
      </c>
      <c r="P109" s="77">
        <v>4877488.2399999993</v>
      </c>
      <c r="Q109" s="77">
        <v>3741414.1999999993</v>
      </c>
      <c r="R109" s="77">
        <v>8382271.0100000016</v>
      </c>
      <c r="S109" s="101">
        <f t="shared" si="47"/>
        <v>52143833.079999998</v>
      </c>
      <c r="T109" s="436">
        <f t="shared" si="48"/>
        <v>0.74131124651691782</v>
      </c>
      <c r="V109" s="488"/>
    </row>
    <row r="110" spans="1:23">
      <c r="A110" s="105" t="str">
        <f t="shared" si="42"/>
        <v>414p</v>
      </c>
      <c r="B110" s="626" t="str">
        <f>+VLOOKUP(LEFT($A110,LEN(A110)-1)*1,Master!$D$30:$G$229,4,FALSE)</f>
        <v>Rashodi za usluge</v>
      </c>
      <c r="C110" s="627"/>
      <c r="D110" s="627"/>
      <c r="E110" s="627"/>
      <c r="F110" s="627"/>
      <c r="G110" s="77">
        <v>3340743.4700000011</v>
      </c>
      <c r="H110" s="77">
        <v>6097662.4100000001</v>
      </c>
      <c r="I110" s="77">
        <v>5978418.9100000011</v>
      </c>
      <c r="J110" s="77">
        <v>5854559.3200000003</v>
      </c>
      <c r="K110" s="77">
        <v>5703795.0300000012</v>
      </c>
      <c r="L110" s="77">
        <v>6644319.4900000021</v>
      </c>
      <c r="M110" s="77">
        <v>6131057.3700000001</v>
      </c>
      <c r="N110" s="77">
        <v>5400846.6300000008</v>
      </c>
      <c r="O110" s="77">
        <v>6228111.6400000025</v>
      </c>
      <c r="P110" s="77">
        <v>6383895.8200000003</v>
      </c>
      <c r="Q110" s="77">
        <v>5837864.5599999996</v>
      </c>
      <c r="R110" s="77">
        <v>9975968.3799999971</v>
      </c>
      <c r="S110" s="101">
        <f t="shared" si="47"/>
        <v>73577243.030000016</v>
      </c>
      <c r="T110" s="436">
        <f t="shared" si="48"/>
        <v>1.0460227897355703</v>
      </c>
      <c r="V110" s="488"/>
    </row>
    <row r="111" spans="1:23">
      <c r="A111" s="105" t="str">
        <f t="shared" si="42"/>
        <v>415p</v>
      </c>
      <c r="B111" s="626" t="str">
        <f>+VLOOKUP(LEFT($A111,LEN(A111)-1)*1,Master!$D$30:$G$229,4,FALSE)</f>
        <v>Rashodi za tekuće održavanje</v>
      </c>
      <c r="C111" s="627"/>
      <c r="D111" s="627"/>
      <c r="E111" s="627"/>
      <c r="F111" s="627"/>
      <c r="G111" s="77">
        <v>1533230.38</v>
      </c>
      <c r="H111" s="77">
        <v>2906620.62</v>
      </c>
      <c r="I111" s="77">
        <v>3471949</v>
      </c>
      <c r="J111" s="77">
        <v>2074494.46</v>
      </c>
      <c r="K111" s="77">
        <v>2536527.75</v>
      </c>
      <c r="L111" s="77">
        <v>2985743.0999999996</v>
      </c>
      <c r="M111" s="77">
        <v>3203540.1100000003</v>
      </c>
      <c r="N111" s="77">
        <v>3414396.59</v>
      </c>
      <c r="O111" s="77">
        <v>2851647.1499999985</v>
      </c>
      <c r="P111" s="77">
        <v>4359813.2799999993</v>
      </c>
      <c r="Q111" s="77">
        <v>3607336.46</v>
      </c>
      <c r="R111" s="77">
        <v>6711210.7199999997</v>
      </c>
      <c r="S111" s="101">
        <f t="shared" si="47"/>
        <v>39656509.619999997</v>
      </c>
      <c r="T111" s="436">
        <f t="shared" si="48"/>
        <v>0.56378319050326986</v>
      </c>
      <c r="V111" s="488"/>
    </row>
    <row r="112" spans="1:23">
      <c r="A112" s="105" t="str">
        <f t="shared" si="42"/>
        <v>416p</v>
      </c>
      <c r="B112" s="626" t="str">
        <f>+VLOOKUP(LEFT($A112,LEN(A112)-1)*1,Master!$D$30:$G$229,4,FALSE)</f>
        <v>Kamate</v>
      </c>
      <c r="C112" s="627"/>
      <c r="D112" s="627"/>
      <c r="E112" s="627"/>
      <c r="F112" s="627"/>
      <c r="G112" s="77">
        <v>7863506.3399999999</v>
      </c>
      <c r="H112" s="77">
        <v>3853520.3899999992</v>
      </c>
      <c r="I112" s="77">
        <v>7002612.4900000021</v>
      </c>
      <c r="J112" s="77">
        <v>25979515.719999999</v>
      </c>
      <c r="K112" s="77">
        <v>14697879.240000002</v>
      </c>
      <c r="L112" s="77">
        <v>5859746.7600000016</v>
      </c>
      <c r="M112" s="77">
        <v>7379836.4300000006</v>
      </c>
      <c r="N112" s="77">
        <v>3537784.6200000006</v>
      </c>
      <c r="O112" s="77">
        <v>5550692.9700000016</v>
      </c>
      <c r="P112" s="77">
        <v>17060783.899999999</v>
      </c>
      <c r="Q112" s="77">
        <v>12954508.439999999</v>
      </c>
      <c r="R112" s="77">
        <v>26653631.520000003</v>
      </c>
      <c r="S112" s="101">
        <f t="shared" si="47"/>
        <v>138394018.82000002</v>
      </c>
      <c r="T112" s="436">
        <f t="shared" si="48"/>
        <v>1.9675009783906743</v>
      </c>
      <c r="V112" s="488"/>
    </row>
    <row r="113" spans="1:22">
      <c r="A113" s="105" t="str">
        <f t="shared" si="42"/>
        <v>417p</v>
      </c>
      <c r="B113" s="626" t="str">
        <f>+VLOOKUP(LEFT($A113,LEN(A113)-1)*1,Master!$D$30:$G$229,4,FALSE)</f>
        <v>Renta</v>
      </c>
      <c r="C113" s="627"/>
      <c r="D113" s="627"/>
      <c r="E113" s="627"/>
      <c r="F113" s="627"/>
      <c r="G113" s="77">
        <v>1176076.0799999998</v>
      </c>
      <c r="H113" s="77">
        <v>1161701.6599999999</v>
      </c>
      <c r="I113" s="77">
        <v>1156431.0099999998</v>
      </c>
      <c r="J113" s="77">
        <v>1194352.0699999998</v>
      </c>
      <c r="K113" s="77">
        <v>1202203.7899999998</v>
      </c>
      <c r="L113" s="77">
        <v>1154047.0699999998</v>
      </c>
      <c r="M113" s="77">
        <v>1152607.0699999998</v>
      </c>
      <c r="N113" s="77">
        <v>1139907.0699999998</v>
      </c>
      <c r="O113" s="77">
        <v>1137807.0699999998</v>
      </c>
      <c r="P113" s="77">
        <v>1136957.1399999997</v>
      </c>
      <c r="Q113" s="77">
        <v>1144485.0599999998</v>
      </c>
      <c r="R113" s="77">
        <v>1103438.5100000002</v>
      </c>
      <c r="S113" s="101">
        <f t="shared" si="47"/>
        <v>13860013.600000001</v>
      </c>
      <c r="T113" s="436">
        <f t="shared" si="48"/>
        <v>0.19704312766562412</v>
      </c>
      <c r="V113" s="488"/>
    </row>
    <row r="114" spans="1:22">
      <c r="A114" s="105" t="str">
        <f t="shared" si="42"/>
        <v>418p</v>
      </c>
      <c r="B114" s="626" t="str">
        <f>+VLOOKUP(LEFT($A114,LEN(A114)-1)*1,Master!$D$30:$G$229,4,FALSE)</f>
        <v>Subvencije</v>
      </c>
      <c r="C114" s="627"/>
      <c r="D114" s="627"/>
      <c r="E114" s="627"/>
      <c r="F114" s="627"/>
      <c r="G114" s="77">
        <v>2842083.57</v>
      </c>
      <c r="H114" s="77">
        <v>3401967.33</v>
      </c>
      <c r="I114" s="77">
        <v>6003432.1100000013</v>
      </c>
      <c r="J114" s="77">
        <v>4923572.21</v>
      </c>
      <c r="K114" s="77">
        <v>6362355.2300000004</v>
      </c>
      <c r="L114" s="77">
        <v>4867109.51</v>
      </c>
      <c r="M114" s="77">
        <v>6273241.120000001</v>
      </c>
      <c r="N114" s="77">
        <v>5041530.7700000005</v>
      </c>
      <c r="O114" s="77">
        <v>7541341.7899999982</v>
      </c>
      <c r="P114" s="77">
        <v>4558113.120000001</v>
      </c>
      <c r="Q114" s="77">
        <v>6140335.8600000003</v>
      </c>
      <c r="R114" s="77">
        <v>9191186.3399999943</v>
      </c>
      <c r="S114" s="101">
        <f t="shared" si="47"/>
        <v>67146268.959999993</v>
      </c>
      <c r="T114" s="436">
        <f t="shared" si="48"/>
        <v>0.95459580551606471</v>
      </c>
      <c r="V114" s="488"/>
    </row>
    <row r="115" spans="1:22">
      <c r="A115" s="105" t="str">
        <f t="shared" si="42"/>
        <v>419p</v>
      </c>
      <c r="B115" s="626" t="str">
        <f>+VLOOKUP(LEFT($A115,LEN(A115)-1)*1,Master!$D$30:$G$229,4,FALSE)</f>
        <v>Ostali izdaci</v>
      </c>
      <c r="C115" s="627"/>
      <c r="D115" s="627"/>
      <c r="E115" s="627"/>
      <c r="F115" s="627"/>
      <c r="G115" s="77">
        <v>9193005.8699999992</v>
      </c>
      <c r="H115" s="77">
        <v>7412734.8200000003</v>
      </c>
      <c r="I115" s="77">
        <v>8850901.870000001</v>
      </c>
      <c r="J115" s="77">
        <v>5366931.0500000007</v>
      </c>
      <c r="K115" s="77">
        <v>5449052.0600000005</v>
      </c>
      <c r="L115" s="77">
        <v>5862573.9700000007</v>
      </c>
      <c r="M115" s="77">
        <v>7562208.8000000007</v>
      </c>
      <c r="N115" s="77">
        <v>5213768.57</v>
      </c>
      <c r="O115" s="77">
        <v>7399116.0900000017</v>
      </c>
      <c r="P115" s="77">
        <v>6362032.3899999997</v>
      </c>
      <c r="Q115" s="77">
        <v>5453327.71</v>
      </c>
      <c r="R115" s="77">
        <v>9351735.0500000026</v>
      </c>
      <c r="S115" s="101">
        <f t="shared" si="47"/>
        <v>83477388.249999985</v>
      </c>
      <c r="T115" s="436">
        <f t="shared" si="48"/>
        <v>1.1867698073642308</v>
      </c>
      <c r="V115" s="488"/>
    </row>
    <row r="116" spans="1:22">
      <c r="A116" s="105" t="str">
        <f t="shared" si="42"/>
        <v>42p</v>
      </c>
      <c r="B116" s="646" t="str">
        <f>+VLOOKUP(LEFT($A116,LEN(A116)-1)*1,Master!$D$30:$G$229,4,FALSE)</f>
        <v>Transferi za socijalnu zaštitu</v>
      </c>
      <c r="C116" s="647"/>
      <c r="D116" s="647"/>
      <c r="E116" s="647"/>
      <c r="F116" s="647"/>
      <c r="G116" s="507">
        <f t="shared" ref="G116:L116" si="55">+SUM(G117:G121)</f>
        <v>75443525</v>
      </c>
      <c r="H116" s="507">
        <f t="shared" si="55"/>
        <v>84394445.159999996</v>
      </c>
      <c r="I116" s="507">
        <f t="shared" si="55"/>
        <v>83399809.099999994</v>
      </c>
      <c r="J116" s="507">
        <f t="shared" si="55"/>
        <v>83769996.049999997</v>
      </c>
      <c r="K116" s="507">
        <f t="shared" si="55"/>
        <v>83769996.049999997</v>
      </c>
      <c r="L116" s="507">
        <f t="shared" si="55"/>
        <v>87049024.140000001</v>
      </c>
      <c r="M116" s="507">
        <f t="shared" ref="M116:R116" si="56">+SUM(M117:M121)</f>
        <v>85963012.349999994</v>
      </c>
      <c r="N116" s="507">
        <f t="shared" si="56"/>
        <v>86096697.659999996</v>
      </c>
      <c r="O116" s="507">
        <f t="shared" si="56"/>
        <v>86097697.659999996</v>
      </c>
      <c r="P116" s="507">
        <f t="shared" si="56"/>
        <v>86972569.239999995</v>
      </c>
      <c r="Q116" s="507">
        <f t="shared" si="56"/>
        <v>86972569.239999995</v>
      </c>
      <c r="R116" s="507">
        <f t="shared" si="56"/>
        <v>81090155.569999993</v>
      </c>
      <c r="S116" s="546">
        <f t="shared" si="47"/>
        <v>1011019497.22</v>
      </c>
      <c r="T116" s="522">
        <f t="shared" si="48"/>
        <v>14.373322394370202</v>
      </c>
      <c r="V116" s="292"/>
    </row>
    <row r="117" spans="1:22">
      <c r="A117" s="105" t="str">
        <f t="shared" si="42"/>
        <v>421p</v>
      </c>
      <c r="B117" s="626" t="str">
        <f>+VLOOKUP(LEFT($A117,LEN(A117)-1)*1,Master!$D$30:$G$229,4,FALSE)</f>
        <v>Prava iz oblasti socijalne zaštite</v>
      </c>
      <c r="C117" s="627"/>
      <c r="D117" s="627"/>
      <c r="E117" s="627"/>
      <c r="F117" s="627"/>
      <c r="G117" s="499">
        <v>18712760.859999999</v>
      </c>
      <c r="H117" s="499">
        <v>17947481.420000002</v>
      </c>
      <c r="I117" s="499">
        <v>17207107.52</v>
      </c>
      <c r="J117" s="499">
        <v>17577294.469999999</v>
      </c>
      <c r="K117" s="499">
        <v>17577294.469999999</v>
      </c>
      <c r="L117" s="499">
        <v>17577294.469999999</v>
      </c>
      <c r="M117" s="499">
        <v>17577294.469999999</v>
      </c>
      <c r="N117" s="499">
        <v>17577294.469999999</v>
      </c>
      <c r="O117" s="499">
        <v>17577294.469999999</v>
      </c>
      <c r="P117" s="499">
        <v>17577294.469999999</v>
      </c>
      <c r="Q117" s="499">
        <v>17577294.469999999</v>
      </c>
      <c r="R117" s="499">
        <v>17577294.440000001</v>
      </c>
      <c r="S117" s="101">
        <f t="shared" si="47"/>
        <v>212062999.99999997</v>
      </c>
      <c r="T117" s="436">
        <f t="shared" si="48"/>
        <v>3.0148279783906733</v>
      </c>
      <c r="V117" s="488"/>
    </row>
    <row r="118" spans="1:22">
      <c r="A118" s="105" t="str">
        <f t="shared" ref="A118:A134" si="57">+CONCATENATE(A42,"p")</f>
        <v>422p</v>
      </c>
      <c r="B118" s="626" t="str">
        <f>+VLOOKUP(LEFT($A118,LEN(A118)-1)*1,Master!$D$30:$G$229,4,FALSE)</f>
        <v>Sredstva za tehnološke viškove</v>
      </c>
      <c r="C118" s="627"/>
      <c r="D118" s="627"/>
      <c r="E118" s="627"/>
      <c r="F118" s="627"/>
      <c r="G118" s="499">
        <v>2092191.6600000001</v>
      </c>
      <c r="H118" s="499">
        <v>2092191.6600000001</v>
      </c>
      <c r="I118" s="499">
        <v>2092191.6600000001</v>
      </c>
      <c r="J118" s="499">
        <v>2092191.6600000001</v>
      </c>
      <c r="K118" s="499">
        <v>2092191.6600000001</v>
      </c>
      <c r="L118" s="499">
        <v>2092191.6600000001</v>
      </c>
      <c r="M118" s="499">
        <v>2092191.6600000001</v>
      </c>
      <c r="N118" s="499">
        <v>2092191.6600000001</v>
      </c>
      <c r="O118" s="499">
        <v>2092191.6600000001</v>
      </c>
      <c r="P118" s="499">
        <v>2092191.6600000001</v>
      </c>
      <c r="Q118" s="499">
        <v>2092191.6600000001</v>
      </c>
      <c r="R118" s="499">
        <v>2092191.7400000002</v>
      </c>
      <c r="S118" s="101">
        <f t="shared" si="47"/>
        <v>25106300</v>
      </c>
      <c r="T118" s="436">
        <f t="shared" si="48"/>
        <v>0.35692777935740688</v>
      </c>
      <c r="V118" s="488"/>
    </row>
    <row r="119" spans="1:22">
      <c r="A119" s="105" t="str">
        <f t="shared" si="57"/>
        <v>423p</v>
      </c>
      <c r="B119" s="626" t="str">
        <f>+VLOOKUP(LEFT($A119,LEN(A119)-1)*1,Master!$D$30:$G$229,4,FALSE)</f>
        <v>Prava iz oblasti penzijskog i invalidskog osiguranja</v>
      </c>
      <c r="C119" s="627"/>
      <c r="D119" s="627"/>
      <c r="E119" s="627"/>
      <c r="F119" s="627"/>
      <c r="G119" s="499">
        <v>51583572.480000004</v>
      </c>
      <c r="H119" s="499">
        <v>61299772.079999998</v>
      </c>
      <c r="I119" s="499">
        <v>61045509.920000002</v>
      </c>
      <c r="J119" s="499">
        <v>61045509.920000002</v>
      </c>
      <c r="K119" s="499">
        <v>61045509.920000002</v>
      </c>
      <c r="L119" s="499">
        <v>64324538.009999998</v>
      </c>
      <c r="M119" s="499">
        <v>63238526.219999999</v>
      </c>
      <c r="N119" s="499">
        <v>63372211.530000001</v>
      </c>
      <c r="O119" s="499">
        <v>63373211.530000001</v>
      </c>
      <c r="P119" s="499">
        <v>64248083.109999999</v>
      </c>
      <c r="Q119" s="499">
        <v>64248083.109999999</v>
      </c>
      <c r="R119" s="499">
        <v>58365669.389999993</v>
      </c>
      <c r="S119" s="101">
        <f t="shared" si="47"/>
        <v>737190197.22000003</v>
      </c>
      <c r="T119" s="436">
        <f t="shared" si="48"/>
        <v>10.48038381034973</v>
      </c>
      <c r="V119" s="488"/>
    </row>
    <row r="120" spans="1:22">
      <c r="A120" s="105" t="str">
        <f t="shared" si="57"/>
        <v>424p</v>
      </c>
      <c r="B120" s="626" t="str">
        <f>+VLOOKUP(LEFT($A120,LEN(A120)-1)*1,Master!$D$30:$G$229,4,FALSE)</f>
        <v>Ostala prava iz oblasti zdravstvene zaštite</v>
      </c>
      <c r="C120" s="627"/>
      <c r="D120" s="627"/>
      <c r="E120" s="627"/>
      <c r="F120" s="627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1755000</v>
      </c>
      <c r="M120" s="499">
        <v>1755000</v>
      </c>
      <c r="N120" s="499">
        <v>1755000</v>
      </c>
      <c r="O120" s="499">
        <v>1755000</v>
      </c>
      <c r="P120" s="499">
        <v>1755000</v>
      </c>
      <c r="Q120" s="499">
        <v>1755000</v>
      </c>
      <c r="R120" s="499">
        <v>1755000</v>
      </c>
      <c r="S120" s="101">
        <f t="shared" si="47"/>
        <v>21060000</v>
      </c>
      <c r="T120" s="436">
        <f t="shared" si="48"/>
        <v>0.29940290019903326</v>
      </c>
      <c r="V120" s="488"/>
    </row>
    <row r="121" spans="1:22">
      <c r="A121" s="105" t="str">
        <f t="shared" si="57"/>
        <v>425p</v>
      </c>
      <c r="B121" s="626" t="str">
        <f>+VLOOKUP(LEFT($A121,LEN(A121)-1)*1,Master!$D$30:$G$229,4,FALSE)</f>
        <v>Ostala prava iz zdravstvenog osiguranja</v>
      </c>
      <c r="C121" s="627"/>
      <c r="D121" s="627"/>
      <c r="E121" s="627"/>
      <c r="F121" s="627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1300000</v>
      </c>
      <c r="N121" s="499">
        <v>1300000</v>
      </c>
      <c r="O121" s="499">
        <v>1300000</v>
      </c>
      <c r="P121" s="499">
        <v>1300000</v>
      </c>
      <c r="Q121" s="499">
        <v>1300000</v>
      </c>
      <c r="R121" s="499">
        <v>1300000</v>
      </c>
      <c r="S121" s="101">
        <f t="shared" si="47"/>
        <v>15600000</v>
      </c>
      <c r="T121" s="436">
        <f t="shared" si="48"/>
        <v>0.22177992607335795</v>
      </c>
      <c r="V121" s="488"/>
    </row>
    <row r="122" spans="1:22">
      <c r="A122" s="105" t="str">
        <f t="shared" si="57"/>
        <v>43p</v>
      </c>
      <c r="B122" s="642" t="str">
        <f>+VLOOKUP(LEFT($A122,LEN(A122)-1)*1,Master!$D$30:$G$229,4,FALSE)</f>
        <v xml:space="preserve">Transferi institucijama, pojedincima, nevladinom i javnom sektoru </v>
      </c>
      <c r="C122" s="643"/>
      <c r="D122" s="643"/>
      <c r="E122" s="643"/>
      <c r="F122" s="643"/>
      <c r="G122" s="510">
        <v>15240044.790000003</v>
      </c>
      <c r="H122" s="510">
        <v>42312688.720000006</v>
      </c>
      <c r="I122" s="510">
        <v>37042176.149999999</v>
      </c>
      <c r="J122" s="510">
        <v>34958741.610000007</v>
      </c>
      <c r="K122" s="510">
        <v>37678023.580000006</v>
      </c>
      <c r="L122" s="510">
        <v>34190161.800000004</v>
      </c>
      <c r="M122" s="510">
        <v>45619705.909999996</v>
      </c>
      <c r="N122" s="510">
        <v>34678448.779999994</v>
      </c>
      <c r="O122" s="510">
        <v>37482586.479999997</v>
      </c>
      <c r="P122" s="510">
        <v>33245009.419999998</v>
      </c>
      <c r="Q122" s="510">
        <v>32522248.050000001</v>
      </c>
      <c r="R122" s="510">
        <v>30088892.829999998</v>
      </c>
      <c r="S122" s="546">
        <f>+SUM(G122:R122)</f>
        <v>415058728.12000006</v>
      </c>
      <c r="T122" s="522">
        <f t="shared" si="48"/>
        <v>5.9007496178561283</v>
      </c>
      <c r="V122" s="488"/>
    </row>
    <row r="123" spans="1:22">
      <c r="A123" s="105" t="str">
        <f t="shared" si="57"/>
        <v>44p</v>
      </c>
      <c r="B123" s="642" t="str">
        <f>+VLOOKUP(LEFT($A123,LEN(A123)-1)*1,Master!$D$30:$G$229,4,FALSE)</f>
        <v>Kapitalni izdaci</v>
      </c>
      <c r="C123" s="643"/>
      <c r="D123" s="643"/>
      <c r="E123" s="643"/>
      <c r="F123" s="643"/>
      <c r="G123" s="510">
        <v>4245371.3800000018</v>
      </c>
      <c r="H123" s="510">
        <v>15541125.270000001</v>
      </c>
      <c r="I123" s="510">
        <v>15136141.080000002</v>
      </c>
      <c r="J123" s="510">
        <v>17196664.280000001</v>
      </c>
      <c r="K123" s="510">
        <v>17164187.290000007</v>
      </c>
      <c r="L123" s="510">
        <v>19765724.190000005</v>
      </c>
      <c r="M123" s="510">
        <v>23529457.550000001</v>
      </c>
      <c r="N123" s="510">
        <v>19891820.990000002</v>
      </c>
      <c r="O123" s="510">
        <v>23471698.850000001</v>
      </c>
      <c r="P123" s="510">
        <v>21978883.32</v>
      </c>
      <c r="Q123" s="510">
        <v>43693719.969999999</v>
      </c>
      <c r="R123" s="510">
        <v>52895384.790000007</v>
      </c>
      <c r="S123" s="546">
        <f>+SUM(G123:R123)</f>
        <v>274510178.95999998</v>
      </c>
      <c r="T123" s="522">
        <f t="shared" si="48"/>
        <v>3.9026184100085302</v>
      </c>
      <c r="U123" s="292"/>
      <c r="V123" s="488"/>
    </row>
    <row r="124" spans="1:22">
      <c r="A124" s="105" t="str">
        <f t="shared" si="57"/>
        <v>451p</v>
      </c>
      <c r="B124" s="644" t="str">
        <f>+VLOOKUP(LEFT($A124,LEN(A124)-1)*1,Master!$D$30:$G$229,4,FALSE)</f>
        <v>Pozajmice i krediti</v>
      </c>
      <c r="C124" s="645"/>
      <c r="D124" s="645"/>
      <c r="E124" s="645"/>
      <c r="F124" s="645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44" t="str">
        <f>+VLOOKUP(LEFT($A125,LEN(A125)-1)*1,Master!$D$30:$G$229,4,FALSE)</f>
        <v>Rezerve</v>
      </c>
      <c r="C125" s="645"/>
      <c r="D125" s="645"/>
      <c r="E125" s="645"/>
      <c r="F125" s="645"/>
      <c r="G125" s="501">
        <v>0</v>
      </c>
      <c r="H125" s="501">
        <v>661809.78</v>
      </c>
      <c r="I125" s="501">
        <v>5125404.93</v>
      </c>
      <c r="J125" s="501">
        <v>11177691.52</v>
      </c>
      <c r="K125" s="501">
        <v>3559533.49</v>
      </c>
      <c r="L125" s="501">
        <v>1492299.3</v>
      </c>
      <c r="M125" s="501">
        <v>14834317.01</v>
      </c>
      <c r="N125" s="501">
        <v>3648971.46</v>
      </c>
      <c r="O125" s="501">
        <v>33326.18</v>
      </c>
      <c r="P125" s="501">
        <v>2096508.51</v>
      </c>
      <c r="Q125" s="501">
        <v>224133.9</v>
      </c>
      <c r="R125" s="501">
        <v>18026003.920000002</v>
      </c>
      <c r="S125" s="101">
        <f t="shared" si="47"/>
        <v>60880000</v>
      </c>
      <c r="T125" s="436">
        <f t="shared" si="48"/>
        <v>0.86551037816320719</v>
      </c>
      <c r="U125" s="292"/>
      <c r="V125" s="488"/>
    </row>
    <row r="126" spans="1:22">
      <c r="A126" s="105" t="str">
        <f t="shared" si="57"/>
        <v>462p</v>
      </c>
      <c r="B126" s="644" t="str">
        <f>+VLOOKUP(LEFT($A126,LEN(A126)-1)*1,Master!$D$30:$G$229,4,FALSE)</f>
        <v>Otplata garancija</v>
      </c>
      <c r="C126" s="645"/>
      <c r="D126" s="645"/>
      <c r="E126" s="645"/>
      <c r="F126" s="645"/>
      <c r="G126" s="499">
        <v>2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</v>
      </c>
      <c r="P126" s="499">
        <v>0</v>
      </c>
      <c r="Q126" s="499">
        <v>0</v>
      </c>
      <c r="R126" s="499">
        <v>0</v>
      </c>
      <c r="S126" s="101">
        <f t="shared" si="47"/>
        <v>2</v>
      </c>
      <c r="T126" s="436">
        <f t="shared" si="48"/>
        <v>2.8433323855558715E-8</v>
      </c>
      <c r="U126" s="292"/>
      <c r="V126" s="488"/>
    </row>
    <row r="127" spans="1:22">
      <c r="A127" s="106" t="str">
        <f t="shared" si="57"/>
        <v>4630p</v>
      </c>
      <c r="B127" s="644" t="str">
        <f>+VLOOKUP(LEFT($A127,LEN(A127)-1)*1,Master!$D$30:$G$229,4,FALSE)</f>
        <v>Otplata obaveza iz prethodnog perioda</v>
      </c>
      <c r="C127" s="645"/>
      <c r="D127" s="645"/>
      <c r="E127" s="645"/>
      <c r="F127" s="645"/>
      <c r="G127" s="502">
        <v>2111459.9700000007</v>
      </c>
      <c r="H127" s="501">
        <v>2745013.1300000013</v>
      </c>
      <c r="I127" s="501">
        <v>1925847.0999999996</v>
      </c>
      <c r="J127" s="501">
        <v>1723078.81</v>
      </c>
      <c r="K127" s="501">
        <v>1939820.9100000001</v>
      </c>
      <c r="L127" s="501">
        <v>2017566.2100000002</v>
      </c>
      <c r="M127" s="501">
        <v>1726287.08</v>
      </c>
      <c r="N127" s="501">
        <v>1696969.05</v>
      </c>
      <c r="O127" s="501">
        <v>1705562.68</v>
      </c>
      <c r="P127" s="501">
        <v>1749695.04</v>
      </c>
      <c r="Q127" s="501">
        <v>3336613.3200000012</v>
      </c>
      <c r="R127" s="501">
        <v>2678182.65</v>
      </c>
      <c r="S127" s="92">
        <f>+SUM(G127:R127)</f>
        <v>25356095.950000003</v>
      </c>
      <c r="T127" s="444">
        <f t="shared" si="48"/>
        <v>0.36047904392948538</v>
      </c>
      <c r="U127" s="292"/>
      <c r="V127" s="488"/>
    </row>
    <row r="128" spans="1:22" ht="13.5" thickBot="1">
      <c r="A128" s="105" t="str">
        <f t="shared" si="57"/>
        <v>1005p</v>
      </c>
      <c r="B128" s="644" t="str">
        <f>+VLOOKUP(LEFT($A128,LEN(A128)-1)*1,Master!$D$30:$G$229,4,FALSE)</f>
        <v>Neto povećanje obaveza</v>
      </c>
      <c r="C128" s="645"/>
      <c r="D128" s="645"/>
      <c r="E128" s="645"/>
      <c r="F128" s="645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52" t="str">
        <f>+VLOOKUP(LEFT($A129,LEN(A129)-1)*1,Master!$D$30:$G$226,4,FALSE)</f>
        <v>Suficit / deficit</v>
      </c>
      <c r="C129" s="653"/>
      <c r="D129" s="653"/>
      <c r="E129" s="653"/>
      <c r="F129" s="653"/>
      <c r="G129" s="504">
        <f t="shared" ref="G129:L129" si="58">+G86-G105</f>
        <v>-36146557.659956276</v>
      </c>
      <c r="H129" s="505">
        <f t="shared" si="58"/>
        <v>-74447676.311863124</v>
      </c>
      <c r="I129" s="504">
        <f t="shared" si="58"/>
        <v>-12068757.688402921</v>
      </c>
      <c r="J129" s="504">
        <f t="shared" si="58"/>
        <v>20893081.239711642</v>
      </c>
      <c r="K129" s="504">
        <f t="shared" si="58"/>
        <v>-39592021.676653296</v>
      </c>
      <c r="L129" s="504">
        <f t="shared" si="58"/>
        <v>-12072350.58492884</v>
      </c>
      <c r="M129" s="504">
        <f t="shared" ref="M129:R129" si="59">+M86-M105</f>
        <v>-24860342.259742588</v>
      </c>
      <c r="N129" s="504">
        <f t="shared" si="59"/>
        <v>40038775.337930918</v>
      </c>
      <c r="O129" s="504">
        <f t="shared" si="59"/>
        <v>8458346.606847465</v>
      </c>
      <c r="P129" s="504">
        <f t="shared" si="59"/>
        <v>-5543353.6915084124</v>
      </c>
      <c r="Q129" s="504">
        <f t="shared" si="59"/>
        <v>-54197919.639137417</v>
      </c>
      <c r="R129" s="504">
        <f t="shared" si="59"/>
        <v>-46074827.252296984</v>
      </c>
      <c r="S129" s="550">
        <f t="shared" si="47"/>
        <v>-235613603.57999983</v>
      </c>
      <c r="T129" s="531">
        <f t="shared" si="48"/>
        <v>-3.3496389476826813</v>
      </c>
      <c r="U129" s="292"/>
      <c r="V129" s="292"/>
    </row>
    <row r="130" spans="1:22" ht="13.5" thickBot="1">
      <c r="A130" s="106" t="str">
        <f t="shared" si="57"/>
        <v>1001p</v>
      </c>
      <c r="B130" s="654" t="str">
        <f>+VLOOKUP(LEFT($A130,LEN(A130)-1)*1,Master!$D$30:$G$226,4,FALSE)</f>
        <v>Primarni suficit/deficit</v>
      </c>
      <c r="C130" s="655"/>
      <c r="D130" s="655"/>
      <c r="E130" s="655"/>
      <c r="F130" s="655"/>
      <c r="G130" s="506">
        <f>+G129+G112</f>
        <v>-28283051.319956277</v>
      </c>
      <c r="H130" s="506">
        <f t="shared" ref="H130:L130" si="60">+H129+H112</f>
        <v>-70594155.921863124</v>
      </c>
      <c r="I130" s="506">
        <f t="shared" si="60"/>
        <v>-5066145.1984029189</v>
      </c>
      <c r="J130" s="506">
        <f t="shared" si="60"/>
        <v>46872596.959711641</v>
      </c>
      <c r="K130" s="506">
        <f t="shared" si="60"/>
        <v>-24894142.436653294</v>
      </c>
      <c r="L130" s="506">
        <f t="shared" si="60"/>
        <v>-6212603.8249288388</v>
      </c>
      <c r="M130" s="506">
        <f t="shared" ref="M130:R130" si="61">+M129+M112</f>
        <v>-17480505.829742588</v>
      </c>
      <c r="N130" s="506">
        <f t="shared" si="61"/>
        <v>43576559.957930915</v>
      </c>
      <c r="O130" s="506">
        <f t="shared" si="61"/>
        <v>14009039.576847468</v>
      </c>
      <c r="P130" s="506">
        <f t="shared" si="61"/>
        <v>11517430.208491586</v>
      </c>
      <c r="Q130" s="506">
        <f t="shared" si="61"/>
        <v>-41243411.199137419</v>
      </c>
      <c r="R130" s="506">
        <f t="shared" si="61"/>
        <v>-19421195.732296981</v>
      </c>
      <c r="S130" s="550">
        <f t="shared" si="47"/>
        <v>-97219584.759999812</v>
      </c>
      <c r="T130" s="531">
        <f t="shared" si="48"/>
        <v>-1.3821379692920075</v>
      </c>
      <c r="U130" s="292"/>
      <c r="V130" s="292"/>
    </row>
    <row r="131" spans="1:22">
      <c r="A131" s="106" t="str">
        <f t="shared" si="57"/>
        <v>46p</v>
      </c>
      <c r="B131" s="646" t="str">
        <f>+VLOOKUP(LEFT($A131,LEN(A131)-1)*1,Master!$D$30:$G$226,4,FALSE)</f>
        <v>Otplata dugova</v>
      </c>
      <c r="C131" s="647"/>
      <c r="D131" s="647"/>
      <c r="E131" s="647"/>
      <c r="F131" s="647"/>
      <c r="G131" s="507">
        <f>+SUM(G132:G133)</f>
        <v>35630564.469999999</v>
      </c>
      <c r="H131" s="507">
        <f t="shared" ref="H131:L131" si="62">+SUM(H132:H133)</f>
        <v>7154150.5</v>
      </c>
      <c r="I131" s="507">
        <f t="shared" si="62"/>
        <v>60631846.180000007</v>
      </c>
      <c r="J131" s="507">
        <f t="shared" si="62"/>
        <v>108888546.09</v>
      </c>
      <c r="K131" s="507">
        <f t="shared" si="62"/>
        <v>55363179.799999997</v>
      </c>
      <c r="L131" s="507">
        <f t="shared" si="62"/>
        <v>53121043.689999998</v>
      </c>
      <c r="M131" s="508">
        <f t="shared" ref="M131" si="63">+SUM(M132:M133)</f>
        <v>36154424.719999999</v>
      </c>
      <c r="N131" s="507">
        <f t="shared" ref="N131:R131" si="64">+SUM(N132:N133)</f>
        <v>7862619.1600000001</v>
      </c>
      <c r="O131" s="507">
        <f t="shared" si="64"/>
        <v>45456209.350000001</v>
      </c>
      <c r="P131" s="507">
        <f t="shared" si="64"/>
        <v>15064801.279999999</v>
      </c>
      <c r="Q131" s="507">
        <f t="shared" si="64"/>
        <v>55442433.469999999</v>
      </c>
      <c r="R131" s="507">
        <f t="shared" si="64"/>
        <v>37949577.590000004</v>
      </c>
      <c r="S131" s="551">
        <f t="shared" si="47"/>
        <v>518719396.30000007</v>
      </c>
      <c r="T131" s="533">
        <f t="shared" si="48"/>
        <v>7.3744582925789031</v>
      </c>
      <c r="U131" s="292"/>
      <c r="V131" s="292"/>
    </row>
    <row r="132" spans="1:22">
      <c r="A132" s="106" t="str">
        <f t="shared" si="57"/>
        <v>4611p</v>
      </c>
      <c r="B132" s="650" t="str">
        <f>+VLOOKUP(LEFT($A132,LEN(A132)-1)*1,Master!$D$30:$G$226,4,FALSE)</f>
        <v>Otplata hartija od vrijednosti i kredita rezidentima</v>
      </c>
      <c r="C132" s="651"/>
      <c r="D132" s="651"/>
      <c r="E132" s="651"/>
      <c r="F132" s="651"/>
      <c r="G132" s="502">
        <v>2501123.7999999998</v>
      </c>
      <c r="H132" s="502">
        <v>2954258.2399999998</v>
      </c>
      <c r="I132" s="502">
        <v>23478199.010000002</v>
      </c>
      <c r="J132" s="502">
        <v>94983890.560000002</v>
      </c>
      <c r="K132" s="502">
        <v>9862224.459999999</v>
      </c>
      <c r="L132" s="502">
        <v>30959521.580000002</v>
      </c>
      <c r="M132" s="503">
        <v>2591776.0299999998</v>
      </c>
      <c r="N132" s="503">
        <v>3040506.12</v>
      </c>
      <c r="O132" s="503">
        <v>13592239.709999999</v>
      </c>
      <c r="P132" s="503">
        <v>2636972.52</v>
      </c>
      <c r="Q132" s="503">
        <v>9977461.7899999991</v>
      </c>
      <c r="R132" s="503">
        <v>16241222.48</v>
      </c>
      <c r="S132" s="92">
        <f t="shared" si="47"/>
        <v>212819396.30000001</v>
      </c>
      <c r="T132" s="444">
        <f t="shared" si="48"/>
        <v>3.0255814088711972</v>
      </c>
      <c r="U132" s="292"/>
      <c r="V132" s="292"/>
    </row>
    <row r="133" spans="1:22" ht="13.5" thickBot="1">
      <c r="A133" s="106" t="str">
        <f t="shared" si="57"/>
        <v>4612p</v>
      </c>
      <c r="B133" s="644" t="str">
        <f>+VLOOKUP(LEFT($A133,LEN(A133)-1)*1,Master!$D$30:$G$226,4,FALSE)</f>
        <v>Otplata hartija od vrijednosti i kredita nerezidentima</v>
      </c>
      <c r="C133" s="645"/>
      <c r="D133" s="645"/>
      <c r="E133" s="645"/>
      <c r="F133" s="645"/>
      <c r="G133" s="502">
        <v>33129440.670000002</v>
      </c>
      <c r="H133" s="502">
        <v>4199892.26</v>
      </c>
      <c r="I133" s="502">
        <v>37153647.170000002</v>
      </c>
      <c r="J133" s="502">
        <v>13904655.529999999</v>
      </c>
      <c r="K133" s="502">
        <v>45500955.339999996</v>
      </c>
      <c r="L133" s="502">
        <v>22161522.109999999</v>
      </c>
      <c r="M133" s="503">
        <v>33562648.689999998</v>
      </c>
      <c r="N133" s="503">
        <v>4822113.04</v>
      </c>
      <c r="O133" s="503">
        <v>31863969.640000001</v>
      </c>
      <c r="P133" s="503">
        <v>12427828.76</v>
      </c>
      <c r="Q133" s="503">
        <v>45464971.68</v>
      </c>
      <c r="R133" s="503">
        <v>21708355.109999999</v>
      </c>
      <c r="S133" s="92">
        <f t="shared" si="47"/>
        <v>305900000</v>
      </c>
      <c r="T133" s="444">
        <f t="shared" si="48"/>
        <v>4.3488768837077059</v>
      </c>
      <c r="U133" s="292"/>
      <c r="V133" s="292"/>
    </row>
    <row r="134" spans="1:22" ht="13.5" thickBot="1">
      <c r="A134" s="106" t="str">
        <f t="shared" si="57"/>
        <v>4418p</v>
      </c>
      <c r="B134" s="622" t="str">
        <f>+VLOOKUP(LEFT($A134,LEN(A134)-1)*1,Master!$D$30:$G$226,4,FALSE)</f>
        <v>Izdaci za kupovinu hartija od vrijednosti</v>
      </c>
      <c r="C134" s="623"/>
      <c r="D134" s="623"/>
      <c r="E134" s="623"/>
      <c r="F134" s="623"/>
      <c r="G134" s="504">
        <v>0.16</v>
      </c>
      <c r="H134" s="504">
        <v>0.16</v>
      </c>
      <c r="I134" s="504">
        <v>0.16</v>
      </c>
      <c r="J134" s="504">
        <v>1200000.1599999999</v>
      </c>
      <c r="K134" s="504">
        <v>0.16</v>
      </c>
      <c r="L134" s="504">
        <v>1000000.16</v>
      </c>
      <c r="M134" s="504">
        <v>0.16</v>
      </c>
      <c r="N134" s="504">
        <v>0.16</v>
      </c>
      <c r="O134" s="504">
        <v>0.16</v>
      </c>
      <c r="P134" s="504">
        <v>0.16</v>
      </c>
      <c r="Q134" s="504">
        <v>0.16</v>
      </c>
      <c r="R134" s="504">
        <v>79000.239999999991</v>
      </c>
      <c r="S134" s="550">
        <f t="shared" si="47"/>
        <v>2279002.0000000009</v>
      </c>
      <c r="T134" s="531">
        <f t="shared" si="48"/>
        <v>3.2399800966733026E-2</v>
      </c>
      <c r="U134" s="292"/>
      <c r="V134" s="292"/>
    </row>
    <row r="135" spans="1:22" ht="13.5" thickBot="1">
      <c r="A135" s="106" t="s">
        <v>856</v>
      </c>
      <c r="B135" s="622" t="s">
        <v>113</v>
      </c>
      <c r="C135" s="623"/>
      <c r="D135" s="623"/>
      <c r="E135" s="623"/>
      <c r="F135" s="623"/>
      <c r="G135" s="500">
        <v>6.24</v>
      </c>
      <c r="H135" s="500">
        <v>1111649.98</v>
      </c>
      <c r="I135" s="500">
        <v>0.24</v>
      </c>
      <c r="J135" s="500">
        <v>491625.72</v>
      </c>
      <c r="K135" s="500">
        <v>524490.84</v>
      </c>
      <c r="L135" s="500">
        <v>453253.16</v>
      </c>
      <c r="M135" s="500">
        <v>460435.14</v>
      </c>
      <c r="N135" s="500">
        <v>0.24</v>
      </c>
      <c r="O135" s="500">
        <v>497757.56</v>
      </c>
      <c r="P135" s="500">
        <v>446294.08999999997</v>
      </c>
      <c r="Q135" s="500">
        <v>0.24</v>
      </c>
      <c r="R135" s="500">
        <v>514495.55</v>
      </c>
      <c r="S135" s="550">
        <f t="shared" si="47"/>
        <v>4500009.0000000009</v>
      </c>
      <c r="T135" s="531">
        <f t="shared" si="48"/>
        <v>6.3975106624964473E-2</v>
      </c>
      <c r="U135" s="292"/>
      <c r="V135" s="292"/>
    </row>
    <row r="136" spans="1:22" ht="13.5" thickBot="1">
      <c r="A136" s="106" t="str">
        <f>+CONCATENATE(A60,"p")</f>
        <v>1002p</v>
      </c>
      <c r="B136" s="648" t="str">
        <f>+VLOOKUP(LEFT($A136,LEN(A136)-1)*1,Master!$D$30:$G$226,4,FALSE)</f>
        <v>Nedostajuća sredstva</v>
      </c>
      <c r="C136" s="649"/>
      <c r="D136" s="649"/>
      <c r="E136" s="649"/>
      <c r="F136" s="649"/>
      <c r="G136" s="509">
        <f>+G129-G131-G134-G135</f>
        <v>-71777128.529956266</v>
      </c>
      <c r="H136" s="509">
        <f t="shared" ref="H136:R136" si="65">+H129-H131-H134-H135</f>
        <v>-82713476.951863125</v>
      </c>
      <c r="I136" s="509">
        <f t="shared" si="65"/>
        <v>-72700604.268402919</v>
      </c>
      <c r="J136" s="509">
        <f t="shared" si="65"/>
        <v>-89687090.730288357</v>
      </c>
      <c r="K136" s="509">
        <f t="shared" si="65"/>
        <v>-95479692.476653293</v>
      </c>
      <c r="L136" s="509">
        <f t="shared" si="65"/>
        <v>-66646647.594928831</v>
      </c>
      <c r="M136" s="509">
        <f t="shared" si="65"/>
        <v>-61475202.279742584</v>
      </c>
      <c r="N136" s="509">
        <f t="shared" si="65"/>
        <v>32176155.777930919</v>
      </c>
      <c r="O136" s="509">
        <f t="shared" si="65"/>
        <v>-37495620.463152535</v>
      </c>
      <c r="P136" s="509">
        <f t="shared" si="65"/>
        <v>-21054449.221508414</v>
      </c>
      <c r="Q136" s="509">
        <f t="shared" si="65"/>
        <v>-109640353.50913741</v>
      </c>
      <c r="R136" s="509">
        <f t="shared" si="65"/>
        <v>-84617900.632296979</v>
      </c>
      <c r="S136" s="552">
        <f t="shared" si="47"/>
        <v>-761112010.87999988</v>
      </c>
      <c r="T136" s="535">
        <f t="shared" si="48"/>
        <v>-10.820472147853282</v>
      </c>
      <c r="U136" s="292"/>
      <c r="V136" s="292"/>
    </row>
    <row r="137" spans="1:22" ht="13.5" thickBot="1">
      <c r="A137" s="106" t="str">
        <f>+CONCATENATE(A61,"p")</f>
        <v>1003p</v>
      </c>
      <c r="B137" s="622" t="str">
        <f>+VLOOKUP(LEFT($A137,LEN(A137)-1)*1,Master!$D$30:$G$226,4,FALSE)</f>
        <v>Finansiranje</v>
      </c>
      <c r="C137" s="623"/>
      <c r="D137" s="623"/>
      <c r="E137" s="623"/>
      <c r="F137" s="623"/>
      <c r="G137" s="504">
        <f t="shared" ref="G137:L137" si="66">+SUM(G138:G142)</f>
        <v>71777128.529956266</v>
      </c>
      <c r="H137" s="504">
        <f t="shared" si="66"/>
        <v>82713476.951863125</v>
      </c>
      <c r="I137" s="504">
        <f t="shared" si="66"/>
        <v>72700604.268402934</v>
      </c>
      <c r="J137" s="504">
        <f t="shared" si="66"/>
        <v>89687090.730288357</v>
      </c>
      <c r="K137" s="504">
        <f t="shared" si="66"/>
        <v>95479692.476653293</v>
      </c>
      <c r="L137" s="504">
        <f t="shared" si="66"/>
        <v>66646647.594928831</v>
      </c>
      <c r="M137" s="504">
        <f t="shared" ref="M137:R137" si="67">+SUM(M138:M142)</f>
        <v>61475202.279742584</v>
      </c>
      <c r="N137" s="504">
        <f t="shared" si="67"/>
        <v>-32176155.777930923</v>
      </c>
      <c r="O137" s="504">
        <f t="shared" si="67"/>
        <v>37495620.463152535</v>
      </c>
      <c r="P137" s="504">
        <f t="shared" si="67"/>
        <v>21054449.221508414</v>
      </c>
      <c r="Q137" s="504">
        <f t="shared" si="67"/>
        <v>109640353.50913741</v>
      </c>
      <c r="R137" s="504">
        <f t="shared" si="67"/>
        <v>84617900.632296979</v>
      </c>
      <c r="S137" s="553">
        <f t="shared" si="47"/>
        <v>761112010.87999988</v>
      </c>
      <c r="T137" s="537">
        <f t="shared" si="48"/>
        <v>10.820472147853282</v>
      </c>
      <c r="U137" s="292"/>
      <c r="V137" s="292"/>
    </row>
    <row r="138" spans="1:22">
      <c r="A138" s="106" t="str">
        <f>+CONCATENATE(A62,"p")</f>
        <v>7511p</v>
      </c>
      <c r="B138" s="650" t="str">
        <f>+VLOOKUP(LEFT($A138,LEN(A138)-1)*1,Master!$D$30:$G$226,4,FALSE)</f>
        <v>Pozajmice i krediti od domaćih izvora</v>
      </c>
      <c r="C138" s="651"/>
      <c r="D138" s="651"/>
      <c r="E138" s="651"/>
      <c r="F138" s="651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44" t="str">
        <f>+VLOOKUP(LEFT($A139,LEN(A139)-1)*1,Master!$D$30:$G$226,4,FALSE)</f>
        <v>Pozajmice i krediti od inostranih izvora</v>
      </c>
      <c r="C139" s="645"/>
      <c r="D139" s="645"/>
      <c r="E139" s="645"/>
      <c r="F139" s="645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12.325845891384702</v>
      </c>
      <c r="U139" s="292"/>
      <c r="V139" s="292"/>
    </row>
    <row r="140" spans="1:22">
      <c r="A140" s="106" t="str">
        <f>+CONCATENATE(A64,"p")</f>
        <v>72p</v>
      </c>
      <c r="B140" s="644" t="str">
        <f>+VLOOKUP(LEFT($A140,LEN(A140)-1)*1,Master!$D$30:$G$226,4,FALSE)</f>
        <v>Primici od prodaje imovine</v>
      </c>
      <c r="C140" s="645"/>
      <c r="D140" s="645"/>
      <c r="E140" s="645"/>
      <c r="F140" s="645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8.5299971566676139E-2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0.13858265567244812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71195606.193441555</v>
      </c>
      <c r="H142" s="86">
        <f t="shared" ref="H142:R142" si="69">-H136-SUM(H138:H141)</f>
        <v>81767503.838747412</v>
      </c>
      <c r="I142" s="86">
        <f t="shared" si="69"/>
        <v>-615102543.24089813</v>
      </c>
      <c r="J142" s="86">
        <f t="shared" si="69"/>
        <v>88775419.438368663</v>
      </c>
      <c r="K142" s="86">
        <f t="shared" si="69"/>
        <v>94026473.66647625</v>
      </c>
      <c r="L142" s="86">
        <f t="shared" si="69"/>
        <v>64615717.002232969</v>
      </c>
      <c r="M142" s="86">
        <f t="shared" si="69"/>
        <v>-119183517.58451484</v>
      </c>
      <c r="N142" s="86">
        <f t="shared" si="69"/>
        <v>-34203608.743059181</v>
      </c>
      <c r="O142" s="86">
        <f t="shared" si="69"/>
        <v>36779183.653442524</v>
      </c>
      <c r="P142" s="86">
        <f t="shared" si="69"/>
        <v>20291262.531748489</v>
      </c>
      <c r="Q142" s="86">
        <f t="shared" si="69"/>
        <v>107436761.03342117</v>
      </c>
      <c r="R142" s="86">
        <f t="shared" si="69"/>
        <v>81965849.090592906</v>
      </c>
      <c r="S142" s="94">
        <f>+SUM(G142:R142)</f>
        <v>-121635893.12000026</v>
      </c>
      <c r="T142" s="448">
        <f t="shared" si="48"/>
        <v>-1.7292563707705468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pXSbh75nYvq5CVvyOAHu7sHXcF50BIQbU4085a4xWOPkpGAXgHqb2+KzHIFPD0uIR5dJ5LOyizQa9PMNJf3q1Q==" saltValue="QLkHZMFup2H5i0lJNsNhaA==" spinCount="100000" sheet="1" objects="1" scenarios="1"/>
  <mergeCells count="117"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50"/>
  <sheetViews>
    <sheetView topLeftCell="F1" zoomScale="90" zoomScaleNormal="90" workbookViewId="0">
      <pane ySplit="1" topLeftCell="A2" activePane="bottomLeft" state="frozen"/>
      <selection pane="bottomLeft" activeCell="K10" sqref="K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59" t="str">
        <f>+Master!G252</f>
        <v>Ostvarenje budžeta</v>
      </c>
      <c r="C7" s="560"/>
      <c r="D7" s="560"/>
      <c r="E7" s="560"/>
      <c r="F7" s="560"/>
      <c r="G7" s="568">
        <v>2023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20" t="str">
        <f>+Master!G249</f>
        <v>BDP</v>
      </c>
      <c r="T7" s="221">
        <v>6847118000</v>
      </c>
    </row>
    <row r="8" spans="1:24" ht="16.5" customHeight="1">
      <c r="A8" s="129"/>
      <c r="B8" s="561"/>
      <c r="C8" s="562"/>
      <c r="D8" s="562"/>
      <c r="E8" s="562"/>
      <c r="F8" s="563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68" t="str">
        <f>+Master!G247</f>
        <v>Jan - Dec</v>
      </c>
      <c r="T8" s="572"/>
    </row>
    <row r="9" spans="1:24" ht="13.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79" t="str">
        <f>+VLOOKUP($A10,Master!$D$30:$G$226,4,FALSE)</f>
        <v>Prihodi budžeta</v>
      </c>
      <c r="C10" s="580"/>
      <c r="D10" s="580"/>
      <c r="E10" s="580"/>
      <c r="F10" s="580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37.482314602289613</v>
      </c>
      <c r="V10" s="493"/>
    </row>
    <row r="11" spans="1:24">
      <c r="A11" s="135">
        <v>711</v>
      </c>
      <c r="B11" s="603" t="str">
        <f>+VLOOKUP($A11,Master!$D$30:$G$226,4,FALSE)</f>
        <v>Porezi</v>
      </c>
      <c r="C11" s="604"/>
      <c r="D11" s="604"/>
      <c r="E11" s="604"/>
      <c r="F11" s="604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24.331645511732088</v>
      </c>
      <c r="V11" s="276"/>
    </row>
    <row r="12" spans="1:24">
      <c r="A12" s="135">
        <v>7111</v>
      </c>
      <c r="B12" s="589" t="str">
        <f>+VLOOKUP($A12,Master!$D$30:$G$226,4,FALSE)</f>
        <v>Porez na dohodak fizičkih lica</v>
      </c>
      <c r="C12" s="590"/>
      <c r="D12" s="590"/>
      <c r="E12" s="590"/>
      <c r="F12" s="590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0.96992035189111681</v>
      </c>
    </row>
    <row r="13" spans="1:24">
      <c r="A13" s="135">
        <v>7112</v>
      </c>
      <c r="B13" s="589" t="str">
        <f>+VLOOKUP($A13,Master!$D$30:$G$226,4,FALSE)</f>
        <v>Porez na dobit pravnih lica</v>
      </c>
      <c r="C13" s="590"/>
      <c r="D13" s="590"/>
      <c r="E13" s="590"/>
      <c r="F13" s="590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2.2094620900355451</v>
      </c>
      <c r="V13" s="276"/>
      <c r="W13" s="276"/>
      <c r="X13" s="494"/>
    </row>
    <row r="14" spans="1:24">
      <c r="A14" s="135">
        <v>7113</v>
      </c>
      <c r="B14" s="589" t="str">
        <f>+VLOOKUP($A14,Master!$D$30:$G$226,4,FALSE)</f>
        <v>Porez na promet nepokretnosti</v>
      </c>
      <c r="C14" s="590"/>
      <c r="D14" s="590"/>
      <c r="E14" s="590"/>
      <c r="F14" s="590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89" t="str">
        <f>+VLOOKUP($A15,Master!$D$30:$G$226,4,FALSE)</f>
        <v>Porez na dodatu vrijednost</v>
      </c>
      <c r="C15" s="590"/>
      <c r="D15" s="590"/>
      <c r="E15" s="590"/>
      <c r="F15" s="590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15.470261757866597</v>
      </c>
      <c r="V15" s="276"/>
      <c r="W15" s="276"/>
      <c r="X15" s="494"/>
    </row>
    <row r="16" spans="1:24">
      <c r="A16" s="135">
        <v>7115</v>
      </c>
      <c r="B16" s="589" t="str">
        <f>+VLOOKUP($A16,Master!$D$30:$G$226,4,FALSE)</f>
        <v>Akcize</v>
      </c>
      <c r="C16" s="590"/>
      <c r="D16" s="590"/>
      <c r="E16" s="590"/>
      <c r="F16" s="590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4.7190897682791499</v>
      </c>
      <c r="V16" s="276"/>
      <c r="W16" s="276"/>
      <c r="X16" s="494"/>
    </row>
    <row r="17" spans="1:24">
      <c r="A17" s="135">
        <v>7116</v>
      </c>
      <c r="B17" s="589" t="str">
        <f>+VLOOKUP($A17,Master!$D$30:$G$226,4,FALSE)</f>
        <v>Porez na međunarodnu trgovinu i transakcije</v>
      </c>
      <c r="C17" s="590"/>
      <c r="D17" s="590"/>
      <c r="E17" s="590"/>
      <c r="F17" s="590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0.76223764085853352</v>
      </c>
      <c r="V17" s="276"/>
      <c r="W17" s="276"/>
      <c r="X17" s="494"/>
    </row>
    <row r="18" spans="1:24">
      <c r="A18" s="135">
        <v>7118</v>
      </c>
      <c r="B18" s="589" t="str">
        <f>+VLOOKUP($A18,Master!$D$30:$G$226,4,FALSE)</f>
        <v>Ostali državni porezi</v>
      </c>
      <c r="C18" s="590"/>
      <c r="D18" s="590"/>
      <c r="E18" s="590"/>
      <c r="F18" s="590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0.20067390280114938</v>
      </c>
      <c r="V18" s="276"/>
      <c r="W18" s="276"/>
      <c r="X18" s="494"/>
    </row>
    <row r="19" spans="1:24">
      <c r="A19" s="135">
        <v>712</v>
      </c>
      <c r="B19" s="591" t="str">
        <f>+VLOOKUP($A19,Master!$D$30:$G$226,4,FALSE)</f>
        <v>Doprinosi</v>
      </c>
      <c r="C19" s="592"/>
      <c r="D19" s="592"/>
      <c r="E19" s="592"/>
      <c r="F19" s="592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8.4083637853181443</v>
      </c>
      <c r="V19" s="276"/>
      <c r="W19" s="276"/>
      <c r="X19" s="494"/>
    </row>
    <row r="20" spans="1:24">
      <c r="A20" s="135">
        <v>7121</v>
      </c>
      <c r="B20" s="589" t="str">
        <f>+VLOOKUP($A20,Master!$D$30:$G$226,4,FALSE)</f>
        <v>Doprinosi za penzijsko i invalidsko osiguranje</v>
      </c>
      <c r="C20" s="590"/>
      <c r="D20" s="590"/>
      <c r="E20" s="590"/>
      <c r="F20" s="590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7.6895453878551523</v>
      </c>
      <c r="V20" s="276"/>
      <c r="W20" s="276"/>
      <c r="X20" s="494"/>
    </row>
    <row r="21" spans="1:24">
      <c r="A21" s="135">
        <v>7122</v>
      </c>
      <c r="B21" s="589" t="str">
        <f>+VLOOKUP($A21,Master!$D$30:$G$226,4,FALSE)</f>
        <v>Doprinosi za zdravstveno osiguranje</v>
      </c>
      <c r="C21" s="590"/>
      <c r="D21" s="590"/>
      <c r="E21" s="590"/>
      <c r="F21" s="590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0.10267886196791115</v>
      </c>
      <c r="V21" s="276"/>
      <c r="W21" s="276"/>
      <c r="X21" s="494"/>
    </row>
    <row r="22" spans="1:24">
      <c r="A22" s="135">
        <v>7123</v>
      </c>
      <c r="B22" s="589" t="str">
        <f>+VLOOKUP($A22,Master!$D$30:$G$226,4,FALSE)</f>
        <v>Doprinosi za osiguranje od nezaposlenosti</v>
      </c>
      <c r="C22" s="590"/>
      <c r="D22" s="590"/>
      <c r="E22" s="590"/>
      <c r="F22" s="590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0.35372790552171002</v>
      </c>
    </row>
    <row r="23" spans="1:24">
      <c r="A23" s="135">
        <v>7124</v>
      </c>
      <c r="B23" s="589" t="str">
        <f>+VLOOKUP($A23,Master!$D$30:$G$226,4,FALSE)</f>
        <v>Ostali doprinosi</v>
      </c>
      <c r="C23" s="590"/>
      <c r="D23" s="590"/>
      <c r="E23" s="590"/>
      <c r="F23" s="590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0.26241162997336981</v>
      </c>
      <c r="V23" s="495"/>
      <c r="W23" s="495"/>
      <c r="X23" s="494"/>
    </row>
    <row r="24" spans="1:24">
      <c r="A24" s="135">
        <v>713</v>
      </c>
      <c r="B24" s="591" t="str">
        <f>+VLOOKUP($A24,Master!$D$30:$G$226,4,FALSE)</f>
        <v>Takse</v>
      </c>
      <c r="C24" s="592"/>
      <c r="D24" s="592"/>
      <c r="E24" s="592"/>
      <c r="F24" s="592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0.23392547141731748</v>
      </c>
    </row>
    <row r="25" spans="1:24">
      <c r="A25" s="135">
        <v>714</v>
      </c>
      <c r="B25" s="591" t="str">
        <f>+VLOOKUP($A25,Master!$D$30:$G$226,4,FALSE)</f>
        <v>Naknade</v>
      </c>
      <c r="C25" s="592"/>
      <c r="D25" s="592"/>
      <c r="E25" s="592"/>
      <c r="F25" s="592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0.81373777580582074</v>
      </c>
    </row>
    <row r="26" spans="1:24">
      <c r="A26" s="135">
        <v>715</v>
      </c>
      <c r="B26" s="591" t="str">
        <f>+VLOOKUP($A26,Master!$D$30:$G$226,4,FALSE)</f>
        <v>Ostali prihodi</v>
      </c>
      <c r="C26" s="592"/>
      <c r="D26" s="592"/>
      <c r="E26" s="592"/>
      <c r="F26" s="592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2.653851643275317</v>
      </c>
    </row>
    <row r="27" spans="1:24">
      <c r="A27" s="135">
        <v>73</v>
      </c>
      <c r="B27" s="591" t="str">
        <f>+VLOOKUP($A27,Master!$D$30:$G$226,4,FALSE)</f>
        <v>Primici od otplate kredita i sredstva prenesena iz prethodne godine</v>
      </c>
      <c r="C27" s="592"/>
      <c r="D27" s="592"/>
      <c r="E27" s="592"/>
      <c r="F27" s="592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593" t="str">
        <f>+VLOOKUP($A28,Master!$D$30:$G$226,4,FALSE)</f>
        <v>Donacije i transferi</v>
      </c>
      <c r="C28" s="594"/>
      <c r="D28" s="594"/>
      <c r="E28" s="594"/>
      <c r="F28" s="594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1.0407904147409175</v>
      </c>
    </row>
    <row r="29" spans="1:24" ht="13.5" thickBot="1">
      <c r="A29" s="135">
        <v>4</v>
      </c>
      <c r="B29" s="579" t="str">
        <f>+VLOOKUP($A29,Master!$D$30:$G$226,4,FALSE)</f>
        <v>Izdaci budžeta</v>
      </c>
      <c r="C29" s="580"/>
      <c r="D29" s="580"/>
      <c r="E29" s="580"/>
      <c r="F29" s="580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37.322608122570692</v>
      </c>
    </row>
    <row r="30" spans="1:24">
      <c r="A30" s="135">
        <v>41</v>
      </c>
      <c r="B30" s="597" t="str">
        <f>+VLOOKUP($A30,Master!$D$30:$G$226,4,FALSE)</f>
        <v>Tekući izdaci</v>
      </c>
      <c r="C30" s="598"/>
      <c r="D30" s="598"/>
      <c r="E30" s="598"/>
      <c r="F30" s="598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15.673441382053003</v>
      </c>
      <c r="U30" s="472"/>
    </row>
    <row r="31" spans="1:24">
      <c r="A31" s="135">
        <v>411</v>
      </c>
      <c r="B31" s="589" t="str">
        <f>+VLOOKUP($A31,Master!$D$30:$G$226,4,FALSE)</f>
        <v>Bruto zarade i doprinosi na teret poslodavca</v>
      </c>
      <c r="C31" s="590"/>
      <c r="D31" s="590"/>
      <c r="E31" s="590"/>
      <c r="F31" s="590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9.3928385465242457</v>
      </c>
      <c r="U31" s="472"/>
    </row>
    <row r="32" spans="1:24">
      <c r="A32" s="135">
        <v>412</v>
      </c>
      <c r="B32" s="589" t="str">
        <f>+VLOOKUP($A32,Master!$D$30:$G$226,4,FALSE)</f>
        <v>Ostala lična primanja</v>
      </c>
      <c r="C32" s="590"/>
      <c r="D32" s="590"/>
      <c r="E32" s="590"/>
      <c r="F32" s="590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0.26899141843327362</v>
      </c>
      <c r="U32" s="472"/>
      <c r="V32" s="275"/>
    </row>
    <row r="33" spans="1:24">
      <c r="A33" s="135">
        <v>413</v>
      </c>
      <c r="B33" s="589" t="str">
        <f>+VLOOKUP($A33,Master!$D$30:$G$226,4,FALSE)</f>
        <v>Rashodi za materijal</v>
      </c>
      <c r="C33" s="590"/>
      <c r="D33" s="590"/>
      <c r="E33" s="590"/>
      <c r="F33" s="590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0.66798315408030062</v>
      </c>
      <c r="U33" s="472"/>
    </row>
    <row r="34" spans="1:24" s="334" customFormat="1">
      <c r="A34" s="333">
        <v>414</v>
      </c>
      <c r="B34" s="607" t="str">
        <f>+VLOOKUP($A34,Master!$D$30:$G$226,4,FALSE)</f>
        <v>Rashodi za usluge</v>
      </c>
      <c r="C34" s="608"/>
      <c r="D34" s="608"/>
      <c r="E34" s="608"/>
      <c r="F34" s="608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1.0574641110318239</v>
      </c>
      <c r="U34" s="472"/>
    </row>
    <row r="35" spans="1:24">
      <c r="A35" s="135">
        <v>415</v>
      </c>
      <c r="B35" s="589" t="str">
        <f>+VLOOKUP($A35,Master!$D$30:$G$226,4,FALSE)</f>
        <v>Rashodi za tekuće održavanje</v>
      </c>
      <c r="C35" s="590"/>
      <c r="D35" s="590"/>
      <c r="E35" s="590"/>
      <c r="F35" s="590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0.44055275504234043</v>
      </c>
      <c r="U35" s="472"/>
    </row>
    <row r="36" spans="1:24">
      <c r="A36" s="135">
        <v>416</v>
      </c>
      <c r="B36" s="589" t="str">
        <f>+VLOOKUP($A36,Master!$D$30:$G$226,4,FALSE)</f>
        <v>Kamate</v>
      </c>
      <c r="C36" s="590"/>
      <c r="D36" s="590"/>
      <c r="E36" s="590"/>
      <c r="F36" s="590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1.8189109087940354</v>
      </c>
      <c r="U36" s="472"/>
      <c r="V36" s="275"/>
    </row>
    <row r="37" spans="1:24">
      <c r="A37" s="135">
        <v>417</v>
      </c>
      <c r="B37" s="589" t="str">
        <f>+VLOOKUP($A37,Master!$D$30:$G$226,4,FALSE)</f>
        <v>Renta</v>
      </c>
      <c r="C37" s="590"/>
      <c r="D37" s="590"/>
      <c r="E37" s="590"/>
      <c r="F37" s="590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0.17081277977099271</v>
      </c>
      <c r="U37" s="472"/>
      <c r="V37" s="275"/>
    </row>
    <row r="38" spans="1:24">
      <c r="A38" s="135">
        <v>418</v>
      </c>
      <c r="B38" s="589" t="str">
        <f>+VLOOKUP($A38,Master!$D$30:$G$226,4,FALSE)</f>
        <v>Subvencije</v>
      </c>
      <c r="C38" s="590"/>
      <c r="D38" s="590"/>
      <c r="E38" s="590"/>
      <c r="F38" s="590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1.0862959572187889</v>
      </c>
      <c r="U38" s="472"/>
    </row>
    <row r="39" spans="1:24">
      <c r="A39" s="135">
        <v>419</v>
      </c>
      <c r="B39" s="589" t="str">
        <f>+VLOOKUP($A39,Master!$D$30:$G$226,4,FALSE)</f>
        <v>Ostali izdaci</v>
      </c>
      <c r="C39" s="590"/>
      <c r="D39" s="590"/>
      <c r="E39" s="590"/>
      <c r="F39" s="590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0.76959175115720213</v>
      </c>
      <c r="U39" s="472"/>
      <c r="V39" s="275"/>
    </row>
    <row r="40" spans="1:24">
      <c r="A40" s="135">
        <v>42</v>
      </c>
      <c r="B40" s="585" t="str">
        <f>+VLOOKUP($A40,Master!$D$30:$G$226,4,FALSE)</f>
        <v>Transferi za socijalnu zaštitu</v>
      </c>
      <c r="C40" s="586"/>
      <c r="D40" s="586"/>
      <c r="E40" s="586"/>
      <c r="F40" s="586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12.042402838537324</v>
      </c>
      <c r="U40" s="472"/>
    </row>
    <row r="41" spans="1:24">
      <c r="A41" s="135">
        <v>421</v>
      </c>
      <c r="B41" s="589" t="str">
        <f>+VLOOKUP($A41,Master!$D$30:$G$226,4,FALSE)</f>
        <v>Prava iz oblasti socijalne zaštite</v>
      </c>
      <c r="C41" s="590"/>
      <c r="D41" s="590"/>
      <c r="E41" s="590"/>
      <c r="F41" s="590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3.0653364138021284</v>
      </c>
      <c r="U41" s="472"/>
    </row>
    <row r="42" spans="1:24">
      <c r="A42" s="135">
        <v>422</v>
      </c>
      <c r="B42" s="589" t="str">
        <f>+VLOOKUP($A42,Master!$D$30:$G$226,4,FALSE)</f>
        <v>Sredstva za tehnološke viškove</v>
      </c>
      <c r="C42" s="590"/>
      <c r="D42" s="590"/>
      <c r="E42" s="590"/>
      <c r="F42" s="590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0.34618637826893006</v>
      </c>
      <c r="U42" s="472"/>
      <c r="V42" s="275"/>
    </row>
    <row r="43" spans="1:24">
      <c r="A43" s="135">
        <v>423</v>
      </c>
      <c r="B43" s="589" t="str">
        <f>+VLOOKUP($A43,Master!$D$30:$G$226,4,FALSE)</f>
        <v>Prava iz oblasti penzijskog i invalidskog osiguranja</v>
      </c>
      <c r="C43" s="590"/>
      <c r="D43" s="590"/>
      <c r="E43" s="590"/>
      <c r="F43" s="590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8.0882306732555218</v>
      </c>
      <c r="U43" s="472"/>
    </row>
    <row r="44" spans="1:24">
      <c r="A44" s="135">
        <v>424</v>
      </c>
      <c r="B44" s="589" t="str">
        <f>+VLOOKUP($A44,Master!$D$30:$G$226,4,FALSE)</f>
        <v>Ostala prava iz oblasti zdravstvene zaštite</v>
      </c>
      <c r="C44" s="590"/>
      <c r="D44" s="590"/>
      <c r="E44" s="590"/>
      <c r="F44" s="590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0.30026638229398123</v>
      </c>
      <c r="U44" s="472"/>
    </row>
    <row r="45" spans="1:24" s="334" customFormat="1">
      <c r="A45" s="333">
        <v>425</v>
      </c>
      <c r="B45" s="609" t="str">
        <f>+VLOOKUP($A45,Master!$D$30:$G$226,4,FALSE)</f>
        <v>Ostala prava iz zdravstvenog osiguranja</v>
      </c>
      <c r="C45" s="610"/>
      <c r="D45" s="610"/>
      <c r="E45" s="610"/>
      <c r="F45" s="610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0.24238299091676238</v>
      </c>
      <c r="U45" s="472"/>
    </row>
    <row r="46" spans="1:24">
      <c r="A46" s="135">
        <v>43</v>
      </c>
      <c r="B46" s="587" t="str">
        <f>+VLOOKUP($A46,Master!$D$30:$G$226,4,FALSE)</f>
        <v xml:space="preserve">Transferi institucijama, pojedincima, nevladinom i javnom sektoru </v>
      </c>
      <c r="C46" s="588"/>
      <c r="D46" s="588"/>
      <c r="E46" s="588"/>
      <c r="F46" s="588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5.5599594502387717</v>
      </c>
      <c r="U46" s="472"/>
    </row>
    <row r="47" spans="1:24">
      <c r="A47" s="135">
        <v>44</v>
      </c>
      <c r="B47" s="587" t="str">
        <f>+VLOOKUP($A47,Master!$D$30:$G$226,4,FALSE)</f>
        <v>Kapitalni izdaci</v>
      </c>
      <c r="C47" s="588"/>
      <c r="D47" s="588"/>
      <c r="E47" s="588"/>
      <c r="F47" s="588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3.485287545212453</v>
      </c>
      <c r="U47" s="472"/>
      <c r="V47" s="275"/>
      <c r="W47" s="292"/>
      <c r="X47" s="292"/>
    </row>
    <row r="48" spans="1:24">
      <c r="A48" s="135">
        <v>451</v>
      </c>
      <c r="B48" s="611" t="str">
        <f>+VLOOKUP($A48,Master!$D$30:$G$226,4,FALSE)</f>
        <v>Pozajmice i krediti</v>
      </c>
      <c r="C48" s="612"/>
      <c r="D48" s="612"/>
      <c r="E48" s="612"/>
      <c r="F48" s="612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16" t="str">
        <f>+VLOOKUP($A49,Master!$D$30:$G$226,4,FALSE)</f>
        <v>Rezerve</v>
      </c>
      <c r="C49" s="617"/>
      <c r="D49" s="617"/>
      <c r="E49" s="617"/>
      <c r="F49" s="617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0.26679720299840015</v>
      </c>
      <c r="U49" s="472"/>
    </row>
    <row r="50" spans="1:21" ht="13.5" thickBot="1">
      <c r="A50" s="135">
        <v>462</v>
      </c>
      <c r="B50" s="575" t="str">
        <f>+VLOOKUP($A50,Master!$D$30:$G$226,4,FALSE)</f>
        <v>Otplata garancija</v>
      </c>
      <c r="C50" s="576"/>
      <c r="D50" s="576"/>
      <c r="E50" s="576"/>
      <c r="F50" s="576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4.1091334485545597E-2</v>
      </c>
      <c r="U50" s="472"/>
    </row>
    <row r="51" spans="1:21" ht="13.5" thickBot="1">
      <c r="A51" s="129">
        <v>4630</v>
      </c>
      <c r="B51" s="618" t="str">
        <f>+VLOOKUP($A51,Master!$D$30:$G$226,4,TRUE)</f>
        <v>Otplata obaveza iz prethodnog perioda</v>
      </c>
      <c r="C51" s="619"/>
      <c r="D51" s="619"/>
      <c r="E51" s="619"/>
      <c r="F51" s="619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0.25362836904519537</v>
      </c>
      <c r="U51" s="472"/>
    </row>
    <row r="52" spans="1:21" ht="13.5" thickBot="1">
      <c r="A52" s="61">
        <v>1005</v>
      </c>
      <c r="B52" s="620" t="str">
        <f>+VLOOKUP($A52,Master!$D$30:$G$228,4,FALSE)</f>
        <v>Neto povećanje obaveza</v>
      </c>
      <c r="C52" s="621"/>
      <c r="D52" s="621"/>
      <c r="E52" s="621"/>
      <c r="F52" s="621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0.15970647971891683</v>
      </c>
    </row>
    <row r="54" spans="1:21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1.9786173885129519</v>
      </c>
    </row>
    <row r="55" spans="1:21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4.3990188845876474</v>
      </c>
    </row>
    <row r="56" spans="1:21">
      <c r="A56" s="129">
        <v>4611</v>
      </c>
      <c r="B56" s="573" t="str">
        <f>+VLOOKUP($A56,Master!$D$30:$G$226,4,FALSE)</f>
        <v>Otplata hartija od vrijednosti i kredita rezidentima</v>
      </c>
      <c r="C56" s="574"/>
      <c r="D56" s="574"/>
      <c r="E56" s="574"/>
      <c r="F56" s="574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1.0885684298123677</v>
      </c>
    </row>
    <row r="57" spans="1:21" ht="13.5" thickBot="1">
      <c r="A57" s="129">
        <v>4612</v>
      </c>
      <c r="B57" s="557" t="str">
        <f>+VLOOKUP($A57,Master!$D$30:$G$226,4,FALSE)</f>
        <v>Otplata hartija od vrijednosti i kredita nerezidentima</v>
      </c>
      <c r="C57" s="558"/>
      <c r="D57" s="558"/>
      <c r="E57" s="558"/>
      <c r="F57" s="558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3.3104504547752787</v>
      </c>
    </row>
    <row r="58" spans="1:21" ht="13.5" thickBot="1">
      <c r="A58" s="129">
        <v>4418</v>
      </c>
      <c r="B58" s="595" t="str">
        <f>+VLOOKUP($A58,Master!$D$30:$G$226,4,FALSE)</f>
        <v>Izdaci za kupovinu hartija od vrijednosti</v>
      </c>
      <c r="C58" s="596"/>
      <c r="D58" s="596"/>
      <c r="E58" s="596"/>
      <c r="F58" s="596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1.2546105091222321E-2</v>
      </c>
    </row>
    <row r="59" spans="1:21" ht="13.5" thickBot="1">
      <c r="A59" s="135">
        <v>451</v>
      </c>
      <c r="B59" s="595" t="str">
        <f>+VLOOKUP($A59,Master!$D$30:$G$226,4,FALSE)</f>
        <v>Pozajmice i krediti</v>
      </c>
      <c r="C59" s="596"/>
      <c r="D59" s="596"/>
      <c r="E59" s="596"/>
      <c r="F59" s="596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0.14767666732193016</v>
      </c>
    </row>
    <row r="60" spans="1:21" ht="13.5" thickBot="1">
      <c r="A60" s="129">
        <v>1002</v>
      </c>
      <c r="B60" s="577" t="str">
        <f>+VLOOKUP($A60,Master!$D$30:$G$226,4,FALSE)</f>
        <v>Nedostajuća sredstva</v>
      </c>
      <c r="C60" s="578"/>
      <c r="D60" s="578"/>
      <c r="E60" s="578"/>
      <c r="F60" s="578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-4.3995351772818836</v>
      </c>
    </row>
    <row r="61" spans="1:21" ht="13.5" thickBot="1">
      <c r="A61" s="129">
        <v>1003</v>
      </c>
      <c r="B61" s="579" t="str">
        <f>+VLOOKUP($A61,Master!$D$30:$G$226,4,FALSE)</f>
        <v>Finansiranje</v>
      </c>
      <c r="C61" s="580"/>
      <c r="D61" s="580"/>
      <c r="E61" s="580"/>
      <c r="F61" s="580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4.3995351772818836</v>
      </c>
    </row>
    <row r="62" spans="1:21">
      <c r="A62" s="129">
        <v>7511</v>
      </c>
      <c r="B62" s="573" t="str">
        <f>+VLOOKUP($A62,Master!$D$30:$G$226,4,FALSE)</f>
        <v>Pozajmice i krediti od domaćih izvora</v>
      </c>
      <c r="C62" s="574"/>
      <c r="D62" s="574"/>
      <c r="E62" s="574"/>
      <c r="F62" s="574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2.3221448790571451</v>
      </c>
    </row>
    <row r="63" spans="1:21">
      <c r="A63" s="129">
        <v>7512</v>
      </c>
      <c r="B63" s="557" t="str">
        <f>+VLOOKUP($A63,Master!$D$30:$G$226,4,FALSE)</f>
        <v>Pozajmice i krediti od inostranih izvora</v>
      </c>
      <c r="C63" s="558"/>
      <c r="D63" s="558"/>
      <c r="E63" s="558"/>
      <c r="F63" s="558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2.3255334955524352</v>
      </c>
    </row>
    <row r="64" spans="1:21">
      <c r="A64" s="129">
        <v>72</v>
      </c>
      <c r="B64" s="557" t="str">
        <f>+VLOOKUP($A64,Master!$D$30:$G$226,4,FALSE)</f>
        <v>Primici od prodaje imovine</v>
      </c>
      <c r="C64" s="558"/>
      <c r="D64" s="558"/>
      <c r="E64" s="558"/>
      <c r="F64" s="558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3.9693627742358177E-2</v>
      </c>
    </row>
    <row r="65" spans="1:20">
      <c r="A65" s="129">
        <v>73</v>
      </c>
      <c r="B65" s="557" t="s">
        <v>101</v>
      </c>
      <c r="C65" s="558"/>
      <c r="D65" s="558"/>
      <c r="E65" s="558"/>
      <c r="F65" s="558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0.20239250835168901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-0.49022933342174396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28" t="str">
        <f>+Master!G253</f>
        <v>Plan ostvarenja budžeta</v>
      </c>
      <c r="C83" s="629"/>
      <c r="D83" s="629"/>
      <c r="E83" s="629"/>
      <c r="F83" s="629"/>
      <c r="G83" s="613">
        <v>2023</v>
      </c>
      <c r="H83" s="614"/>
      <c r="I83" s="614"/>
      <c r="J83" s="614"/>
      <c r="K83" s="614"/>
      <c r="L83" s="614"/>
      <c r="M83" s="614"/>
      <c r="N83" s="614"/>
      <c r="O83" s="614"/>
      <c r="P83" s="614"/>
      <c r="Q83" s="614"/>
      <c r="R83" s="615"/>
      <c r="S83" s="96" t="str">
        <f>+S7</f>
        <v>BDP</v>
      </c>
      <c r="T83" s="97">
        <v>6624340418</v>
      </c>
    </row>
    <row r="84" spans="1:26" ht="15.75" customHeight="1">
      <c r="B84" s="630"/>
      <c r="C84" s="631"/>
      <c r="D84" s="631"/>
      <c r="E84" s="631"/>
      <c r="F84" s="632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13" t="str">
        <f>+Master!G247</f>
        <v>Jan - Dec</v>
      </c>
      <c r="T84" s="615">
        <f>+T8</f>
        <v>0</v>
      </c>
    </row>
    <row r="85" spans="1:26" ht="13.5" thickBot="1">
      <c r="B85" s="633"/>
      <c r="C85" s="634"/>
      <c r="D85" s="634"/>
      <c r="E85" s="634"/>
      <c r="F85" s="635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22" t="str">
        <f>+VLOOKUP(LEFT($A86,LEN(A86)-1)*1,Master!$D$30:$G$226,4,FALSE)</f>
        <v>Prihodi budžeta</v>
      </c>
      <c r="C86" s="623"/>
      <c r="D86" s="623"/>
      <c r="E86" s="623"/>
      <c r="F86" s="623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24" t="str">
        <f>+VLOOKUP(LEFT($A87,LEN(A87)-1)*1,Master!$D$30:$G$226,4,FALSE)</f>
        <v>Porezi</v>
      </c>
      <c r="C87" s="625"/>
      <c r="D87" s="625"/>
      <c r="E87" s="625"/>
      <c r="F87" s="625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26" t="str">
        <f>+VLOOKUP(LEFT($A88,LEN(A88)-1)*1,Master!$D$30:$G$229,4,FALSE)</f>
        <v>Porez na dohodak fizičkih lica</v>
      </c>
      <c r="C88" s="627"/>
      <c r="D88" s="627"/>
      <c r="E88" s="627"/>
      <c r="F88" s="627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26" t="str">
        <f>+VLOOKUP(LEFT($A89,LEN(A89)-1)*1,Master!$D$30:$G$229,4,FALSE)</f>
        <v>Porez na dobit pravnih lica</v>
      </c>
      <c r="C89" s="627"/>
      <c r="D89" s="627"/>
      <c r="E89" s="627"/>
      <c r="F89" s="627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26" t="str">
        <f>+VLOOKUP(LEFT($A90,LEN(A90)-1)*1,Master!$D$30:$G$229,4,FALSE)</f>
        <v>Porez na promet nepokretnosti</v>
      </c>
      <c r="C90" s="627"/>
      <c r="D90" s="627"/>
      <c r="E90" s="627"/>
      <c r="F90" s="627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26" t="str">
        <f>+VLOOKUP(LEFT($A91,LEN(A91)-1)*1,Master!$D$30:$G$229,4,FALSE)</f>
        <v>Porez na dodatu vrijednost</v>
      </c>
      <c r="C91" s="627"/>
      <c r="D91" s="627"/>
      <c r="E91" s="627"/>
      <c r="F91" s="627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26" t="str">
        <f>+VLOOKUP(LEFT($A92,LEN(A92)-1)*1,Master!$D$30:$G$229,4,FALSE)</f>
        <v>Akcize</v>
      </c>
      <c r="C92" s="627"/>
      <c r="D92" s="627"/>
      <c r="E92" s="627"/>
      <c r="F92" s="627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26" t="str">
        <f>+VLOOKUP(LEFT($A93,LEN(A93)-1)*1,Master!$D$30:$G$229,4,FALSE)</f>
        <v>Porez na međunarodnu trgovinu i transakcije</v>
      </c>
      <c r="C93" s="627"/>
      <c r="D93" s="627"/>
      <c r="E93" s="627"/>
      <c r="F93" s="627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26" t="str">
        <f>+VLOOKUP(LEFT($A94,LEN(A94)-1)*1,Master!$D$30:$G$229,4,FALSE)</f>
        <v>Ostali državni porezi</v>
      </c>
      <c r="C94" s="627"/>
      <c r="D94" s="627"/>
      <c r="E94" s="627"/>
      <c r="F94" s="627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36" t="str">
        <f>+VLOOKUP(LEFT($A95,LEN(A95)-1)*1,Master!$D$30:$G$229,4,FALSE)</f>
        <v>Doprinosi</v>
      </c>
      <c r="C95" s="637"/>
      <c r="D95" s="637"/>
      <c r="E95" s="637"/>
      <c r="F95" s="637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26" t="str">
        <f>+VLOOKUP(LEFT($A96,LEN(A96)-1)*1,Master!$D$30:$G$229,4,FALSE)</f>
        <v>Doprinosi za penzijsko i invalidsko osiguranje</v>
      </c>
      <c r="C96" s="627"/>
      <c r="D96" s="627"/>
      <c r="E96" s="627"/>
      <c r="F96" s="627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26" t="str">
        <f>+VLOOKUP(LEFT($A97,LEN(A97)-1)*1,Master!$D$30:$G$229,4,FALSE)</f>
        <v>Doprinosi za zdravstveno osiguranje</v>
      </c>
      <c r="C97" s="627"/>
      <c r="D97" s="627"/>
      <c r="E97" s="627"/>
      <c r="F97" s="627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26" t="str">
        <f>+VLOOKUP(LEFT($A98,LEN(A98)-1)*1,Master!$D$30:$G$229,4,FALSE)</f>
        <v>Doprinosi za osiguranje od nezaposlenosti</v>
      </c>
      <c r="C98" s="627"/>
      <c r="D98" s="627"/>
      <c r="E98" s="627"/>
      <c r="F98" s="627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26" t="str">
        <f>+VLOOKUP(LEFT($A99,LEN(A99)-1)*1,Master!$D$30:$G$229,4,FALSE)</f>
        <v>Ostali doprinosi</v>
      </c>
      <c r="C99" s="627"/>
      <c r="D99" s="627"/>
      <c r="E99" s="627"/>
      <c r="F99" s="627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36" t="str">
        <f>+VLOOKUP(LEFT($A100,LEN(A100)-1)*1,Master!$D$30:$G$229,4,FALSE)</f>
        <v>Takse</v>
      </c>
      <c r="C100" s="637"/>
      <c r="D100" s="637"/>
      <c r="E100" s="637"/>
      <c r="F100" s="637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36" t="str">
        <f>+VLOOKUP(LEFT($A101,LEN(A101)-1)*1,Master!$D$30:$G$229,4,FALSE)</f>
        <v>Naknade</v>
      </c>
      <c r="C101" s="637"/>
      <c r="D101" s="637"/>
      <c r="E101" s="637"/>
      <c r="F101" s="637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36" t="str">
        <f>+VLOOKUP(LEFT($A102,LEN(A102)-1)*1,Master!$D$30:$G$229,4,FALSE)</f>
        <v>Ostali prihodi</v>
      </c>
      <c r="C102" s="637"/>
      <c r="D102" s="637"/>
      <c r="E102" s="637"/>
      <c r="F102" s="637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36" t="str">
        <f>+VLOOKUP(LEFT($A103,LEN(A103)-1)*1,Master!$D$30:$G$229,4,FALSE)</f>
        <v>Primici od otplate kredita i sredstva prenesena iz prethodne godine</v>
      </c>
      <c r="C103" s="637"/>
      <c r="D103" s="637"/>
      <c r="E103" s="637"/>
      <c r="F103" s="637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38" t="str">
        <f>+VLOOKUP(LEFT($A104,LEN(A104)-1)*1,Master!$D$30:$G$229,4,FALSE)</f>
        <v>Donacije i transferi</v>
      </c>
      <c r="C104" s="639"/>
      <c r="D104" s="639"/>
      <c r="E104" s="639"/>
      <c r="F104" s="639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22" t="str">
        <f>+VLOOKUP(LEFT($A105,LEN(A105)-1)*1,Master!$D$30:$G$229,4,FALSE)</f>
        <v>Izdaci budžeta</v>
      </c>
      <c r="C105" s="623"/>
      <c r="D105" s="623"/>
      <c r="E105" s="623"/>
      <c r="F105" s="623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40" t="str">
        <f>+VLOOKUP(LEFT($A106,LEN(A106)-1)*1,Master!$D$30:$G$229,4,FALSE)</f>
        <v>Tekući izdaci</v>
      </c>
      <c r="C106" s="641"/>
      <c r="D106" s="641"/>
      <c r="E106" s="641"/>
      <c r="F106" s="641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26" t="str">
        <f>+VLOOKUP(LEFT($A107,LEN(A107)-1)*1,Master!$D$30:$G$229,4,FALSE)</f>
        <v>Bruto zarade i doprinosi na teret poslodavca</v>
      </c>
      <c r="C107" s="627"/>
      <c r="D107" s="627"/>
      <c r="E107" s="627"/>
      <c r="F107" s="627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26" t="str">
        <f>+VLOOKUP(LEFT($A108,LEN(A108)-1)*1,Master!$D$30:$G$229,4,FALSE)</f>
        <v>Ostala lična primanja</v>
      </c>
      <c r="C108" s="627"/>
      <c r="D108" s="627"/>
      <c r="E108" s="627"/>
      <c r="F108" s="627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26" t="str">
        <f>+VLOOKUP(LEFT($A109,LEN(A109)-1)*1,Master!$D$30:$G$229,4,FALSE)</f>
        <v>Rashodi za materijal</v>
      </c>
      <c r="C109" s="627"/>
      <c r="D109" s="627"/>
      <c r="E109" s="627"/>
      <c r="F109" s="627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26" t="str">
        <f>+VLOOKUP(LEFT($A110,LEN(A110)-1)*1,Master!$D$30:$G$229,4,FALSE)</f>
        <v>Rashodi za usluge</v>
      </c>
      <c r="C110" s="627"/>
      <c r="D110" s="627"/>
      <c r="E110" s="627"/>
      <c r="F110" s="627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26" t="str">
        <f>+VLOOKUP(LEFT($A111,LEN(A111)-1)*1,Master!$D$30:$G$229,4,FALSE)</f>
        <v>Rashodi za tekuće održavanje</v>
      </c>
      <c r="C111" s="627"/>
      <c r="D111" s="627"/>
      <c r="E111" s="627"/>
      <c r="F111" s="627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26" t="str">
        <f>+VLOOKUP(LEFT($A112,LEN(A112)-1)*1,Master!$D$30:$G$229,4,FALSE)</f>
        <v>Kamate</v>
      </c>
      <c r="C112" s="627"/>
      <c r="D112" s="627"/>
      <c r="E112" s="627"/>
      <c r="F112" s="627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26" t="str">
        <f>+VLOOKUP(LEFT($A113,LEN(A113)-1)*1,Master!$D$30:$G$229,4,FALSE)</f>
        <v>Renta</v>
      </c>
      <c r="C113" s="627"/>
      <c r="D113" s="627"/>
      <c r="E113" s="627"/>
      <c r="F113" s="627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26" t="str">
        <f>+VLOOKUP(LEFT($A114,LEN(A114)-1)*1,Master!$D$30:$G$229,4,FALSE)</f>
        <v>Subvencije</v>
      </c>
      <c r="C114" s="627"/>
      <c r="D114" s="627"/>
      <c r="E114" s="627"/>
      <c r="F114" s="627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26" t="str">
        <f>+VLOOKUP(LEFT($A115,LEN(A115)-1)*1,Master!$D$30:$G$229,4,FALSE)</f>
        <v>Ostali izdaci</v>
      </c>
      <c r="C115" s="627"/>
      <c r="D115" s="627"/>
      <c r="E115" s="627"/>
      <c r="F115" s="627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46" t="str">
        <f>+VLOOKUP(LEFT($A116,LEN(A116)-1)*1,Master!$D$30:$G$229,4,FALSE)</f>
        <v>Transferi za socijalnu zaštitu</v>
      </c>
      <c r="C116" s="647"/>
      <c r="D116" s="647"/>
      <c r="E116" s="647"/>
      <c r="F116" s="647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26" t="str">
        <f>+VLOOKUP(LEFT($A117,LEN(A117)-1)*1,Master!$D$30:$G$229,4,FALSE)</f>
        <v>Prava iz oblasti socijalne zaštite</v>
      </c>
      <c r="C117" s="627"/>
      <c r="D117" s="627"/>
      <c r="E117" s="627"/>
      <c r="F117" s="627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26" t="str">
        <f>+VLOOKUP(LEFT($A118,LEN(A118)-1)*1,Master!$D$30:$G$229,4,FALSE)</f>
        <v>Sredstva za tehnološke viškove</v>
      </c>
      <c r="C118" s="627"/>
      <c r="D118" s="627"/>
      <c r="E118" s="627"/>
      <c r="F118" s="627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26" t="str">
        <f>+VLOOKUP(LEFT($A119,LEN(A119)-1)*1,Master!$D$30:$G$229,4,FALSE)</f>
        <v>Prava iz oblasti penzijskog i invalidskog osiguranja</v>
      </c>
      <c r="C119" s="627"/>
      <c r="D119" s="627"/>
      <c r="E119" s="627"/>
      <c r="F119" s="627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26" t="str">
        <f>+VLOOKUP(LEFT($A120,LEN(A120)-1)*1,Master!$D$30:$G$229,4,FALSE)</f>
        <v>Ostala prava iz oblasti zdravstvene zaštite</v>
      </c>
      <c r="C120" s="627"/>
      <c r="D120" s="627"/>
      <c r="E120" s="627"/>
      <c r="F120" s="627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26" t="str">
        <f>+VLOOKUP(LEFT($A121,LEN(A121)-1)*1,Master!$D$30:$G$229,4,FALSE)</f>
        <v>Ostala prava iz zdravstvenog osiguranja</v>
      </c>
      <c r="C121" s="627"/>
      <c r="D121" s="627"/>
      <c r="E121" s="627"/>
      <c r="F121" s="627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42" t="str">
        <f>+VLOOKUP(LEFT($A122,LEN(A122)-1)*1,Master!$D$30:$G$229,4,FALSE)</f>
        <v xml:space="preserve">Transferi institucijama, pojedincima, nevladinom i javnom sektoru </v>
      </c>
      <c r="C122" s="643"/>
      <c r="D122" s="643"/>
      <c r="E122" s="643"/>
      <c r="F122" s="643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42" t="str">
        <f>+VLOOKUP(LEFT($A123,LEN(A123)-1)*1,Master!$D$30:$G$229,4,FALSE)</f>
        <v>Kapitalni izdaci</v>
      </c>
      <c r="C123" s="643"/>
      <c r="D123" s="643"/>
      <c r="E123" s="643"/>
      <c r="F123" s="643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44" t="str">
        <f>+VLOOKUP(LEFT($A124,LEN(A124)-1)*1,Master!$D$30:$G$229,4,FALSE)</f>
        <v>Pozajmice i krediti</v>
      </c>
      <c r="C124" s="645"/>
      <c r="D124" s="645"/>
      <c r="E124" s="645"/>
      <c r="F124" s="645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44" t="str">
        <f>+VLOOKUP(LEFT($A125,LEN(A125)-1)*1,Master!$D$30:$G$229,4,FALSE)</f>
        <v>Rezerve</v>
      </c>
      <c r="C125" s="645"/>
      <c r="D125" s="645"/>
      <c r="E125" s="645"/>
      <c r="F125" s="645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44" t="str">
        <f>+VLOOKUP(LEFT($A126,LEN(A126)-1)*1,Master!$D$30:$G$229,4,FALSE)</f>
        <v>Otplata garancija</v>
      </c>
      <c r="C126" s="645"/>
      <c r="D126" s="645"/>
      <c r="E126" s="645"/>
      <c r="F126" s="645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44" t="str">
        <f>+VLOOKUP(LEFT($A127,LEN(A127)-1)*1,Master!$D$30:$G$229,4,FALSE)</f>
        <v>Otplata obaveza iz prethodnog perioda</v>
      </c>
      <c r="C127" s="645"/>
      <c r="D127" s="645"/>
      <c r="E127" s="645"/>
      <c r="F127" s="645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44" t="str">
        <f>+VLOOKUP(LEFT($A128,LEN(A128)-1)*1,Master!$D$30:$G$229,4,FALSE)</f>
        <v>Neto povećanje obaveza</v>
      </c>
      <c r="C128" s="645"/>
      <c r="D128" s="645"/>
      <c r="E128" s="645"/>
      <c r="F128" s="645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52" t="str">
        <f>+VLOOKUP(LEFT($A129,LEN(A129)-1)*1,Master!$D$30:$G$226,4,FALSE)</f>
        <v>Suficit / deficit</v>
      </c>
      <c r="C129" s="653"/>
      <c r="D129" s="653"/>
      <c r="E129" s="653"/>
      <c r="F129" s="653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54" t="str">
        <f>+VLOOKUP(LEFT($A130,LEN(A130)-1)*1,Master!$D$30:$G$226,4,FALSE)</f>
        <v>Primarni suficit/deficit</v>
      </c>
      <c r="C130" s="655"/>
      <c r="D130" s="655"/>
      <c r="E130" s="655"/>
      <c r="F130" s="655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46" t="str">
        <f>+VLOOKUP(LEFT($A131,LEN(A131)-1)*1,Master!$D$30:$G$226,4,FALSE)</f>
        <v>Otplata dugova</v>
      </c>
      <c r="C131" s="647"/>
      <c r="D131" s="647"/>
      <c r="E131" s="647"/>
      <c r="F131" s="647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50" t="str">
        <f>+VLOOKUP(LEFT($A132,LEN(A132)-1)*1,Master!$D$30:$G$226,4,FALSE)</f>
        <v>Otplata hartija od vrijednosti i kredita rezidentima</v>
      </c>
      <c r="C132" s="651"/>
      <c r="D132" s="651"/>
      <c r="E132" s="651"/>
      <c r="F132" s="651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44" t="str">
        <f>+VLOOKUP(LEFT($A133,LEN(A133)-1)*1,Master!$D$30:$G$226,4,FALSE)</f>
        <v>Otplata hartija od vrijednosti i kredita nerezidentima</v>
      </c>
      <c r="C133" s="645"/>
      <c r="D133" s="645"/>
      <c r="E133" s="645"/>
      <c r="F133" s="645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22" t="str">
        <f>+VLOOKUP(LEFT($A134,LEN(A134)-1)*1,Master!$D$30:$G$226,4,FALSE)</f>
        <v>Izdaci za kupovinu hartija od vrijednosti</v>
      </c>
      <c r="C134" s="623"/>
      <c r="D134" s="623"/>
      <c r="E134" s="623"/>
      <c r="F134" s="623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22" t="s">
        <v>113</v>
      </c>
      <c r="C135" s="623"/>
      <c r="D135" s="623"/>
      <c r="E135" s="623"/>
      <c r="F135" s="623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48" t="str">
        <f>+VLOOKUP(LEFT($A136,LEN(A136)-1)*1,Master!$D$30:$G$226,4,FALSE)</f>
        <v>Nedostajuća sredstva</v>
      </c>
      <c r="C136" s="649"/>
      <c r="D136" s="649"/>
      <c r="E136" s="649"/>
      <c r="F136" s="649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22" t="str">
        <f>+VLOOKUP(LEFT($A137,LEN(A137)-1)*1,Master!$D$30:$G$226,4,FALSE)</f>
        <v>Finansiranje</v>
      </c>
      <c r="C137" s="623"/>
      <c r="D137" s="623"/>
      <c r="E137" s="623"/>
      <c r="F137" s="623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50" t="str">
        <f>+VLOOKUP(LEFT($A138,LEN(A138)-1)*1,Master!$D$30:$G$226,4,FALSE)</f>
        <v>Pozajmice i krediti od domaćih izvora</v>
      </c>
      <c r="C138" s="651"/>
      <c r="D138" s="651"/>
      <c r="E138" s="651"/>
      <c r="F138" s="651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44" t="str">
        <f>+VLOOKUP(LEFT($A139,LEN(A139)-1)*1,Master!$D$30:$G$226,4,FALSE)</f>
        <v>Pozajmice i krediti od inostranih izvora</v>
      </c>
      <c r="C139" s="645"/>
      <c r="D139" s="645"/>
      <c r="E139" s="645"/>
      <c r="F139" s="645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44" t="str">
        <f>+VLOOKUP(LEFT($A140,LEN(A140)-1)*1,Master!$D$30:$G$226,4,FALSE)</f>
        <v>Primici od prodaje imovine</v>
      </c>
      <c r="C140" s="645"/>
      <c r="D140" s="645"/>
      <c r="E140" s="645"/>
      <c r="F140" s="645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59" t="str">
        <f>+Master!G252</f>
        <v>Ostvarenje budžeta</v>
      </c>
      <c r="C7" s="560"/>
      <c r="D7" s="560"/>
      <c r="E7" s="560"/>
      <c r="F7" s="560"/>
      <c r="G7" s="568">
        <v>2022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20" t="str">
        <f>+Master!G249</f>
        <v>BDP</v>
      </c>
      <c r="T7" s="221">
        <v>5796761000</v>
      </c>
    </row>
    <row r="8" spans="1:23" ht="16.5" customHeight="1">
      <c r="A8" s="129"/>
      <c r="B8" s="561"/>
      <c r="C8" s="562"/>
      <c r="D8" s="562"/>
      <c r="E8" s="562"/>
      <c r="F8" s="563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68" t="str">
        <f>+Master!G247</f>
        <v>Jan - Dec</v>
      </c>
      <c r="T8" s="572"/>
    </row>
    <row r="9" spans="1:23" ht="13.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79" t="str">
        <f>+VLOOKUP($A10,Master!$D$30:$G$226,4,FALSE)</f>
        <v>Prihodi budžeta</v>
      </c>
      <c r="C10" s="580"/>
      <c r="D10" s="580"/>
      <c r="E10" s="580"/>
      <c r="F10" s="580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603" t="str">
        <f>+VLOOKUP($A11,Master!$D$30:$G$226,4,FALSE)</f>
        <v>Porezi</v>
      </c>
      <c r="C11" s="604"/>
      <c r="D11" s="604"/>
      <c r="E11" s="604"/>
      <c r="F11" s="604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89" t="str">
        <f>+VLOOKUP($A12,Master!$D$30:$G$226,4,FALSE)</f>
        <v>Porez na dohodak fizičkih lica</v>
      </c>
      <c r="C12" s="590"/>
      <c r="D12" s="590"/>
      <c r="E12" s="590"/>
      <c r="F12" s="590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89" t="str">
        <f>+VLOOKUP($A13,Master!$D$30:$G$226,4,FALSE)</f>
        <v>Porez na dobit pravnih lica</v>
      </c>
      <c r="C13" s="590"/>
      <c r="D13" s="590"/>
      <c r="E13" s="590"/>
      <c r="F13" s="590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89" t="str">
        <f>+VLOOKUP($A14,Master!$D$30:$G$226,4,FALSE)</f>
        <v>Porez na promet nepokretnosti</v>
      </c>
      <c r="C14" s="590"/>
      <c r="D14" s="590"/>
      <c r="E14" s="590"/>
      <c r="F14" s="590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89" t="str">
        <f>+VLOOKUP($A15,Master!$D$30:$G$226,4,FALSE)</f>
        <v>Porez na dodatu vrijednost</v>
      </c>
      <c r="C15" s="590"/>
      <c r="D15" s="590"/>
      <c r="E15" s="590"/>
      <c r="F15" s="590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89" t="str">
        <f>+VLOOKUP($A16,Master!$D$30:$G$226,4,FALSE)</f>
        <v>Akcize</v>
      </c>
      <c r="C16" s="590"/>
      <c r="D16" s="590"/>
      <c r="E16" s="590"/>
      <c r="F16" s="590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89" t="str">
        <f>+VLOOKUP($A17,Master!$D$30:$G$226,4,FALSE)</f>
        <v>Porez na međunarodnu trgovinu i transakcije</v>
      </c>
      <c r="C17" s="590"/>
      <c r="D17" s="590"/>
      <c r="E17" s="590"/>
      <c r="F17" s="590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89" t="str">
        <f>+VLOOKUP($A18,Master!$D$30:$G$226,4,FALSE)</f>
        <v>Ostali državni porezi</v>
      </c>
      <c r="C18" s="590"/>
      <c r="D18" s="590"/>
      <c r="E18" s="590"/>
      <c r="F18" s="590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91" t="str">
        <f>+VLOOKUP($A19,Master!$D$30:$G$226,4,FALSE)</f>
        <v>Doprinosi</v>
      </c>
      <c r="C19" s="592"/>
      <c r="D19" s="592"/>
      <c r="E19" s="592"/>
      <c r="F19" s="592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89" t="str">
        <f>+VLOOKUP($A20,Master!$D$30:$G$226,4,FALSE)</f>
        <v>Doprinosi za penzijsko i invalidsko osiguranje</v>
      </c>
      <c r="C20" s="590"/>
      <c r="D20" s="590"/>
      <c r="E20" s="590"/>
      <c r="F20" s="590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89" t="str">
        <f>+VLOOKUP($A21,Master!$D$30:$G$226,4,FALSE)</f>
        <v>Doprinosi za zdravstveno osiguranje</v>
      </c>
      <c r="C21" s="590"/>
      <c r="D21" s="590"/>
      <c r="E21" s="590"/>
      <c r="F21" s="590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89" t="str">
        <f>+VLOOKUP($A22,Master!$D$30:$G$226,4,FALSE)</f>
        <v>Doprinosi za osiguranje od nezaposlenosti</v>
      </c>
      <c r="C22" s="590"/>
      <c r="D22" s="590"/>
      <c r="E22" s="590"/>
      <c r="F22" s="590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89" t="str">
        <f>+VLOOKUP($A23,Master!$D$30:$G$226,4,FALSE)</f>
        <v>Ostali doprinosi</v>
      </c>
      <c r="C23" s="590"/>
      <c r="D23" s="590"/>
      <c r="E23" s="590"/>
      <c r="F23" s="590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91" t="str">
        <f>+VLOOKUP($A24,Master!$D$30:$G$226,4,FALSE)</f>
        <v>Takse</v>
      </c>
      <c r="C24" s="592"/>
      <c r="D24" s="592"/>
      <c r="E24" s="592"/>
      <c r="F24" s="592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91" t="str">
        <f>+VLOOKUP($A25,Master!$D$30:$G$226,4,FALSE)</f>
        <v>Naknade</v>
      </c>
      <c r="C25" s="592"/>
      <c r="D25" s="592"/>
      <c r="E25" s="592"/>
      <c r="F25" s="592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91" t="str">
        <f>+VLOOKUP($A26,Master!$D$30:$G$226,4,FALSE)</f>
        <v>Ostali prihodi</v>
      </c>
      <c r="C26" s="592"/>
      <c r="D26" s="592"/>
      <c r="E26" s="592"/>
      <c r="F26" s="592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91" t="str">
        <f>+VLOOKUP($A27,Master!$D$30:$G$226,4,FALSE)</f>
        <v>Primici od otplate kredita i sredstva prenesena iz prethodne godine</v>
      </c>
      <c r="C27" s="592"/>
      <c r="D27" s="592"/>
      <c r="E27" s="592"/>
      <c r="F27" s="592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91" t="str">
        <f>+VLOOKUP($A28,Master!$D$30:$G$226,4,FALSE)</f>
        <v>Donacije i transferi</v>
      </c>
      <c r="C28" s="592"/>
      <c r="D28" s="592"/>
      <c r="E28" s="592"/>
      <c r="F28" s="592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79" t="str">
        <f>+VLOOKUP($A29,Master!$D$30:$G$226,4,FALSE)</f>
        <v>Izdaci budžeta</v>
      </c>
      <c r="C29" s="580"/>
      <c r="D29" s="580"/>
      <c r="E29" s="580"/>
      <c r="F29" s="580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597" t="str">
        <f>+VLOOKUP($A30,Master!$D$30:$G$226,4,FALSE)</f>
        <v>Tekući izdaci</v>
      </c>
      <c r="C30" s="598"/>
      <c r="D30" s="598"/>
      <c r="E30" s="598"/>
      <c r="F30" s="598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89" t="str">
        <f>+VLOOKUP($A31,Master!$D$30:$G$226,4,FALSE)</f>
        <v>Bruto zarade i doprinosi na teret poslodavca</v>
      </c>
      <c r="C31" s="590"/>
      <c r="D31" s="590"/>
      <c r="E31" s="590"/>
      <c r="F31" s="590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89" t="str">
        <f>+VLOOKUP($A32,Master!$D$30:$G$226,4,FALSE)</f>
        <v>Ostala lična primanja</v>
      </c>
      <c r="C32" s="590"/>
      <c r="D32" s="590"/>
      <c r="E32" s="590"/>
      <c r="F32" s="590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89" t="str">
        <f>+VLOOKUP($A33,Master!$D$30:$G$226,4,FALSE)</f>
        <v>Rashodi za materijal</v>
      </c>
      <c r="C33" s="590"/>
      <c r="D33" s="590"/>
      <c r="E33" s="590"/>
      <c r="F33" s="590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07" t="str">
        <f>+VLOOKUP($A34,Master!$D$30:$G$226,4,FALSE)</f>
        <v>Rashodi za usluge</v>
      </c>
      <c r="C34" s="608"/>
      <c r="D34" s="608"/>
      <c r="E34" s="608"/>
      <c r="F34" s="608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89" t="str">
        <f>+VLOOKUP($A35,Master!$D$30:$G$226,4,FALSE)</f>
        <v>Rashodi za tekuće održavanje</v>
      </c>
      <c r="C35" s="590"/>
      <c r="D35" s="590"/>
      <c r="E35" s="590"/>
      <c r="F35" s="590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89" t="str">
        <f>+VLOOKUP($A36,Master!$D$30:$G$226,4,FALSE)</f>
        <v>Kamate</v>
      </c>
      <c r="C36" s="590"/>
      <c r="D36" s="590"/>
      <c r="E36" s="590"/>
      <c r="F36" s="590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89" t="str">
        <f>+VLOOKUP($A37,Master!$D$30:$G$226,4,FALSE)</f>
        <v>Renta</v>
      </c>
      <c r="C37" s="590"/>
      <c r="D37" s="590"/>
      <c r="E37" s="590"/>
      <c r="F37" s="590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89" t="str">
        <f>+VLOOKUP($A38,Master!$D$30:$G$226,4,FALSE)</f>
        <v>Subvencije</v>
      </c>
      <c r="C38" s="590"/>
      <c r="D38" s="590"/>
      <c r="E38" s="590"/>
      <c r="F38" s="590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89" t="str">
        <f>+VLOOKUP($A39,Master!$D$30:$G$226,4,FALSE)</f>
        <v>Ostali izdaci</v>
      </c>
      <c r="C39" s="590"/>
      <c r="D39" s="590"/>
      <c r="E39" s="590"/>
      <c r="F39" s="590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85" t="str">
        <f>+VLOOKUP($A40,Master!$D$30:$G$226,4,FALSE)</f>
        <v>Transferi za socijalnu zaštitu</v>
      </c>
      <c r="C40" s="586"/>
      <c r="D40" s="586"/>
      <c r="E40" s="586"/>
      <c r="F40" s="586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89" t="str">
        <f>+VLOOKUP($A41,Master!$D$30:$G$226,4,FALSE)</f>
        <v>Prava iz oblasti socijalne zaštite</v>
      </c>
      <c r="C41" s="590"/>
      <c r="D41" s="590"/>
      <c r="E41" s="590"/>
      <c r="F41" s="590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89" t="str">
        <f>+VLOOKUP($A42,Master!$D$30:$G$226,4,FALSE)</f>
        <v>Sredstva za tehnološke viškove</v>
      </c>
      <c r="C42" s="590"/>
      <c r="D42" s="590"/>
      <c r="E42" s="590"/>
      <c r="F42" s="590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89" t="str">
        <f>+VLOOKUP($A43,Master!$D$30:$G$226,4,FALSE)</f>
        <v>Prava iz oblasti penzijskog i invalidskog osiguranja</v>
      </c>
      <c r="C43" s="590"/>
      <c r="D43" s="590"/>
      <c r="E43" s="590"/>
      <c r="F43" s="590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89" t="str">
        <f>+VLOOKUP($A44,Master!$D$30:$G$226,4,FALSE)</f>
        <v>Ostala prava iz oblasti zdravstvene zaštite</v>
      </c>
      <c r="C44" s="590"/>
      <c r="D44" s="590"/>
      <c r="E44" s="590"/>
      <c r="F44" s="590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09" t="str">
        <f>+VLOOKUP($A45,Master!$D$30:$G$226,4,FALSE)</f>
        <v>Ostala prava iz zdravstvenog osiguranja</v>
      </c>
      <c r="C45" s="610"/>
      <c r="D45" s="610"/>
      <c r="E45" s="610"/>
      <c r="F45" s="610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87" t="str">
        <f>+VLOOKUP($A46,Master!$D$30:$G$226,4,FALSE)</f>
        <v xml:space="preserve">Transferi institucijama, pojedincima, nevladinom i javnom sektoru </v>
      </c>
      <c r="C46" s="588"/>
      <c r="D46" s="588"/>
      <c r="E46" s="588"/>
      <c r="F46" s="588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87" t="str">
        <f>+VLOOKUP($A47,Master!$D$30:$G$226,4,FALSE)</f>
        <v>Kapitalni izdaci</v>
      </c>
      <c r="C47" s="588"/>
      <c r="D47" s="588"/>
      <c r="E47" s="588"/>
      <c r="F47" s="588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11" t="str">
        <f>+VLOOKUP($A48,Master!$D$30:$G$226,4,FALSE)</f>
        <v>Pozajmice i krediti</v>
      </c>
      <c r="C48" s="612"/>
      <c r="D48" s="612"/>
      <c r="E48" s="612"/>
      <c r="F48" s="612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16" t="str">
        <f>+VLOOKUP($A49,Master!$D$30:$G$226,4,FALSE)</f>
        <v>Rezerve</v>
      </c>
      <c r="C49" s="617"/>
      <c r="D49" s="617"/>
      <c r="E49" s="617"/>
      <c r="F49" s="617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75" t="str">
        <f>+VLOOKUP($A50,Master!$D$30:$G$226,4,FALSE)</f>
        <v>Otplata garancija</v>
      </c>
      <c r="C50" s="576"/>
      <c r="D50" s="576"/>
      <c r="E50" s="576"/>
      <c r="F50" s="576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18" t="str">
        <f>+VLOOKUP($A51,Master!$D$30:$G$226,4,TRUE)</f>
        <v>Otplata obaveza iz prethodnog perioda</v>
      </c>
      <c r="C51" s="619"/>
      <c r="D51" s="619"/>
      <c r="E51" s="619"/>
      <c r="F51" s="619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20" t="str">
        <f>+VLOOKUP($A52,Master!$D$30:$G$228,4,FALSE)</f>
        <v>Neto povećanje obaveza</v>
      </c>
      <c r="C52" s="621"/>
      <c r="D52" s="621"/>
      <c r="E52" s="621"/>
      <c r="F52" s="621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573" t="str">
        <f>+VLOOKUP($A56,Master!$D$30:$G$226,4,FALSE)</f>
        <v>Otplata hartija od vrijednosti i kredita rezidentima</v>
      </c>
      <c r="C56" s="574"/>
      <c r="D56" s="574"/>
      <c r="E56" s="574"/>
      <c r="F56" s="574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57" t="str">
        <f>+VLOOKUP($A57,Master!$D$30:$G$226,4,FALSE)</f>
        <v>Otplata hartija od vrijednosti i kredita nerezidentima</v>
      </c>
      <c r="C57" s="558"/>
      <c r="D57" s="558"/>
      <c r="E57" s="558"/>
      <c r="F57" s="558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595" t="str">
        <f>+VLOOKUP($A58,Master!$D$30:$G$226,4,FALSE)</f>
        <v>Izdaci za kupovinu hartija od vrijednosti</v>
      </c>
      <c r="C58" s="596"/>
      <c r="D58" s="596"/>
      <c r="E58" s="596"/>
      <c r="F58" s="596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595" t="str">
        <f>+VLOOKUP($A59,Master!$D$30:$G$226,4,FALSE)</f>
        <v>Pozajmice i krediti</v>
      </c>
      <c r="C59" s="596"/>
      <c r="D59" s="596"/>
      <c r="E59" s="596"/>
      <c r="F59" s="596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577" t="str">
        <f>+VLOOKUP($A60,Master!$D$30:$G$226,4,FALSE)</f>
        <v>Nedostajuća sredstva</v>
      </c>
      <c r="C60" s="578"/>
      <c r="D60" s="578"/>
      <c r="E60" s="578"/>
      <c r="F60" s="578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79" t="str">
        <f>+VLOOKUP($A61,Master!$D$30:$G$226,4,FALSE)</f>
        <v>Finansiranje</v>
      </c>
      <c r="C61" s="580"/>
      <c r="D61" s="580"/>
      <c r="E61" s="580"/>
      <c r="F61" s="580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573" t="str">
        <f>+VLOOKUP($A62,Master!$D$30:$G$226,4,FALSE)</f>
        <v>Pozajmice i krediti od domaćih izvora</v>
      </c>
      <c r="C62" s="574"/>
      <c r="D62" s="574"/>
      <c r="E62" s="574"/>
      <c r="F62" s="574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573" t="str">
        <f>+VLOOKUP($A63,Master!$D$30:$G$226,4,FALSE)</f>
        <v>Pozajmice i krediti od inostranih izvora</v>
      </c>
      <c r="C63" s="574"/>
      <c r="D63" s="574"/>
      <c r="E63" s="574"/>
      <c r="F63" s="574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57" t="str">
        <f>+VLOOKUP($A64,Master!$D$30:$G$226,4,FALSE)</f>
        <v>Primici od prodaje imovine</v>
      </c>
      <c r="C64" s="558"/>
      <c r="D64" s="558"/>
      <c r="E64" s="558"/>
      <c r="F64" s="558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57" t="s">
        <v>101</v>
      </c>
      <c r="C65" s="558"/>
      <c r="D65" s="558"/>
      <c r="E65" s="558"/>
      <c r="F65" s="558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28" t="str">
        <f>+Master!G253</f>
        <v>Plan ostvarenja budžeta</v>
      </c>
      <c r="C83" s="629"/>
      <c r="D83" s="629"/>
      <c r="E83" s="629"/>
      <c r="F83" s="629"/>
      <c r="G83" s="613">
        <v>2022</v>
      </c>
      <c r="H83" s="614"/>
      <c r="I83" s="614"/>
      <c r="J83" s="614"/>
      <c r="K83" s="614"/>
      <c r="L83" s="614"/>
      <c r="M83" s="614"/>
      <c r="N83" s="614"/>
      <c r="O83" s="614"/>
      <c r="P83" s="614"/>
      <c r="Q83" s="614"/>
      <c r="R83" s="615"/>
      <c r="S83" s="96" t="str">
        <f>+S7</f>
        <v>BDP</v>
      </c>
      <c r="T83" s="97">
        <v>5700400000</v>
      </c>
    </row>
    <row r="84" spans="1:26" ht="15.75" customHeight="1">
      <c r="B84" s="630"/>
      <c r="C84" s="631"/>
      <c r="D84" s="631"/>
      <c r="E84" s="631"/>
      <c r="F84" s="632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13" t="str">
        <f>+Master!G247</f>
        <v>Jan - Dec</v>
      </c>
      <c r="T84" s="615">
        <f>+T8</f>
        <v>0</v>
      </c>
    </row>
    <row r="85" spans="1:26" ht="13.5" thickBot="1">
      <c r="B85" s="633"/>
      <c r="C85" s="634"/>
      <c r="D85" s="634"/>
      <c r="E85" s="634"/>
      <c r="F85" s="635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22" t="str">
        <f>+VLOOKUP(LEFT($A86,LEN(A86)-1)*1,Master!$D$30:$G$226,4,FALSE)</f>
        <v>Prihodi budžeta</v>
      </c>
      <c r="C86" s="623"/>
      <c r="D86" s="623"/>
      <c r="E86" s="623"/>
      <c r="F86" s="623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24" t="str">
        <f>+VLOOKUP(LEFT($A87,LEN(A87)-1)*1,Master!$D$30:$G$226,4,FALSE)</f>
        <v>Porezi</v>
      </c>
      <c r="C87" s="625"/>
      <c r="D87" s="625"/>
      <c r="E87" s="625"/>
      <c r="F87" s="625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26" t="str">
        <f>+VLOOKUP(LEFT($A88,LEN(A88)-1)*1,Master!$D$30:$G$229,4,FALSE)</f>
        <v>Porez na dohodak fizičkih lica</v>
      </c>
      <c r="C88" s="627"/>
      <c r="D88" s="627"/>
      <c r="E88" s="627"/>
      <c r="F88" s="627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26" t="str">
        <f>+VLOOKUP(LEFT($A89,LEN(A89)-1)*1,Master!$D$30:$G$229,4,FALSE)</f>
        <v>Porez na dobit pravnih lica</v>
      </c>
      <c r="C89" s="627"/>
      <c r="D89" s="627"/>
      <c r="E89" s="627"/>
      <c r="F89" s="627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26" t="str">
        <f>+VLOOKUP(LEFT($A90,LEN(A90)-1)*1,Master!$D$30:$G$229,4,FALSE)</f>
        <v>Porez na promet nepokretnosti</v>
      </c>
      <c r="C90" s="627"/>
      <c r="D90" s="627"/>
      <c r="E90" s="627"/>
      <c r="F90" s="627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26" t="str">
        <f>+VLOOKUP(LEFT($A91,LEN(A91)-1)*1,Master!$D$30:$G$229,4,FALSE)</f>
        <v>Porez na dodatu vrijednost</v>
      </c>
      <c r="C91" s="627"/>
      <c r="D91" s="627"/>
      <c r="E91" s="627"/>
      <c r="F91" s="627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26" t="str">
        <f>+VLOOKUP(LEFT($A92,LEN(A92)-1)*1,Master!$D$30:$G$229,4,FALSE)</f>
        <v>Akcize</v>
      </c>
      <c r="C92" s="627"/>
      <c r="D92" s="627"/>
      <c r="E92" s="627"/>
      <c r="F92" s="627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26" t="str">
        <f>+VLOOKUP(LEFT($A93,LEN(A93)-1)*1,Master!$D$30:$G$229,4,FALSE)</f>
        <v>Porez na međunarodnu trgovinu i transakcije</v>
      </c>
      <c r="C93" s="627"/>
      <c r="D93" s="627"/>
      <c r="E93" s="627"/>
      <c r="F93" s="627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26" t="str">
        <f>+VLOOKUP(LEFT($A94,LEN(A94)-1)*1,Master!$D$30:$G$229,4,FALSE)</f>
        <v>Ostali državni porezi</v>
      </c>
      <c r="C94" s="627"/>
      <c r="D94" s="627"/>
      <c r="E94" s="627"/>
      <c r="F94" s="627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36" t="str">
        <f>+VLOOKUP(LEFT($A95,LEN(A95)-1)*1,Master!$D$30:$G$229,4,FALSE)</f>
        <v>Doprinosi</v>
      </c>
      <c r="C95" s="637"/>
      <c r="D95" s="637"/>
      <c r="E95" s="637"/>
      <c r="F95" s="637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26" t="str">
        <f>+VLOOKUP(LEFT($A96,LEN(A96)-1)*1,Master!$D$30:$G$229,4,FALSE)</f>
        <v>Doprinosi za penzijsko i invalidsko osiguranje</v>
      </c>
      <c r="C96" s="627"/>
      <c r="D96" s="627"/>
      <c r="E96" s="627"/>
      <c r="F96" s="627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26" t="str">
        <f>+VLOOKUP(LEFT($A97,LEN(A97)-1)*1,Master!$D$30:$G$229,4,FALSE)</f>
        <v>Doprinosi za zdravstveno osiguranje</v>
      </c>
      <c r="C97" s="627"/>
      <c r="D97" s="627"/>
      <c r="E97" s="627"/>
      <c r="F97" s="627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26" t="str">
        <f>+VLOOKUP(LEFT($A98,LEN(A98)-1)*1,Master!$D$30:$G$229,4,FALSE)</f>
        <v>Doprinosi za osiguranje od nezaposlenosti</v>
      </c>
      <c r="C98" s="627"/>
      <c r="D98" s="627"/>
      <c r="E98" s="627"/>
      <c r="F98" s="627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26" t="str">
        <f>+VLOOKUP(LEFT($A99,LEN(A99)-1)*1,Master!$D$30:$G$229,4,FALSE)</f>
        <v>Ostali doprinosi</v>
      </c>
      <c r="C99" s="627"/>
      <c r="D99" s="627"/>
      <c r="E99" s="627"/>
      <c r="F99" s="627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36" t="str">
        <f>+VLOOKUP(LEFT($A100,LEN(A100)-1)*1,Master!$D$30:$G$229,4,FALSE)</f>
        <v>Takse</v>
      </c>
      <c r="C100" s="637"/>
      <c r="D100" s="637"/>
      <c r="E100" s="637"/>
      <c r="F100" s="637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36" t="str">
        <f>+VLOOKUP(LEFT($A101,LEN(A101)-1)*1,Master!$D$30:$G$229,4,FALSE)</f>
        <v>Naknade</v>
      </c>
      <c r="C101" s="637"/>
      <c r="D101" s="637"/>
      <c r="E101" s="637"/>
      <c r="F101" s="637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36" t="str">
        <f>+VLOOKUP(LEFT($A102,LEN(A102)-1)*1,Master!$D$30:$G$229,4,FALSE)</f>
        <v>Ostali prihodi</v>
      </c>
      <c r="C102" s="637"/>
      <c r="D102" s="637"/>
      <c r="E102" s="637"/>
      <c r="F102" s="637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36" t="str">
        <f>+VLOOKUP(LEFT($A103,LEN(A103)-1)*1,Master!$D$30:$G$229,4,FALSE)</f>
        <v>Primici od otplate kredita i sredstva prenesena iz prethodne godine</v>
      </c>
      <c r="C103" s="637"/>
      <c r="D103" s="637"/>
      <c r="E103" s="637"/>
      <c r="F103" s="637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38" t="str">
        <f>+VLOOKUP(LEFT($A104,LEN(A104)-1)*1,Master!$D$30:$G$229,4,FALSE)</f>
        <v>Donacije i transferi</v>
      </c>
      <c r="C104" s="639"/>
      <c r="D104" s="639"/>
      <c r="E104" s="639"/>
      <c r="F104" s="639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22" t="str">
        <f>+VLOOKUP(LEFT($A105,LEN(A105)-1)*1,Master!$D$30:$G$229,4,FALSE)</f>
        <v>Izdaci budžeta</v>
      </c>
      <c r="C105" s="623"/>
      <c r="D105" s="623"/>
      <c r="E105" s="623"/>
      <c r="F105" s="623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40" t="str">
        <f>+VLOOKUP(LEFT($A106,LEN(A106)-1)*1,Master!$D$30:$G$229,4,FALSE)</f>
        <v>Tekući izdaci</v>
      </c>
      <c r="C106" s="641"/>
      <c r="D106" s="641"/>
      <c r="E106" s="641"/>
      <c r="F106" s="641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26" t="str">
        <f>+VLOOKUP(LEFT($A107,LEN(A107)-1)*1,Master!$D$30:$G$229,4,FALSE)</f>
        <v>Bruto zarade i doprinosi na teret poslodavca</v>
      </c>
      <c r="C107" s="627"/>
      <c r="D107" s="627"/>
      <c r="E107" s="627"/>
      <c r="F107" s="627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26" t="str">
        <f>+VLOOKUP(LEFT($A108,LEN(A108)-1)*1,Master!$D$30:$G$229,4,FALSE)</f>
        <v>Ostala lična primanja</v>
      </c>
      <c r="C108" s="627"/>
      <c r="D108" s="627"/>
      <c r="E108" s="627"/>
      <c r="F108" s="627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26" t="str">
        <f>+VLOOKUP(LEFT($A109,LEN(A109)-1)*1,Master!$D$30:$G$229,4,FALSE)</f>
        <v>Rashodi za materijal</v>
      </c>
      <c r="C109" s="627"/>
      <c r="D109" s="627"/>
      <c r="E109" s="627"/>
      <c r="F109" s="627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26" t="str">
        <f>+VLOOKUP(LEFT($A110,LEN(A110)-1)*1,Master!$D$30:$G$229,4,FALSE)</f>
        <v>Rashodi za usluge</v>
      </c>
      <c r="C110" s="627"/>
      <c r="D110" s="627"/>
      <c r="E110" s="627"/>
      <c r="F110" s="627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26" t="str">
        <f>+VLOOKUP(LEFT($A111,LEN(A111)-1)*1,Master!$D$30:$G$229,4,FALSE)</f>
        <v>Rashodi za tekuće održavanje</v>
      </c>
      <c r="C111" s="627"/>
      <c r="D111" s="627"/>
      <c r="E111" s="627"/>
      <c r="F111" s="627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26" t="str">
        <f>+VLOOKUP(LEFT($A112,LEN(A112)-1)*1,Master!$D$30:$G$229,4,FALSE)</f>
        <v>Kamate</v>
      </c>
      <c r="C112" s="627"/>
      <c r="D112" s="627"/>
      <c r="E112" s="627"/>
      <c r="F112" s="627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26" t="str">
        <f>+VLOOKUP(LEFT($A113,LEN(A113)-1)*1,Master!$D$30:$G$229,4,FALSE)</f>
        <v>Renta</v>
      </c>
      <c r="C113" s="627"/>
      <c r="D113" s="627"/>
      <c r="E113" s="627"/>
      <c r="F113" s="627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26" t="str">
        <f>+VLOOKUP(LEFT($A114,LEN(A114)-1)*1,Master!$D$30:$G$229,4,FALSE)</f>
        <v>Subvencije</v>
      </c>
      <c r="C114" s="627"/>
      <c r="D114" s="627"/>
      <c r="E114" s="627"/>
      <c r="F114" s="627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26" t="str">
        <f>+VLOOKUP(LEFT($A115,LEN(A115)-1)*1,Master!$D$30:$G$229,4,FALSE)</f>
        <v>Ostali izdaci</v>
      </c>
      <c r="C115" s="627"/>
      <c r="D115" s="627"/>
      <c r="E115" s="627"/>
      <c r="F115" s="627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46" t="str">
        <f>+VLOOKUP(LEFT($A116,LEN(A116)-1)*1,Master!$D$30:$G$229,4,FALSE)</f>
        <v>Transferi za socijalnu zaštitu</v>
      </c>
      <c r="C116" s="647"/>
      <c r="D116" s="647"/>
      <c r="E116" s="647"/>
      <c r="F116" s="647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26" t="str">
        <f>+VLOOKUP(LEFT($A117,LEN(A117)-1)*1,Master!$D$30:$G$229,4,FALSE)</f>
        <v>Prava iz oblasti socijalne zaštite</v>
      </c>
      <c r="C117" s="627"/>
      <c r="D117" s="627"/>
      <c r="E117" s="627"/>
      <c r="F117" s="627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26" t="str">
        <f>+VLOOKUP(LEFT($A118,LEN(A118)-1)*1,Master!$D$30:$G$229,4,FALSE)</f>
        <v>Sredstva za tehnološke viškove</v>
      </c>
      <c r="C118" s="627"/>
      <c r="D118" s="627"/>
      <c r="E118" s="627"/>
      <c r="F118" s="627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26" t="str">
        <f>+VLOOKUP(LEFT($A119,LEN(A119)-1)*1,Master!$D$30:$G$229,4,FALSE)</f>
        <v>Prava iz oblasti penzijskog i invalidskog osiguranja</v>
      </c>
      <c r="C119" s="627"/>
      <c r="D119" s="627"/>
      <c r="E119" s="627"/>
      <c r="F119" s="627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26" t="str">
        <f>+VLOOKUP(LEFT($A120,LEN(A120)-1)*1,Master!$D$30:$G$229,4,FALSE)</f>
        <v>Ostala prava iz oblasti zdravstvene zaštite</v>
      </c>
      <c r="C120" s="627"/>
      <c r="D120" s="627"/>
      <c r="E120" s="627"/>
      <c r="F120" s="627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26" t="str">
        <f>+VLOOKUP(LEFT($A121,LEN(A121)-1)*1,Master!$D$30:$G$229,4,FALSE)</f>
        <v>Ostala prava iz zdravstvenog osiguranja</v>
      </c>
      <c r="C121" s="627"/>
      <c r="D121" s="627"/>
      <c r="E121" s="627"/>
      <c r="F121" s="627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42" t="str">
        <f>+VLOOKUP(LEFT($A122,LEN(A122)-1)*1,Master!$D$30:$G$229,4,FALSE)</f>
        <v xml:space="preserve">Transferi institucijama, pojedincima, nevladinom i javnom sektoru </v>
      </c>
      <c r="C122" s="643"/>
      <c r="D122" s="643"/>
      <c r="E122" s="643"/>
      <c r="F122" s="643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42" t="str">
        <f>+VLOOKUP(LEFT($A123,LEN(A123)-1)*1,Master!$D$30:$G$229,4,FALSE)</f>
        <v>Kapitalni izdaci</v>
      </c>
      <c r="C123" s="643"/>
      <c r="D123" s="643"/>
      <c r="E123" s="643"/>
      <c r="F123" s="643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44" t="str">
        <f>+VLOOKUP(LEFT($A124,LEN(A124)-1)*1,Master!$D$30:$G$229,4,FALSE)</f>
        <v>Pozajmice i krediti</v>
      </c>
      <c r="C124" s="645"/>
      <c r="D124" s="645"/>
      <c r="E124" s="645"/>
      <c r="F124" s="645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44" t="str">
        <f>+VLOOKUP(LEFT($A125,LEN(A125)-1)*1,Master!$D$30:$G$229,4,FALSE)</f>
        <v>Rezerve</v>
      </c>
      <c r="C125" s="645"/>
      <c r="D125" s="645"/>
      <c r="E125" s="645"/>
      <c r="F125" s="645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44" t="str">
        <f>+VLOOKUP(LEFT($A126,LEN(A126)-1)*1,Master!$D$30:$G$229,4,FALSE)</f>
        <v>Otplata garancija</v>
      </c>
      <c r="C126" s="645"/>
      <c r="D126" s="645"/>
      <c r="E126" s="645"/>
      <c r="F126" s="645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44" t="str">
        <f>+VLOOKUP(LEFT($A127,LEN(A127)-1)*1,Master!$D$30:$G$229,4,FALSE)</f>
        <v>Otplata obaveza iz prethodnog perioda</v>
      </c>
      <c r="C127" s="645"/>
      <c r="D127" s="645"/>
      <c r="E127" s="645"/>
      <c r="F127" s="645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44" t="str">
        <f>+VLOOKUP(LEFT($A128,LEN(A128)-1)*1,Master!$D$30:$G$229,4,FALSE)</f>
        <v>Neto povećanje obaveza</v>
      </c>
      <c r="C128" s="645"/>
      <c r="D128" s="645"/>
      <c r="E128" s="645"/>
      <c r="F128" s="645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52" t="str">
        <f>+VLOOKUP(LEFT($A129,LEN(A129)-1)*1,Master!$D$30:$G$226,4,FALSE)</f>
        <v>Suficit / deficit</v>
      </c>
      <c r="C129" s="653"/>
      <c r="D129" s="653"/>
      <c r="E129" s="653"/>
      <c r="F129" s="653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54" t="str">
        <f>+VLOOKUP(LEFT($A130,LEN(A130)-1)*1,Master!$D$30:$G$226,4,FALSE)</f>
        <v>Primarni suficit/deficit</v>
      </c>
      <c r="C130" s="655"/>
      <c r="D130" s="655"/>
      <c r="E130" s="655"/>
      <c r="F130" s="655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46" t="str">
        <f>+VLOOKUP(LEFT($A131,LEN(A131)-1)*1,Master!$D$30:$G$226,4,FALSE)</f>
        <v>Otplata dugova</v>
      </c>
      <c r="C131" s="647"/>
      <c r="D131" s="647"/>
      <c r="E131" s="647"/>
      <c r="F131" s="647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50" t="str">
        <f>+VLOOKUP(LEFT($A132,LEN(A132)-1)*1,Master!$D$30:$G$226,4,FALSE)</f>
        <v>Otplata hartija od vrijednosti i kredita rezidentima</v>
      </c>
      <c r="C132" s="651"/>
      <c r="D132" s="651"/>
      <c r="E132" s="651"/>
      <c r="F132" s="651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44" t="str">
        <f>+VLOOKUP(LEFT($A133,LEN(A133)-1)*1,Master!$D$30:$G$226,4,FALSE)</f>
        <v>Otplata hartija od vrijednosti i kredita nerezidentima</v>
      </c>
      <c r="C133" s="645"/>
      <c r="D133" s="645"/>
      <c r="E133" s="645"/>
      <c r="F133" s="645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22" t="str">
        <f>+VLOOKUP(LEFT($A134,LEN(A134)-1)*1,Master!$D$30:$G$226,4,FALSE)</f>
        <v>Izdaci za kupovinu hartija od vrijednosti</v>
      </c>
      <c r="C134" s="623"/>
      <c r="D134" s="623"/>
      <c r="E134" s="623"/>
      <c r="F134" s="623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48" t="str">
        <f>+VLOOKUP(LEFT($A135,LEN(A135)-1)*1,Master!$D$30:$G$226,4,FALSE)</f>
        <v>Nedostajuća sredstva</v>
      </c>
      <c r="C135" s="649"/>
      <c r="D135" s="649"/>
      <c r="E135" s="649"/>
      <c r="F135" s="649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22" t="str">
        <f>+VLOOKUP(LEFT($A136,LEN(A136)-1)*1,Master!$D$30:$G$226,4,FALSE)</f>
        <v>Finansiranje</v>
      </c>
      <c r="C136" s="623"/>
      <c r="D136" s="623"/>
      <c r="E136" s="623"/>
      <c r="F136" s="623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50" t="str">
        <f>+VLOOKUP(LEFT($A137,LEN(A137)-1)*1,Master!$D$30:$G$226,4,FALSE)</f>
        <v>Pozajmice i krediti od domaćih izvora</v>
      </c>
      <c r="C137" s="651"/>
      <c r="D137" s="651"/>
      <c r="E137" s="651"/>
      <c r="F137" s="651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44" t="str">
        <f>+VLOOKUP(LEFT($A138,LEN(A138)-1)*1,Master!$D$30:$G$226,4,FALSE)</f>
        <v>Pozajmice i krediti od inostranih izvora</v>
      </c>
      <c r="C138" s="645"/>
      <c r="D138" s="645"/>
      <c r="E138" s="645"/>
      <c r="F138" s="645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44" t="str">
        <f>+VLOOKUP(LEFT($A139,LEN(A139)-1)*1,Master!$D$30:$G$226,4,FALSE)</f>
        <v>Primici od prodaje imovine</v>
      </c>
      <c r="C139" s="645"/>
      <c r="D139" s="645"/>
      <c r="E139" s="645"/>
      <c r="F139" s="645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59" t="str">
        <f>+Master!G252</f>
        <v>Ostvarenje budžeta</v>
      </c>
      <c r="C7" s="560"/>
      <c r="D7" s="560"/>
      <c r="E7" s="560"/>
      <c r="F7" s="560"/>
      <c r="G7" s="568">
        <v>2021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20" t="str">
        <f>+Master!G249</f>
        <v>BDP</v>
      </c>
      <c r="T7" s="221">
        <v>4955116000</v>
      </c>
    </row>
    <row r="8" spans="1:22" ht="16.5" customHeight="1">
      <c r="A8" s="129"/>
      <c r="B8" s="561"/>
      <c r="C8" s="562"/>
      <c r="D8" s="562"/>
      <c r="E8" s="562"/>
      <c r="F8" s="563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68" t="str">
        <f>+Master!G247</f>
        <v>Jan - Dec</v>
      </c>
      <c r="T8" s="572"/>
    </row>
    <row r="9" spans="1:22" ht="13.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601" t="str">
        <f>+VLOOKUP($A10,Master!$D$30:$G$226,4,FALSE)</f>
        <v>Prihodi budžeta</v>
      </c>
      <c r="C10" s="602"/>
      <c r="D10" s="602"/>
      <c r="E10" s="602"/>
      <c r="F10" s="602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603" t="str">
        <f>+VLOOKUP($A11,Master!$D$30:$G$226,4,FALSE)</f>
        <v>Porezi</v>
      </c>
      <c r="C11" s="604"/>
      <c r="D11" s="604"/>
      <c r="E11" s="604"/>
      <c r="F11" s="604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89" t="str">
        <f>+VLOOKUP($A12,Master!$D$30:$G$226,4,FALSE)</f>
        <v>Porez na dohodak fizičkih lica</v>
      </c>
      <c r="C12" s="590"/>
      <c r="D12" s="590"/>
      <c r="E12" s="590"/>
      <c r="F12" s="590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89" t="str">
        <f>+VLOOKUP($A13,Master!$D$30:$G$226,4,FALSE)</f>
        <v>Porez na dobit pravnih lica</v>
      </c>
      <c r="C13" s="590"/>
      <c r="D13" s="590"/>
      <c r="E13" s="590"/>
      <c r="F13" s="590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89" t="str">
        <f>+VLOOKUP($A14,Master!$D$30:$G$226,4,FALSE)</f>
        <v>Porez na promet nepokretnosti</v>
      </c>
      <c r="C14" s="590"/>
      <c r="D14" s="590"/>
      <c r="E14" s="590"/>
      <c r="F14" s="590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89" t="str">
        <f>+VLOOKUP($A15,Master!$D$30:$G$226,4,FALSE)</f>
        <v>Porez na dodatu vrijednost</v>
      </c>
      <c r="C15" s="590"/>
      <c r="D15" s="590"/>
      <c r="E15" s="590"/>
      <c r="F15" s="590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89" t="str">
        <f>+VLOOKUP($A16,Master!$D$30:$G$226,4,FALSE)</f>
        <v>Akcize</v>
      </c>
      <c r="C16" s="590"/>
      <c r="D16" s="590"/>
      <c r="E16" s="590"/>
      <c r="F16" s="590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89" t="str">
        <f>+VLOOKUP($A17,Master!$D$30:$G$226,4,FALSE)</f>
        <v>Porez na međunarodnu trgovinu i transakcije</v>
      </c>
      <c r="C17" s="590"/>
      <c r="D17" s="590"/>
      <c r="E17" s="590"/>
      <c r="F17" s="590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89" t="str">
        <f>+VLOOKUP($A18,Master!$D$30:$G$226,4,FALSE)</f>
        <v>Ostali državni porezi</v>
      </c>
      <c r="C18" s="590"/>
      <c r="D18" s="590"/>
      <c r="E18" s="590"/>
      <c r="F18" s="590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599" t="str">
        <f>+VLOOKUP($A19,Master!$D$30:$G$226,4,FALSE)</f>
        <v>Doprinosi</v>
      </c>
      <c r="C19" s="600"/>
      <c r="D19" s="600"/>
      <c r="E19" s="600"/>
      <c r="F19" s="600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89" t="str">
        <f>+VLOOKUP($A20,Master!$D$30:$G$226,4,FALSE)</f>
        <v>Doprinosi za penzijsko i invalidsko osiguranje</v>
      </c>
      <c r="C20" s="590"/>
      <c r="D20" s="590"/>
      <c r="E20" s="590"/>
      <c r="F20" s="590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89" t="str">
        <f>+VLOOKUP($A21,Master!$D$30:$G$226,4,FALSE)</f>
        <v>Doprinosi za zdravstveno osiguranje</v>
      </c>
      <c r="C21" s="590"/>
      <c r="D21" s="590"/>
      <c r="E21" s="590"/>
      <c r="F21" s="590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89" t="str">
        <f>+VLOOKUP($A22,Master!$D$30:$G$226,4,FALSE)</f>
        <v>Doprinosi za osiguranje od nezaposlenosti</v>
      </c>
      <c r="C22" s="590"/>
      <c r="D22" s="590"/>
      <c r="E22" s="590"/>
      <c r="F22" s="590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89" t="str">
        <f>+VLOOKUP($A23,Master!$D$30:$G$226,4,FALSE)</f>
        <v>Ostali doprinosi</v>
      </c>
      <c r="C23" s="590"/>
      <c r="D23" s="590"/>
      <c r="E23" s="590"/>
      <c r="F23" s="590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91" t="str">
        <f>+VLOOKUP($A24,Master!$D$30:$G$226,4,FALSE)</f>
        <v>Takse</v>
      </c>
      <c r="C24" s="592"/>
      <c r="D24" s="592"/>
      <c r="E24" s="592"/>
      <c r="F24" s="592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91" t="str">
        <f>+VLOOKUP($A25,Master!$D$30:$G$226,4,FALSE)</f>
        <v>Naknade</v>
      </c>
      <c r="C25" s="592"/>
      <c r="D25" s="592"/>
      <c r="E25" s="592"/>
      <c r="F25" s="592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91" t="str">
        <f>+VLOOKUP($A26,Master!$D$30:$G$226,4,FALSE)</f>
        <v>Ostali prihodi</v>
      </c>
      <c r="C26" s="592"/>
      <c r="D26" s="592"/>
      <c r="E26" s="592"/>
      <c r="F26" s="592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91" t="str">
        <f>+VLOOKUP($A27,Master!$D$30:$G$226,4,FALSE)</f>
        <v>Primici od otplate kredita i sredstva prenesena iz prethodne godine</v>
      </c>
      <c r="C27" s="592"/>
      <c r="D27" s="592"/>
      <c r="E27" s="592"/>
      <c r="F27" s="592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93" t="str">
        <f>+VLOOKUP($A28,Master!$D$30:$G$226,4,FALSE)</f>
        <v>Donacije i transferi</v>
      </c>
      <c r="C28" s="594"/>
      <c r="D28" s="594"/>
      <c r="E28" s="594"/>
      <c r="F28" s="594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79" t="str">
        <f>+VLOOKUP($A29,Master!$D$30:$G$226,4,FALSE)</f>
        <v>Izdaci budžeta</v>
      </c>
      <c r="C29" s="580"/>
      <c r="D29" s="580"/>
      <c r="E29" s="580"/>
      <c r="F29" s="580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597" t="str">
        <f>+VLOOKUP($A30,Master!$D$30:$G$226,4,FALSE)</f>
        <v>Tekući izdaci</v>
      </c>
      <c r="C30" s="598"/>
      <c r="D30" s="598"/>
      <c r="E30" s="598"/>
      <c r="F30" s="598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89" t="str">
        <f>+VLOOKUP($A31,Master!$D$30:$G$226,4,FALSE)</f>
        <v>Bruto zarade i doprinosi na teret poslodavca</v>
      </c>
      <c r="C31" s="590"/>
      <c r="D31" s="590"/>
      <c r="E31" s="590"/>
      <c r="F31" s="590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89" t="str">
        <f>+VLOOKUP($A32,Master!$D$30:$G$226,4,FALSE)</f>
        <v>Ostala lična primanja</v>
      </c>
      <c r="C32" s="590"/>
      <c r="D32" s="590"/>
      <c r="E32" s="590"/>
      <c r="F32" s="590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89" t="str">
        <f>+VLOOKUP($A33,Master!$D$30:$G$226,4,FALSE)</f>
        <v>Rashodi za materijal</v>
      </c>
      <c r="C33" s="590"/>
      <c r="D33" s="590"/>
      <c r="E33" s="590"/>
      <c r="F33" s="590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07" t="str">
        <f>+VLOOKUP($A34,Master!$D$30:$G$226,4,FALSE)</f>
        <v>Rashodi za usluge</v>
      </c>
      <c r="C34" s="608"/>
      <c r="D34" s="608"/>
      <c r="E34" s="608"/>
      <c r="F34" s="608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89" t="str">
        <f>+VLOOKUP($A35,Master!$D$30:$G$226,4,FALSE)</f>
        <v>Rashodi za tekuće održavanje</v>
      </c>
      <c r="C35" s="590"/>
      <c r="D35" s="590"/>
      <c r="E35" s="590"/>
      <c r="F35" s="590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89" t="str">
        <f>+VLOOKUP($A36,Master!$D$30:$G$226,4,FALSE)</f>
        <v>Kamate</v>
      </c>
      <c r="C36" s="590"/>
      <c r="D36" s="590"/>
      <c r="E36" s="590"/>
      <c r="F36" s="590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89" t="str">
        <f>+VLOOKUP($A37,Master!$D$30:$G$226,4,FALSE)</f>
        <v>Renta</v>
      </c>
      <c r="C37" s="590"/>
      <c r="D37" s="590"/>
      <c r="E37" s="590"/>
      <c r="F37" s="590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89" t="str">
        <f>+VLOOKUP($A38,Master!$D$30:$G$226,4,FALSE)</f>
        <v>Subvencije</v>
      </c>
      <c r="C38" s="590"/>
      <c r="D38" s="590"/>
      <c r="E38" s="590"/>
      <c r="F38" s="590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07" t="str">
        <f>+VLOOKUP($A39,Master!$D$30:$G$226,4,FALSE)</f>
        <v>Ostali izdaci</v>
      </c>
      <c r="C39" s="608"/>
      <c r="D39" s="608"/>
      <c r="E39" s="608"/>
      <c r="F39" s="608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85" t="str">
        <f>+VLOOKUP($A40,Master!$D$30:$G$226,4,FALSE)</f>
        <v>Transferi za socijalnu zaštitu</v>
      </c>
      <c r="C40" s="586"/>
      <c r="D40" s="586"/>
      <c r="E40" s="586"/>
      <c r="F40" s="586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89" t="str">
        <f>+VLOOKUP($A41,Master!$D$30:$G$226,4,FALSE)</f>
        <v>Prava iz oblasti socijalne zaštite</v>
      </c>
      <c r="C41" s="590"/>
      <c r="D41" s="590"/>
      <c r="E41" s="590"/>
      <c r="F41" s="590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89" t="str">
        <f>+VLOOKUP($A42,Master!$D$30:$G$226,4,FALSE)</f>
        <v>Sredstva za tehnološke viškove</v>
      </c>
      <c r="C42" s="590"/>
      <c r="D42" s="590"/>
      <c r="E42" s="590"/>
      <c r="F42" s="590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89" t="str">
        <f>+VLOOKUP($A43,Master!$D$30:$G$226,4,FALSE)</f>
        <v>Prava iz oblasti penzijskog i invalidskog osiguranja</v>
      </c>
      <c r="C43" s="590"/>
      <c r="D43" s="590"/>
      <c r="E43" s="590"/>
      <c r="F43" s="590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89" t="str">
        <f>+VLOOKUP($A44,Master!$D$30:$G$226,4,FALSE)</f>
        <v>Ostala prava iz oblasti zdravstvene zaštite</v>
      </c>
      <c r="C44" s="590"/>
      <c r="D44" s="590"/>
      <c r="E44" s="590"/>
      <c r="F44" s="590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09" t="str">
        <f>+VLOOKUP($A45,Master!$D$30:$G$226,4,FALSE)</f>
        <v>Ostala prava iz zdravstvenog osiguranja</v>
      </c>
      <c r="C45" s="610"/>
      <c r="D45" s="610"/>
      <c r="E45" s="610"/>
      <c r="F45" s="610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87" t="str">
        <f>+VLOOKUP($A46,Master!$D$30:$G$226,4,FALSE)</f>
        <v xml:space="preserve">Transferi institucijama, pojedincima, nevladinom i javnom sektoru </v>
      </c>
      <c r="C46" s="588"/>
      <c r="D46" s="588"/>
      <c r="E46" s="588"/>
      <c r="F46" s="588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87" t="str">
        <f>+VLOOKUP($A47,Master!$D$30:$G$226,4,FALSE)</f>
        <v>Kapitalni izdaci</v>
      </c>
      <c r="C47" s="588"/>
      <c r="D47" s="588"/>
      <c r="E47" s="588"/>
      <c r="F47" s="588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11" t="str">
        <f>+VLOOKUP($A48,Master!$D$30:$G$226,4,FALSE)</f>
        <v>Pozajmice i krediti</v>
      </c>
      <c r="C48" s="612"/>
      <c r="D48" s="612"/>
      <c r="E48" s="612"/>
      <c r="F48" s="612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16" t="str">
        <f>+VLOOKUP($A49,Master!$D$30:$G$226,4,FALSE)</f>
        <v>Rezerve</v>
      </c>
      <c r="C49" s="617"/>
      <c r="D49" s="617"/>
      <c r="E49" s="617"/>
      <c r="F49" s="617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75" t="str">
        <f>+VLOOKUP($A50,Master!$D$30:$G$226,4,FALSE)</f>
        <v>Otplata garancija</v>
      </c>
      <c r="C50" s="576"/>
      <c r="D50" s="576"/>
      <c r="E50" s="576"/>
      <c r="F50" s="576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18" t="str">
        <f>+VLOOKUP($A51,Master!$D$30:$G$226,4,TRUE)</f>
        <v>Otplata obaveza iz prethodnog perioda</v>
      </c>
      <c r="C51" s="619"/>
      <c r="D51" s="619"/>
      <c r="E51" s="619"/>
      <c r="F51" s="619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20" t="str">
        <f>+VLOOKUP($A52,Master!$D$30:$G$228,4,FALSE)</f>
        <v>Neto povećanje obaveza</v>
      </c>
      <c r="C52" s="621"/>
      <c r="D52" s="621"/>
      <c r="E52" s="621"/>
      <c r="F52" s="621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573" t="str">
        <f>+VLOOKUP($A56,Master!$D$30:$G$226,4,FALSE)</f>
        <v>Otplata hartija od vrijednosti i kredita rezidentima</v>
      </c>
      <c r="C56" s="574"/>
      <c r="D56" s="574"/>
      <c r="E56" s="574"/>
      <c r="F56" s="574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57" t="str">
        <f>+VLOOKUP($A57,Master!$D$30:$G$226,4,FALSE)</f>
        <v>Otplata hartija od vrijednosti i kredita nerezidentima</v>
      </c>
      <c r="C57" s="558"/>
      <c r="D57" s="558"/>
      <c r="E57" s="558"/>
      <c r="F57" s="558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595" t="str">
        <f>+VLOOKUP($A58,Master!$D$30:$G$226,4,FALSE)</f>
        <v>Izdaci za kupovinu hartija od vrijednosti</v>
      </c>
      <c r="C58" s="596"/>
      <c r="D58" s="596"/>
      <c r="E58" s="596"/>
      <c r="F58" s="596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577" t="str">
        <f>+VLOOKUP($A59,Master!$D$30:$G$226,4,FALSE)</f>
        <v>Nedostajuća sredstva</v>
      </c>
      <c r="C59" s="578"/>
      <c r="D59" s="578"/>
      <c r="E59" s="578"/>
      <c r="F59" s="578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79" t="str">
        <f>+VLOOKUP($A60,Master!$D$30:$G$226,4,FALSE)</f>
        <v>Finansiranje</v>
      </c>
      <c r="C60" s="580"/>
      <c r="D60" s="580"/>
      <c r="E60" s="580"/>
      <c r="F60" s="580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573" t="str">
        <f>+VLOOKUP($A61,Master!$D$30:$G$226,4,FALSE)</f>
        <v>Pozajmice i krediti od domaćih izvora</v>
      </c>
      <c r="C61" s="574"/>
      <c r="D61" s="574"/>
      <c r="E61" s="574"/>
      <c r="F61" s="574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57" t="str">
        <f>+VLOOKUP($A62,Master!$D$30:$G$226,4,FALSE)</f>
        <v>Pozajmice i krediti od inostranih izvora</v>
      </c>
      <c r="C62" s="558"/>
      <c r="D62" s="558"/>
      <c r="E62" s="558"/>
      <c r="F62" s="558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57" t="str">
        <f>+VLOOKUP($A63,Master!$D$30:$G$226,4,FALSE)</f>
        <v>Primici od prodaje imovine</v>
      </c>
      <c r="C63" s="558"/>
      <c r="D63" s="558"/>
      <c r="E63" s="558"/>
      <c r="F63" s="558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28" t="str">
        <f>+Master!G253</f>
        <v>Plan ostvarenja budžeta</v>
      </c>
      <c r="C81" s="629"/>
      <c r="D81" s="629"/>
      <c r="E81" s="629"/>
      <c r="F81" s="629"/>
      <c r="G81" s="613">
        <v>2021</v>
      </c>
      <c r="H81" s="614"/>
      <c r="I81" s="614"/>
      <c r="J81" s="614"/>
      <c r="K81" s="614"/>
      <c r="L81" s="614"/>
      <c r="M81" s="614"/>
      <c r="N81" s="614"/>
      <c r="O81" s="614"/>
      <c r="P81" s="614"/>
      <c r="Q81" s="614"/>
      <c r="R81" s="615"/>
      <c r="S81" s="96" t="str">
        <f>+S7</f>
        <v>BDP</v>
      </c>
      <c r="T81" s="97">
        <v>4636600000</v>
      </c>
    </row>
    <row r="82" spans="1:21" ht="15.75" customHeight="1">
      <c r="B82" s="630"/>
      <c r="C82" s="631"/>
      <c r="D82" s="631"/>
      <c r="E82" s="631"/>
      <c r="F82" s="632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13" t="str">
        <f>+Master!G247</f>
        <v>Jan - Dec</v>
      </c>
      <c r="T82" s="615">
        <f>+T8</f>
        <v>0</v>
      </c>
    </row>
    <row r="83" spans="1:21" ht="13.5" thickBot="1">
      <c r="B83" s="633"/>
      <c r="C83" s="634"/>
      <c r="D83" s="634"/>
      <c r="E83" s="634"/>
      <c r="F83" s="635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58" t="str">
        <f>+VLOOKUP(LEFT($A84,LEN(A84)-1)*1,Master!$D$30:$G$226,4,FALSE)</f>
        <v>Prihodi budžeta</v>
      </c>
      <c r="C84" s="659"/>
      <c r="D84" s="659"/>
      <c r="E84" s="659"/>
      <c r="F84" s="659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24" t="str">
        <f>+VLOOKUP(LEFT($A85,LEN(A85)-1)*1,Master!$D$30:$G$226,4,FALSE)</f>
        <v>Porezi</v>
      </c>
      <c r="C85" s="625"/>
      <c r="D85" s="625"/>
      <c r="E85" s="625"/>
      <c r="F85" s="625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26" t="str">
        <f>+VLOOKUP(LEFT($A86,LEN(A86)-1)*1,Master!$D$30:$G$229,4,FALSE)</f>
        <v>Porez na dohodak fizičkih lica</v>
      </c>
      <c r="C86" s="627"/>
      <c r="D86" s="627"/>
      <c r="E86" s="627"/>
      <c r="F86" s="627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26" t="str">
        <f>+VLOOKUP(LEFT($A87,LEN(A87)-1)*1,Master!$D$30:$G$229,4,FALSE)</f>
        <v>Porez na dobit pravnih lica</v>
      </c>
      <c r="C87" s="627"/>
      <c r="D87" s="627"/>
      <c r="E87" s="627"/>
      <c r="F87" s="627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26" t="str">
        <f>+VLOOKUP(LEFT($A88,LEN(A88)-1)*1,Master!$D$30:$G$229,4,FALSE)</f>
        <v>Porez na promet nepokretnosti</v>
      </c>
      <c r="C88" s="627"/>
      <c r="D88" s="627"/>
      <c r="E88" s="627"/>
      <c r="F88" s="627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26" t="str">
        <f>+VLOOKUP(LEFT($A89,LEN(A89)-1)*1,Master!$D$30:$G$229,4,FALSE)</f>
        <v>Porez na dodatu vrijednost</v>
      </c>
      <c r="C89" s="627"/>
      <c r="D89" s="627"/>
      <c r="E89" s="627"/>
      <c r="F89" s="627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26" t="str">
        <f>+VLOOKUP(LEFT($A90,LEN(A90)-1)*1,Master!$D$30:$G$229,4,FALSE)</f>
        <v>Akcize</v>
      </c>
      <c r="C90" s="627"/>
      <c r="D90" s="627"/>
      <c r="E90" s="627"/>
      <c r="F90" s="627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26" t="str">
        <f>+VLOOKUP(LEFT($A91,LEN(A91)-1)*1,Master!$D$30:$G$229,4,FALSE)</f>
        <v>Porez na međunarodnu trgovinu i transakcije</v>
      </c>
      <c r="C91" s="627"/>
      <c r="D91" s="627"/>
      <c r="E91" s="627"/>
      <c r="F91" s="627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26" t="str">
        <f>+VLOOKUP(LEFT($A92,LEN(A92)-1)*1,Master!$D$30:$G$229,4,FALSE)</f>
        <v>Ostali državni porezi</v>
      </c>
      <c r="C92" s="627"/>
      <c r="D92" s="627"/>
      <c r="E92" s="627"/>
      <c r="F92" s="627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56" t="str">
        <f>+VLOOKUP(LEFT($A93,LEN(A93)-1)*1,Master!$D$30:$G$229,4,FALSE)</f>
        <v>Doprinosi</v>
      </c>
      <c r="C93" s="657"/>
      <c r="D93" s="657"/>
      <c r="E93" s="657"/>
      <c r="F93" s="657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26" t="str">
        <f>+VLOOKUP(LEFT($A94,LEN(A94)-1)*1,Master!$D$30:$G$229,4,FALSE)</f>
        <v>Doprinosi za penzijsko i invalidsko osiguranje</v>
      </c>
      <c r="C94" s="627"/>
      <c r="D94" s="627"/>
      <c r="E94" s="627"/>
      <c r="F94" s="627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26" t="str">
        <f>+VLOOKUP(LEFT($A95,LEN(A95)-1)*1,Master!$D$30:$G$229,4,FALSE)</f>
        <v>Doprinosi za zdravstveno osiguranje</v>
      </c>
      <c r="C95" s="627"/>
      <c r="D95" s="627"/>
      <c r="E95" s="627"/>
      <c r="F95" s="627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26" t="str">
        <f>+VLOOKUP(LEFT($A96,LEN(A96)-1)*1,Master!$D$30:$G$229,4,FALSE)</f>
        <v>Doprinosi za osiguranje od nezaposlenosti</v>
      </c>
      <c r="C96" s="627"/>
      <c r="D96" s="627"/>
      <c r="E96" s="627"/>
      <c r="F96" s="627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26" t="str">
        <f>+VLOOKUP(LEFT($A97,LEN(A97)-1)*1,Master!$D$30:$G$229,4,FALSE)</f>
        <v>Ostali doprinosi</v>
      </c>
      <c r="C97" s="627"/>
      <c r="D97" s="627"/>
      <c r="E97" s="627"/>
      <c r="F97" s="627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36" t="str">
        <f>+VLOOKUP(LEFT($A98,LEN(A98)-1)*1,Master!$D$30:$G$229,4,FALSE)</f>
        <v>Takse</v>
      </c>
      <c r="C98" s="637"/>
      <c r="D98" s="637"/>
      <c r="E98" s="637"/>
      <c r="F98" s="637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36" t="str">
        <f>+VLOOKUP(LEFT($A99,LEN(A99)-1)*1,Master!$D$30:$G$229,4,FALSE)</f>
        <v>Naknade</v>
      </c>
      <c r="C99" s="637"/>
      <c r="D99" s="637"/>
      <c r="E99" s="637"/>
      <c r="F99" s="637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36" t="str">
        <f>+VLOOKUP(LEFT($A100,LEN(A100)-1)*1,Master!$D$30:$G$229,4,FALSE)</f>
        <v>Ostali prihodi</v>
      </c>
      <c r="C100" s="637"/>
      <c r="D100" s="637"/>
      <c r="E100" s="637"/>
      <c r="F100" s="637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36" t="str">
        <f>+VLOOKUP(LEFT($A101,LEN(A101)-1)*1,Master!$D$30:$G$229,4,FALSE)</f>
        <v>Primici od otplate kredita i sredstva prenesena iz prethodne godine</v>
      </c>
      <c r="C101" s="637"/>
      <c r="D101" s="637"/>
      <c r="E101" s="637"/>
      <c r="F101" s="637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38" t="str">
        <f>+VLOOKUP(LEFT($A102,LEN(A102)-1)*1,Master!$D$30:$G$229,4,FALSE)</f>
        <v>Donacije i transferi</v>
      </c>
      <c r="C102" s="639"/>
      <c r="D102" s="639"/>
      <c r="E102" s="639"/>
      <c r="F102" s="639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22" t="str">
        <f>+VLOOKUP(LEFT($A103,LEN(A103)-1)*1,Master!$D$30:$G$229,4,FALSE)</f>
        <v>Izdaci budžeta</v>
      </c>
      <c r="C103" s="623"/>
      <c r="D103" s="623"/>
      <c r="E103" s="623"/>
      <c r="F103" s="623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40" t="str">
        <f>+VLOOKUP(LEFT($A104,LEN(A104)-1)*1,Master!$D$30:$G$229,4,FALSE)</f>
        <v>Tekući izdaci</v>
      </c>
      <c r="C104" s="641"/>
      <c r="D104" s="641"/>
      <c r="E104" s="641"/>
      <c r="F104" s="641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26" t="str">
        <f>+VLOOKUP(LEFT($A105,LEN(A105)-1)*1,Master!$D$30:$G$229,4,FALSE)</f>
        <v>Bruto zarade i doprinosi na teret poslodavca</v>
      </c>
      <c r="C105" s="627"/>
      <c r="D105" s="627"/>
      <c r="E105" s="627"/>
      <c r="F105" s="627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26" t="str">
        <f>+VLOOKUP(LEFT($A106,LEN(A106)-1)*1,Master!$D$30:$G$229,4,FALSE)</f>
        <v>Ostala lična primanja</v>
      </c>
      <c r="C106" s="627"/>
      <c r="D106" s="627"/>
      <c r="E106" s="627"/>
      <c r="F106" s="627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26" t="str">
        <f>+VLOOKUP(LEFT($A107,LEN(A107)-1)*1,Master!$D$30:$G$229,4,FALSE)</f>
        <v>Rashodi za materijal</v>
      </c>
      <c r="C107" s="627"/>
      <c r="D107" s="627"/>
      <c r="E107" s="627"/>
      <c r="F107" s="627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26" t="str">
        <f>+VLOOKUP(LEFT($A108,LEN(A108)-1)*1,Master!$D$30:$G$229,4,FALSE)</f>
        <v>Rashodi za usluge</v>
      </c>
      <c r="C108" s="627"/>
      <c r="D108" s="627"/>
      <c r="E108" s="627"/>
      <c r="F108" s="627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26" t="str">
        <f>+VLOOKUP(LEFT($A109,LEN(A109)-1)*1,Master!$D$30:$G$229,4,FALSE)</f>
        <v>Rashodi za tekuće održavanje</v>
      </c>
      <c r="C109" s="627"/>
      <c r="D109" s="627"/>
      <c r="E109" s="627"/>
      <c r="F109" s="627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26" t="str">
        <f>+VLOOKUP(LEFT($A110,LEN(A110)-1)*1,Master!$D$30:$G$229,4,FALSE)</f>
        <v>Kamate</v>
      </c>
      <c r="C110" s="627"/>
      <c r="D110" s="627"/>
      <c r="E110" s="627"/>
      <c r="F110" s="627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26" t="str">
        <f>+VLOOKUP(LEFT($A111,LEN(A111)-1)*1,Master!$D$30:$G$229,4,FALSE)</f>
        <v>Renta</v>
      </c>
      <c r="C111" s="627"/>
      <c r="D111" s="627"/>
      <c r="E111" s="627"/>
      <c r="F111" s="627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26" t="str">
        <f>+VLOOKUP(LEFT($A112,LEN(A112)-1)*1,Master!$D$30:$G$229,4,FALSE)</f>
        <v>Subvencije</v>
      </c>
      <c r="C112" s="627"/>
      <c r="D112" s="627"/>
      <c r="E112" s="627"/>
      <c r="F112" s="627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26" t="str">
        <f>+VLOOKUP(LEFT($A113,LEN(A113)-1)*1,Master!$D$30:$G$229,4,FALSE)</f>
        <v>Ostali izdaci</v>
      </c>
      <c r="C113" s="627"/>
      <c r="D113" s="627"/>
      <c r="E113" s="627"/>
      <c r="F113" s="627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46" t="str">
        <f>+VLOOKUP(LEFT($A114,LEN(A114)-1)*1,Master!$D$30:$G$229,4,FALSE)</f>
        <v>Transferi za socijalnu zaštitu</v>
      </c>
      <c r="C114" s="647"/>
      <c r="D114" s="647"/>
      <c r="E114" s="647"/>
      <c r="F114" s="647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26" t="str">
        <f>+VLOOKUP(LEFT($A115,LEN(A115)-1)*1,Master!$D$30:$G$229,4,FALSE)</f>
        <v>Prava iz oblasti socijalne zaštite</v>
      </c>
      <c r="C115" s="627"/>
      <c r="D115" s="627"/>
      <c r="E115" s="627"/>
      <c r="F115" s="627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26" t="str">
        <f>+VLOOKUP(LEFT($A116,LEN(A116)-1)*1,Master!$D$30:$G$229,4,FALSE)</f>
        <v>Sredstva za tehnološke viškove</v>
      </c>
      <c r="C116" s="627"/>
      <c r="D116" s="627"/>
      <c r="E116" s="627"/>
      <c r="F116" s="627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26" t="str">
        <f>+VLOOKUP(LEFT($A117,LEN(A117)-1)*1,Master!$D$30:$G$229,4,FALSE)</f>
        <v>Prava iz oblasti penzijskog i invalidskog osiguranja</v>
      </c>
      <c r="C117" s="627"/>
      <c r="D117" s="627"/>
      <c r="E117" s="627"/>
      <c r="F117" s="627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26" t="str">
        <f>+VLOOKUP(LEFT($A118,LEN(A118)-1)*1,Master!$D$30:$G$229,4,FALSE)</f>
        <v>Ostala prava iz oblasti zdravstvene zaštite</v>
      </c>
      <c r="C118" s="627"/>
      <c r="D118" s="627"/>
      <c r="E118" s="627"/>
      <c r="F118" s="627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26" t="str">
        <f>+VLOOKUP(LEFT($A119,LEN(A119)-1)*1,Master!$D$30:$G$229,4,FALSE)</f>
        <v>Ostala prava iz zdravstvenog osiguranja</v>
      </c>
      <c r="C119" s="627"/>
      <c r="D119" s="627"/>
      <c r="E119" s="627"/>
      <c r="F119" s="627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42" t="str">
        <f>+VLOOKUP(LEFT($A120,LEN(A120)-1)*1,Master!$D$30:$G$229,4,FALSE)</f>
        <v xml:space="preserve">Transferi institucijama, pojedincima, nevladinom i javnom sektoru </v>
      </c>
      <c r="C120" s="643"/>
      <c r="D120" s="643"/>
      <c r="E120" s="643"/>
      <c r="F120" s="643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42" t="str">
        <f>+VLOOKUP(LEFT($A121,LEN(A121)-1)*1,Master!$D$30:$G$229,4,FALSE)</f>
        <v>Kapitalni izdaci</v>
      </c>
      <c r="C121" s="643"/>
      <c r="D121" s="643"/>
      <c r="E121" s="643"/>
      <c r="F121" s="643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44" t="str">
        <f>+VLOOKUP(LEFT($A122,LEN(A122)-1)*1,Master!$D$30:$G$229,4,FALSE)</f>
        <v>Pozajmice i krediti</v>
      </c>
      <c r="C122" s="645"/>
      <c r="D122" s="645"/>
      <c r="E122" s="645"/>
      <c r="F122" s="645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44" t="str">
        <f>+VLOOKUP(LEFT($A123,LEN(A123)-1)*1,Master!$D$30:$G$229,4,FALSE)</f>
        <v>Rezerve</v>
      </c>
      <c r="C123" s="645"/>
      <c r="D123" s="645"/>
      <c r="E123" s="645"/>
      <c r="F123" s="645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44" t="str">
        <f>+VLOOKUP(LEFT($A124,LEN(A124)-1)*1,Master!$D$30:$G$229,4,FALSE)</f>
        <v>Otplata garancija</v>
      </c>
      <c r="C124" s="645"/>
      <c r="D124" s="645"/>
      <c r="E124" s="645"/>
      <c r="F124" s="645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44" t="str">
        <f>+VLOOKUP(LEFT($A125,LEN(A125)-1)*1,Master!$D$30:$G$229,4,FALSE)</f>
        <v>Otplata obaveza iz prethodnog perioda</v>
      </c>
      <c r="C125" s="645"/>
      <c r="D125" s="645"/>
      <c r="E125" s="645"/>
      <c r="F125" s="645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44" t="str">
        <f>+VLOOKUP(LEFT($A126,LEN(A126)-1)*1,Master!$D$30:$G$229,4,FALSE)</f>
        <v>Neto povećanje obaveza</v>
      </c>
      <c r="C126" s="645"/>
      <c r="D126" s="645"/>
      <c r="E126" s="645"/>
      <c r="F126" s="645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52" t="str">
        <f>+VLOOKUP(LEFT($A127,LEN(A127)-1)*1,Master!$D$30:$G$226,4,FALSE)</f>
        <v>Suficit / deficit</v>
      </c>
      <c r="C127" s="653"/>
      <c r="D127" s="653"/>
      <c r="E127" s="653"/>
      <c r="F127" s="653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54" t="str">
        <f>+VLOOKUP(LEFT($A128,LEN(A128)-1)*1,Master!$D$30:$G$226,4,FALSE)</f>
        <v>Primarni suficit/deficit</v>
      </c>
      <c r="C128" s="655"/>
      <c r="D128" s="655"/>
      <c r="E128" s="655"/>
      <c r="F128" s="655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46" t="str">
        <f>+VLOOKUP(LEFT($A129,LEN(A129)-1)*1,Master!$D$30:$G$226,4,FALSE)</f>
        <v>Otplata dugova</v>
      </c>
      <c r="C129" s="647"/>
      <c r="D129" s="647"/>
      <c r="E129" s="647"/>
      <c r="F129" s="647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50" t="str">
        <f>+VLOOKUP(LEFT($A130,LEN(A130)-1)*1,Master!$D$30:$G$226,4,FALSE)</f>
        <v>Otplata hartija od vrijednosti i kredita rezidentima</v>
      </c>
      <c r="C130" s="651"/>
      <c r="D130" s="651"/>
      <c r="E130" s="651"/>
      <c r="F130" s="651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44" t="str">
        <f>+VLOOKUP(LEFT($A131,LEN(A131)-1)*1,Master!$D$30:$G$226,4,FALSE)</f>
        <v>Otplata hartija od vrijednosti i kredita nerezidentima</v>
      </c>
      <c r="C131" s="645"/>
      <c r="D131" s="645"/>
      <c r="E131" s="645"/>
      <c r="F131" s="645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22" t="str">
        <f>+VLOOKUP(LEFT($A132,LEN(A132)-1)*1,Master!$D$30:$G$226,4,FALSE)</f>
        <v>Izdaci za kupovinu hartija od vrijednosti</v>
      </c>
      <c r="C132" s="623"/>
      <c r="D132" s="623"/>
      <c r="E132" s="623"/>
      <c r="F132" s="623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48" t="str">
        <f>+VLOOKUP(LEFT($A133,LEN(A133)-1)*1,Master!$D$30:$G$226,4,FALSE)</f>
        <v>Nedostajuća sredstva</v>
      </c>
      <c r="C133" s="649"/>
      <c r="D133" s="649"/>
      <c r="E133" s="649"/>
      <c r="F133" s="649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22" t="str">
        <f>+VLOOKUP(LEFT($A134,LEN(A134)-1)*1,Master!$D$30:$G$226,4,FALSE)</f>
        <v>Finansiranje</v>
      </c>
      <c r="C134" s="623"/>
      <c r="D134" s="623"/>
      <c r="E134" s="623"/>
      <c r="F134" s="623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50" t="str">
        <f>+VLOOKUP(LEFT($A135,LEN(A135)-1)*1,Master!$D$30:$G$226,4,FALSE)</f>
        <v>Pozajmice i krediti od domaćih izvora</v>
      </c>
      <c r="C135" s="651"/>
      <c r="D135" s="651"/>
      <c r="E135" s="651"/>
      <c r="F135" s="651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44" t="str">
        <f>+VLOOKUP(LEFT($A136,LEN(A136)-1)*1,Master!$D$30:$G$226,4,FALSE)</f>
        <v>Pozajmice i krediti od inostranih izvora</v>
      </c>
      <c r="C136" s="645"/>
      <c r="D136" s="645"/>
      <c r="E136" s="645"/>
      <c r="F136" s="645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44" t="str">
        <f>+VLOOKUP(LEFT($A137,LEN(A137)-1)*1,Master!$D$30:$G$226,4,FALSE)</f>
        <v>Primici od prodaje imovine</v>
      </c>
      <c r="C137" s="645"/>
      <c r="D137" s="645"/>
      <c r="E137" s="645"/>
      <c r="F137" s="645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59" t="str">
        <f>+Master!G252</f>
        <v>Ostvarenje budžeta</v>
      </c>
      <c r="C7" s="560"/>
      <c r="D7" s="560"/>
      <c r="E7" s="560"/>
      <c r="F7" s="560"/>
      <c r="G7" s="568">
        <v>2020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20" t="str">
        <f>+Master!G249</f>
        <v>BDP</v>
      </c>
      <c r="T7" s="221">
        <v>4185600000</v>
      </c>
    </row>
    <row r="8" spans="1:20" ht="16.5" customHeight="1">
      <c r="A8" s="129"/>
      <c r="B8" s="561"/>
      <c r="C8" s="562"/>
      <c r="D8" s="562"/>
      <c r="E8" s="562"/>
      <c r="F8" s="563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68" t="str">
        <f>+Master!G247</f>
        <v>Jan - Dec</v>
      </c>
      <c r="T8" s="572"/>
    </row>
    <row r="9" spans="1:20" ht="13.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601" t="str">
        <f>+VLOOKUP($A10,Master!$D$30:$G$226,4,FALSE)</f>
        <v>Prihodi budžeta</v>
      </c>
      <c r="C10" s="602"/>
      <c r="D10" s="602"/>
      <c r="E10" s="602"/>
      <c r="F10" s="602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603" t="str">
        <f>+VLOOKUP($A11,Master!$D$30:$G$226,4,FALSE)</f>
        <v>Porezi</v>
      </c>
      <c r="C11" s="604"/>
      <c r="D11" s="604"/>
      <c r="E11" s="604"/>
      <c r="F11" s="604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89" t="str">
        <f>+VLOOKUP($A12,Master!$D$30:$G$226,4,FALSE)</f>
        <v>Porez na dohodak fizičkih lica</v>
      </c>
      <c r="C12" s="590"/>
      <c r="D12" s="590"/>
      <c r="E12" s="590"/>
      <c r="F12" s="590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89" t="str">
        <f>+VLOOKUP($A13,Master!$D$30:$G$226,4,FALSE)</f>
        <v>Porez na dobit pravnih lica</v>
      </c>
      <c r="C13" s="590"/>
      <c r="D13" s="590"/>
      <c r="E13" s="590"/>
      <c r="F13" s="590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89" t="str">
        <f>+VLOOKUP($A14,Master!$D$30:$G$226,4,FALSE)</f>
        <v>Porez na promet nepokretnosti</v>
      </c>
      <c r="C14" s="590"/>
      <c r="D14" s="590"/>
      <c r="E14" s="590"/>
      <c r="F14" s="590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89" t="str">
        <f>+VLOOKUP($A15,Master!$D$30:$G$226,4,FALSE)</f>
        <v>Porez na dodatu vrijednost</v>
      </c>
      <c r="C15" s="590"/>
      <c r="D15" s="590"/>
      <c r="E15" s="590"/>
      <c r="F15" s="590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89" t="str">
        <f>+VLOOKUP($A16,Master!$D$30:$G$226,4,FALSE)</f>
        <v>Akcize</v>
      </c>
      <c r="C16" s="590"/>
      <c r="D16" s="590"/>
      <c r="E16" s="590"/>
      <c r="F16" s="590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89" t="str">
        <f>+VLOOKUP($A17,Master!$D$30:$G$226,4,FALSE)</f>
        <v>Porez na međunarodnu trgovinu i transakcije</v>
      </c>
      <c r="C17" s="590"/>
      <c r="D17" s="590"/>
      <c r="E17" s="590"/>
      <c r="F17" s="590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89" t="str">
        <f>+VLOOKUP($A18,Master!$D$30:$G$226,4,FALSE)</f>
        <v>Ostali državni porezi</v>
      </c>
      <c r="C18" s="590"/>
      <c r="D18" s="590"/>
      <c r="E18" s="590"/>
      <c r="F18" s="590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599" t="str">
        <f>+VLOOKUP($A19,Master!$D$30:$G$226,4,FALSE)</f>
        <v>Doprinosi</v>
      </c>
      <c r="C19" s="600"/>
      <c r="D19" s="600"/>
      <c r="E19" s="600"/>
      <c r="F19" s="600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89" t="str">
        <f>+VLOOKUP($A20,Master!$D$30:$G$226,4,FALSE)</f>
        <v>Doprinosi za penzijsko i invalidsko osiguranje</v>
      </c>
      <c r="C20" s="590"/>
      <c r="D20" s="590"/>
      <c r="E20" s="590"/>
      <c r="F20" s="590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89" t="str">
        <f>+VLOOKUP($A21,Master!$D$30:$G$226,4,FALSE)</f>
        <v>Doprinosi za zdravstveno osiguranje</v>
      </c>
      <c r="C21" s="590"/>
      <c r="D21" s="590"/>
      <c r="E21" s="590"/>
      <c r="F21" s="590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89" t="str">
        <f>+VLOOKUP($A22,Master!$D$30:$G$226,4,FALSE)</f>
        <v>Doprinosi za osiguranje od nezaposlenosti</v>
      </c>
      <c r="C22" s="590"/>
      <c r="D22" s="590"/>
      <c r="E22" s="590"/>
      <c r="F22" s="590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89" t="str">
        <f>+VLOOKUP($A23,Master!$D$30:$G$226,4,FALSE)</f>
        <v>Ostali doprinosi</v>
      </c>
      <c r="C23" s="590"/>
      <c r="D23" s="590"/>
      <c r="E23" s="590"/>
      <c r="F23" s="590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91" t="str">
        <f>+VLOOKUP($A24,Master!$D$30:$G$226,4,FALSE)</f>
        <v>Takse</v>
      </c>
      <c r="C24" s="592"/>
      <c r="D24" s="592"/>
      <c r="E24" s="592"/>
      <c r="F24" s="592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91" t="str">
        <f>+VLOOKUP($A25,Master!$D$30:$G$226,4,FALSE)</f>
        <v>Naknade</v>
      </c>
      <c r="C25" s="592"/>
      <c r="D25" s="592"/>
      <c r="E25" s="592"/>
      <c r="F25" s="592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91" t="str">
        <f>+VLOOKUP($A26,Master!$D$30:$G$226,4,FALSE)</f>
        <v>Ostali prihodi</v>
      </c>
      <c r="C26" s="592"/>
      <c r="D26" s="592"/>
      <c r="E26" s="592"/>
      <c r="F26" s="592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91" t="str">
        <f>+VLOOKUP($A27,Master!$D$30:$G$226,4,FALSE)</f>
        <v>Primici od otplate kredita i sredstva prenesena iz prethodne godine</v>
      </c>
      <c r="C27" s="592"/>
      <c r="D27" s="592"/>
      <c r="E27" s="592"/>
      <c r="F27" s="592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93" t="str">
        <f>+VLOOKUP($A28,Master!$D$30:$G$226,4,FALSE)</f>
        <v>Donacije i transferi</v>
      </c>
      <c r="C28" s="594"/>
      <c r="D28" s="594"/>
      <c r="E28" s="594"/>
      <c r="F28" s="594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79" t="str">
        <f>+VLOOKUP($A29,Master!$D$30:$G$226,4,FALSE)</f>
        <v>Izdaci budžeta</v>
      </c>
      <c r="C29" s="580"/>
      <c r="D29" s="580"/>
      <c r="E29" s="580"/>
      <c r="F29" s="580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597" t="str">
        <f>+VLOOKUP($A30,Master!$D$30:$G$226,4,FALSE)</f>
        <v>Tekući izdaci</v>
      </c>
      <c r="C30" s="598"/>
      <c r="D30" s="598"/>
      <c r="E30" s="598"/>
      <c r="F30" s="598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89" t="str">
        <f>+VLOOKUP($A31,Master!$D$30:$G$226,4,FALSE)</f>
        <v>Bruto zarade i doprinosi na teret poslodavca</v>
      </c>
      <c r="C31" s="590"/>
      <c r="D31" s="590"/>
      <c r="E31" s="590"/>
      <c r="F31" s="590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89" t="str">
        <f>+VLOOKUP($A32,Master!$D$30:$G$226,4,FALSE)</f>
        <v>Ostala lična primanja</v>
      </c>
      <c r="C32" s="590"/>
      <c r="D32" s="590"/>
      <c r="E32" s="590"/>
      <c r="F32" s="590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89" t="str">
        <f>+VLOOKUP($A33,Master!$D$30:$G$226,4,FALSE)</f>
        <v>Rashodi za materijal</v>
      </c>
      <c r="C33" s="590"/>
      <c r="D33" s="590"/>
      <c r="E33" s="590"/>
      <c r="F33" s="590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07" t="str">
        <f>+VLOOKUP($A34,Master!$D$30:$G$226,4,FALSE)</f>
        <v>Rashodi za usluge</v>
      </c>
      <c r="C34" s="608"/>
      <c r="D34" s="608"/>
      <c r="E34" s="608"/>
      <c r="F34" s="608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89" t="str">
        <f>+VLOOKUP($A35,Master!$D$30:$G$226,4,FALSE)</f>
        <v>Rashodi za tekuće održavanje</v>
      </c>
      <c r="C35" s="590"/>
      <c r="D35" s="590"/>
      <c r="E35" s="590"/>
      <c r="F35" s="590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89" t="str">
        <f>+VLOOKUP($A36,Master!$D$30:$G$226,4,FALSE)</f>
        <v>Kamate</v>
      </c>
      <c r="C36" s="590"/>
      <c r="D36" s="590"/>
      <c r="E36" s="590"/>
      <c r="F36" s="590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89" t="str">
        <f>+VLOOKUP($A37,Master!$D$30:$G$226,4,FALSE)</f>
        <v>Renta</v>
      </c>
      <c r="C37" s="590"/>
      <c r="D37" s="590"/>
      <c r="E37" s="590"/>
      <c r="F37" s="590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89" t="str">
        <f>+VLOOKUP($A38,Master!$D$30:$G$226,4,FALSE)</f>
        <v>Subvencije</v>
      </c>
      <c r="C38" s="590"/>
      <c r="D38" s="590"/>
      <c r="E38" s="590"/>
      <c r="F38" s="590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07" t="str">
        <f>+VLOOKUP($A39,Master!$D$30:$G$226,4,FALSE)</f>
        <v>Ostali izdaci</v>
      </c>
      <c r="C39" s="608"/>
      <c r="D39" s="608"/>
      <c r="E39" s="608"/>
      <c r="F39" s="608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85" t="str">
        <f>+VLOOKUP($A40,Master!$D$30:$G$226,4,FALSE)</f>
        <v>Transferi za socijalnu zaštitu</v>
      </c>
      <c r="C40" s="586"/>
      <c r="D40" s="586"/>
      <c r="E40" s="586"/>
      <c r="F40" s="586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89" t="str">
        <f>+VLOOKUP($A41,Master!$D$30:$G$226,4,FALSE)</f>
        <v>Prava iz oblasti socijalne zaštite</v>
      </c>
      <c r="C41" s="590"/>
      <c r="D41" s="590"/>
      <c r="E41" s="590"/>
      <c r="F41" s="590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89" t="str">
        <f>+VLOOKUP($A42,Master!$D$30:$G$226,4,FALSE)</f>
        <v>Sredstva za tehnološke viškove</v>
      </c>
      <c r="C42" s="590"/>
      <c r="D42" s="590"/>
      <c r="E42" s="590"/>
      <c r="F42" s="590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89" t="str">
        <f>+VLOOKUP($A43,Master!$D$30:$G$226,4,FALSE)</f>
        <v>Prava iz oblasti penzijskog i invalidskog osiguranja</v>
      </c>
      <c r="C43" s="590"/>
      <c r="D43" s="590"/>
      <c r="E43" s="590"/>
      <c r="F43" s="590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89" t="str">
        <f>+VLOOKUP($A44,Master!$D$30:$G$226,4,FALSE)</f>
        <v>Ostala prava iz oblasti zdravstvene zaštite</v>
      </c>
      <c r="C44" s="590"/>
      <c r="D44" s="590"/>
      <c r="E44" s="590"/>
      <c r="F44" s="590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09" t="str">
        <f>+VLOOKUP($A45,Master!$D$30:$G$226,4,FALSE)</f>
        <v>Ostala prava iz zdravstvenog osiguranja</v>
      </c>
      <c r="C45" s="610"/>
      <c r="D45" s="610"/>
      <c r="E45" s="610"/>
      <c r="F45" s="610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87" t="str">
        <f>+VLOOKUP($A46,Master!$D$30:$G$226,4,FALSE)</f>
        <v xml:space="preserve">Transferi institucijama, pojedincima, nevladinom i javnom sektoru </v>
      </c>
      <c r="C46" s="588"/>
      <c r="D46" s="588"/>
      <c r="E46" s="588"/>
      <c r="F46" s="588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87" t="str">
        <f>+VLOOKUP($A47,Master!$D$30:$G$226,4,FALSE)</f>
        <v>Kapitalni izdaci</v>
      </c>
      <c r="C47" s="588"/>
      <c r="D47" s="588"/>
      <c r="E47" s="588"/>
      <c r="F47" s="588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11" t="str">
        <f>+VLOOKUP($A48,Master!$D$30:$G$226,4,FALSE)</f>
        <v>Pozajmice i krediti</v>
      </c>
      <c r="C48" s="612"/>
      <c r="D48" s="612"/>
      <c r="E48" s="612"/>
      <c r="F48" s="612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16" t="str">
        <f>+VLOOKUP($A49,Master!$D$30:$G$226,4,FALSE)</f>
        <v>Rezerve</v>
      </c>
      <c r="C49" s="617"/>
      <c r="D49" s="617"/>
      <c r="E49" s="617"/>
      <c r="F49" s="617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75" t="str">
        <f>+VLOOKUP($A50,Master!$D$30:$G$226,4,FALSE)</f>
        <v>Otplata garancija</v>
      </c>
      <c r="C50" s="576"/>
      <c r="D50" s="576"/>
      <c r="E50" s="576"/>
      <c r="F50" s="576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18" t="str">
        <f>+VLOOKUP($A51,Master!$D$30:$G$226,4,TRUE)</f>
        <v>Otplata obaveza iz prethodnog perioda</v>
      </c>
      <c r="C51" s="619"/>
      <c r="D51" s="619"/>
      <c r="E51" s="619"/>
      <c r="F51" s="619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20" t="str">
        <f>+VLOOKUP($A52,Master!$D$30:$G$228,4,FALSE)</f>
        <v>Neto povećanje obaveza</v>
      </c>
      <c r="C52" s="621"/>
      <c r="D52" s="621"/>
      <c r="E52" s="621"/>
      <c r="F52" s="621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573" t="str">
        <f>+VLOOKUP($A56,Master!$D$30:$G$226,4,FALSE)</f>
        <v>Otplata hartija od vrijednosti i kredita rezidentima</v>
      </c>
      <c r="C56" s="574"/>
      <c r="D56" s="574"/>
      <c r="E56" s="574"/>
      <c r="F56" s="574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57" t="str">
        <f>+VLOOKUP($A57,Master!$D$30:$G$226,4,FALSE)</f>
        <v>Otplata hartija od vrijednosti i kredita nerezidentima</v>
      </c>
      <c r="C57" s="558"/>
      <c r="D57" s="558"/>
      <c r="E57" s="558"/>
      <c r="F57" s="558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595" t="str">
        <f>+VLOOKUP($A58,Master!$D$30:$G$226,4,FALSE)</f>
        <v>Izdaci za kupovinu hartija od vrijednosti</v>
      </c>
      <c r="C58" s="596"/>
      <c r="D58" s="596"/>
      <c r="E58" s="596"/>
      <c r="F58" s="596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577" t="str">
        <f>+VLOOKUP($A59,Master!$D$30:$G$226,4,FALSE)</f>
        <v>Nedostajuća sredstva</v>
      </c>
      <c r="C59" s="578"/>
      <c r="D59" s="578"/>
      <c r="E59" s="578"/>
      <c r="F59" s="578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79" t="str">
        <f>+VLOOKUP($A60,Master!$D$30:$G$226,4,FALSE)</f>
        <v>Finansiranje</v>
      </c>
      <c r="C60" s="580"/>
      <c r="D60" s="580"/>
      <c r="E60" s="580"/>
      <c r="F60" s="580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573" t="str">
        <f>+VLOOKUP($A61,Master!$D$30:$G$226,4,FALSE)</f>
        <v>Pozajmice i krediti od domaćih izvora</v>
      </c>
      <c r="C61" s="574"/>
      <c r="D61" s="574"/>
      <c r="E61" s="574"/>
      <c r="F61" s="574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57" t="str">
        <f>+VLOOKUP($A62,Master!$D$30:$G$226,4,FALSE)</f>
        <v>Pozajmice i krediti od inostranih izvora</v>
      </c>
      <c r="C62" s="558"/>
      <c r="D62" s="558"/>
      <c r="E62" s="558"/>
      <c r="F62" s="558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57" t="str">
        <f>+VLOOKUP($A63,Master!$D$30:$G$226,4,FALSE)</f>
        <v>Primici od prodaje imovine</v>
      </c>
      <c r="C63" s="558"/>
      <c r="D63" s="558"/>
      <c r="E63" s="558"/>
      <c r="F63" s="558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28" t="str">
        <f>+Master!G253</f>
        <v>Plan ostvarenja budžeta</v>
      </c>
      <c r="C100" s="629"/>
      <c r="D100" s="629"/>
      <c r="E100" s="629"/>
      <c r="F100" s="629"/>
      <c r="G100" s="613">
        <v>2020</v>
      </c>
      <c r="H100" s="614"/>
      <c r="I100" s="614"/>
      <c r="J100" s="614"/>
      <c r="K100" s="614"/>
      <c r="L100" s="614"/>
      <c r="M100" s="614"/>
      <c r="N100" s="614"/>
      <c r="O100" s="614"/>
      <c r="P100" s="614"/>
      <c r="Q100" s="614"/>
      <c r="R100" s="615"/>
      <c r="S100" s="96" t="str">
        <f>+S7</f>
        <v>BDP</v>
      </c>
      <c r="T100" s="97">
        <v>4607300000</v>
      </c>
    </row>
    <row r="101" spans="1:21" ht="15.75" customHeight="1">
      <c r="B101" s="630"/>
      <c r="C101" s="631"/>
      <c r="D101" s="631"/>
      <c r="E101" s="631"/>
      <c r="F101" s="632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13" t="str">
        <f>+Master!G247</f>
        <v>Jan - Dec</v>
      </c>
      <c r="T101" s="615">
        <f>+T8</f>
        <v>0</v>
      </c>
    </row>
    <row r="102" spans="1:21" ht="13.5" thickBot="1">
      <c r="B102" s="633"/>
      <c r="C102" s="634"/>
      <c r="D102" s="634"/>
      <c r="E102" s="634"/>
      <c r="F102" s="635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58" t="str">
        <f>+VLOOKUP(LEFT($A103,LEN(A103)-1)*1,Master!$D$30:$G$226,4,FALSE)</f>
        <v>Prihodi budžeta</v>
      </c>
      <c r="C103" s="659"/>
      <c r="D103" s="659"/>
      <c r="E103" s="659"/>
      <c r="F103" s="659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24" t="str">
        <f>+VLOOKUP(LEFT($A104,LEN(A104)-1)*1,Master!$D$30:$G$226,4,FALSE)</f>
        <v>Porezi</v>
      </c>
      <c r="C104" s="625"/>
      <c r="D104" s="625"/>
      <c r="E104" s="625"/>
      <c r="F104" s="625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26" t="str">
        <f>+VLOOKUP(LEFT($A105,LEN(A105)-1)*1,Master!$D$30:$G$229,4,FALSE)</f>
        <v>Porez na dohodak fizičkih lica</v>
      </c>
      <c r="C105" s="627"/>
      <c r="D105" s="627"/>
      <c r="E105" s="627"/>
      <c r="F105" s="627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26" t="str">
        <f>+VLOOKUP(LEFT($A106,LEN(A106)-1)*1,Master!$D$30:$G$229,4,FALSE)</f>
        <v>Porez na dobit pravnih lica</v>
      </c>
      <c r="C106" s="627"/>
      <c r="D106" s="627"/>
      <c r="E106" s="627"/>
      <c r="F106" s="627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26" t="str">
        <f>+VLOOKUP(LEFT($A107,LEN(A107)-1)*1,Master!$D$30:$G$229,4,FALSE)</f>
        <v>Porez na promet nepokretnosti</v>
      </c>
      <c r="C107" s="627"/>
      <c r="D107" s="627"/>
      <c r="E107" s="627"/>
      <c r="F107" s="627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26" t="str">
        <f>+VLOOKUP(LEFT($A108,LEN(A108)-1)*1,Master!$D$30:$G$229,4,FALSE)</f>
        <v>Porez na dodatu vrijednost</v>
      </c>
      <c r="C108" s="627"/>
      <c r="D108" s="627"/>
      <c r="E108" s="627"/>
      <c r="F108" s="627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26" t="str">
        <f>+VLOOKUP(LEFT($A109,LEN(A109)-1)*1,Master!$D$30:$G$229,4,FALSE)</f>
        <v>Akcize</v>
      </c>
      <c r="C109" s="627"/>
      <c r="D109" s="627"/>
      <c r="E109" s="627"/>
      <c r="F109" s="627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26" t="str">
        <f>+VLOOKUP(LEFT($A110,LEN(A110)-1)*1,Master!$D$30:$G$229,4,FALSE)</f>
        <v>Porez na međunarodnu trgovinu i transakcije</v>
      </c>
      <c r="C110" s="627"/>
      <c r="D110" s="627"/>
      <c r="E110" s="627"/>
      <c r="F110" s="627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26" t="str">
        <f>+VLOOKUP(LEFT($A111,LEN(A111)-1)*1,Master!$D$30:$G$229,4,FALSE)</f>
        <v>Ostali državni porezi</v>
      </c>
      <c r="C111" s="627"/>
      <c r="D111" s="627"/>
      <c r="E111" s="627"/>
      <c r="F111" s="627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56" t="str">
        <f>+VLOOKUP(LEFT($A112,LEN(A112)-1)*1,Master!$D$30:$G$229,4,FALSE)</f>
        <v>Doprinosi</v>
      </c>
      <c r="C112" s="657"/>
      <c r="D112" s="657"/>
      <c r="E112" s="657"/>
      <c r="F112" s="657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26" t="str">
        <f>+VLOOKUP(LEFT($A113,LEN(A113)-1)*1,Master!$D$30:$G$229,4,FALSE)</f>
        <v>Doprinosi za penzijsko i invalidsko osiguranje</v>
      </c>
      <c r="C113" s="627"/>
      <c r="D113" s="627"/>
      <c r="E113" s="627"/>
      <c r="F113" s="627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26" t="str">
        <f>+VLOOKUP(LEFT($A114,LEN(A114)-1)*1,Master!$D$30:$G$229,4,FALSE)</f>
        <v>Doprinosi za zdravstveno osiguranje</v>
      </c>
      <c r="C114" s="627"/>
      <c r="D114" s="627"/>
      <c r="E114" s="627"/>
      <c r="F114" s="627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26" t="str">
        <f>+VLOOKUP(LEFT($A115,LEN(A115)-1)*1,Master!$D$30:$G$229,4,FALSE)</f>
        <v>Doprinosi za osiguranje od nezaposlenosti</v>
      </c>
      <c r="C115" s="627"/>
      <c r="D115" s="627"/>
      <c r="E115" s="627"/>
      <c r="F115" s="627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26" t="str">
        <f>+VLOOKUP(LEFT($A116,LEN(A116)-1)*1,Master!$D$30:$G$229,4,FALSE)</f>
        <v>Ostali doprinosi</v>
      </c>
      <c r="C116" s="627"/>
      <c r="D116" s="627"/>
      <c r="E116" s="627"/>
      <c r="F116" s="627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36" t="str">
        <f>+VLOOKUP(LEFT($A117,LEN(A117)-1)*1,Master!$D$30:$G$229,4,FALSE)</f>
        <v>Takse</v>
      </c>
      <c r="C117" s="637"/>
      <c r="D117" s="637"/>
      <c r="E117" s="637"/>
      <c r="F117" s="637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36" t="str">
        <f>+VLOOKUP(LEFT($A118,LEN(A118)-1)*1,Master!$D$30:$G$229,4,FALSE)</f>
        <v>Naknade</v>
      </c>
      <c r="C118" s="637"/>
      <c r="D118" s="637"/>
      <c r="E118" s="637"/>
      <c r="F118" s="637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36" t="str">
        <f>+VLOOKUP(LEFT($A119,LEN(A119)-1)*1,Master!$D$30:$G$229,4,FALSE)</f>
        <v>Ostali prihodi</v>
      </c>
      <c r="C119" s="637"/>
      <c r="D119" s="637"/>
      <c r="E119" s="637"/>
      <c r="F119" s="637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36" t="str">
        <f>+VLOOKUP(LEFT($A120,LEN(A120)-1)*1,Master!$D$30:$G$229,4,FALSE)</f>
        <v>Primici od otplate kredita i sredstva prenesena iz prethodne godine</v>
      </c>
      <c r="C120" s="637"/>
      <c r="D120" s="637"/>
      <c r="E120" s="637"/>
      <c r="F120" s="637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38" t="str">
        <f>+VLOOKUP(LEFT($A121,LEN(A121)-1)*1,Master!$D$30:$G$229,4,FALSE)</f>
        <v>Donacije i transferi</v>
      </c>
      <c r="C121" s="639"/>
      <c r="D121" s="639"/>
      <c r="E121" s="639"/>
      <c r="F121" s="639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22" t="str">
        <f>+VLOOKUP(LEFT($A122,LEN(A122)-1)*1,Master!$D$30:$G$229,4,FALSE)</f>
        <v>Izdaci budžeta</v>
      </c>
      <c r="C122" s="623"/>
      <c r="D122" s="623"/>
      <c r="E122" s="623"/>
      <c r="F122" s="623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40" t="str">
        <f>+VLOOKUP(LEFT($A123,LEN(A123)-1)*1,Master!$D$30:$G$229,4,FALSE)</f>
        <v>Tekući izdaci</v>
      </c>
      <c r="C123" s="641"/>
      <c r="D123" s="641"/>
      <c r="E123" s="641"/>
      <c r="F123" s="641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26" t="str">
        <f>+VLOOKUP(LEFT($A124,LEN(A124)-1)*1,Master!$D$30:$G$229,4,FALSE)</f>
        <v>Bruto zarade i doprinosi na teret poslodavca</v>
      </c>
      <c r="C124" s="627"/>
      <c r="D124" s="627"/>
      <c r="E124" s="627"/>
      <c r="F124" s="627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26" t="str">
        <f>+VLOOKUP(LEFT($A125,LEN(A125)-1)*1,Master!$D$30:$G$229,4,FALSE)</f>
        <v>Ostala lična primanja</v>
      </c>
      <c r="C125" s="627"/>
      <c r="D125" s="627"/>
      <c r="E125" s="627"/>
      <c r="F125" s="627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26" t="str">
        <f>+VLOOKUP(LEFT($A126,LEN(A126)-1)*1,Master!$D$30:$G$229,4,FALSE)</f>
        <v>Rashodi za materijal</v>
      </c>
      <c r="C126" s="627"/>
      <c r="D126" s="627"/>
      <c r="E126" s="627"/>
      <c r="F126" s="627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26" t="str">
        <f>+VLOOKUP(LEFT($A127,LEN(A127)-1)*1,Master!$D$30:$G$229,4,FALSE)</f>
        <v>Rashodi za usluge</v>
      </c>
      <c r="C127" s="627"/>
      <c r="D127" s="627"/>
      <c r="E127" s="627"/>
      <c r="F127" s="627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26" t="str">
        <f>+VLOOKUP(LEFT($A128,LEN(A128)-1)*1,Master!$D$30:$G$229,4,FALSE)</f>
        <v>Rashodi za tekuće održavanje</v>
      </c>
      <c r="C128" s="627"/>
      <c r="D128" s="627"/>
      <c r="E128" s="627"/>
      <c r="F128" s="627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26" t="str">
        <f>+VLOOKUP(LEFT($A129,LEN(A129)-1)*1,Master!$D$30:$G$229,4,FALSE)</f>
        <v>Kamate</v>
      </c>
      <c r="C129" s="627"/>
      <c r="D129" s="627"/>
      <c r="E129" s="627"/>
      <c r="F129" s="627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26" t="str">
        <f>+VLOOKUP(LEFT($A130,LEN(A130)-1)*1,Master!$D$30:$G$229,4,FALSE)</f>
        <v>Renta</v>
      </c>
      <c r="C130" s="627"/>
      <c r="D130" s="627"/>
      <c r="E130" s="627"/>
      <c r="F130" s="627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26" t="str">
        <f>+VLOOKUP(LEFT($A131,LEN(A131)-1)*1,Master!$D$30:$G$229,4,FALSE)</f>
        <v>Subvencije</v>
      </c>
      <c r="C131" s="627"/>
      <c r="D131" s="627"/>
      <c r="E131" s="627"/>
      <c r="F131" s="627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26" t="str">
        <f>+VLOOKUP(LEFT($A132,LEN(A132)-1)*1,Master!$D$30:$G$229,4,FALSE)</f>
        <v>Ostali izdaci</v>
      </c>
      <c r="C132" s="627"/>
      <c r="D132" s="627"/>
      <c r="E132" s="627"/>
      <c r="F132" s="627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46" t="str">
        <f>+VLOOKUP(LEFT($A133,LEN(A133)-1)*1,Master!$D$30:$G$229,4,FALSE)</f>
        <v>Transferi za socijalnu zaštitu</v>
      </c>
      <c r="C133" s="647"/>
      <c r="D133" s="647"/>
      <c r="E133" s="647"/>
      <c r="F133" s="647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26" t="str">
        <f>+VLOOKUP(LEFT($A134,LEN(A134)-1)*1,Master!$D$30:$G$229,4,FALSE)</f>
        <v>Prava iz oblasti socijalne zaštite</v>
      </c>
      <c r="C134" s="627"/>
      <c r="D134" s="627"/>
      <c r="E134" s="627"/>
      <c r="F134" s="627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26" t="str">
        <f>+VLOOKUP(LEFT($A135,LEN(A135)-1)*1,Master!$D$30:$G$229,4,FALSE)</f>
        <v>Sredstva za tehnološke viškove</v>
      </c>
      <c r="C135" s="627"/>
      <c r="D135" s="627"/>
      <c r="E135" s="627"/>
      <c r="F135" s="627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26" t="str">
        <f>+VLOOKUP(LEFT($A136,LEN(A136)-1)*1,Master!$D$30:$G$229,4,FALSE)</f>
        <v>Prava iz oblasti penzijskog i invalidskog osiguranja</v>
      </c>
      <c r="C136" s="627"/>
      <c r="D136" s="627"/>
      <c r="E136" s="627"/>
      <c r="F136" s="627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26" t="str">
        <f>+VLOOKUP(LEFT($A137,LEN(A137)-1)*1,Master!$D$30:$G$229,4,FALSE)</f>
        <v>Ostala prava iz oblasti zdravstvene zaštite</v>
      </c>
      <c r="C137" s="627"/>
      <c r="D137" s="627"/>
      <c r="E137" s="627"/>
      <c r="F137" s="627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26" t="str">
        <f>+VLOOKUP(LEFT($A138,LEN(A138)-1)*1,Master!$D$30:$G$229,4,FALSE)</f>
        <v>Ostala prava iz zdravstvenog osiguranja</v>
      </c>
      <c r="C138" s="627"/>
      <c r="D138" s="627"/>
      <c r="E138" s="627"/>
      <c r="F138" s="627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42" t="str">
        <f>+VLOOKUP(LEFT($A139,LEN(A139)-1)*1,Master!$D$30:$G$229,4,FALSE)</f>
        <v xml:space="preserve">Transferi institucijama, pojedincima, nevladinom i javnom sektoru </v>
      </c>
      <c r="C139" s="643"/>
      <c r="D139" s="643"/>
      <c r="E139" s="643"/>
      <c r="F139" s="643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42" t="str">
        <f>+VLOOKUP(LEFT($A140,LEN(A140)-1)*1,Master!$D$30:$G$229,4,FALSE)</f>
        <v>Kapitalni izdaci</v>
      </c>
      <c r="C140" s="643"/>
      <c r="D140" s="643"/>
      <c r="E140" s="643"/>
      <c r="F140" s="643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44" t="str">
        <f>+VLOOKUP(LEFT($A141,LEN(A141)-1)*1,Master!$D$30:$G$229,4,FALSE)</f>
        <v>Pozajmice i krediti</v>
      </c>
      <c r="C141" s="645"/>
      <c r="D141" s="645"/>
      <c r="E141" s="645"/>
      <c r="F141" s="645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44" t="str">
        <f>+VLOOKUP(LEFT($A142,LEN(A142)-1)*1,Master!$D$30:$G$229,4,FALSE)</f>
        <v>Rezerve</v>
      </c>
      <c r="C142" s="645"/>
      <c r="D142" s="645"/>
      <c r="E142" s="645"/>
      <c r="F142" s="645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44" t="str">
        <f>+VLOOKUP(LEFT($A143,LEN(A143)-1)*1,Master!$D$30:$G$229,4,FALSE)</f>
        <v>Otplata garancija</v>
      </c>
      <c r="C143" s="645"/>
      <c r="D143" s="645"/>
      <c r="E143" s="645"/>
      <c r="F143" s="645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44" t="str">
        <f>+VLOOKUP(LEFT($A144,LEN(A144)-1)*1,Master!$D$30:$G$229,4,FALSE)</f>
        <v>Otplata obaveza iz prethodnog perioda</v>
      </c>
      <c r="C144" s="645"/>
      <c r="D144" s="645"/>
      <c r="E144" s="645"/>
      <c r="F144" s="645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44" t="str">
        <f>+VLOOKUP(LEFT($A145,LEN(A145)-1)*1,Master!$D$30:$G$229,4,FALSE)</f>
        <v>Neto povećanje obaveza</v>
      </c>
      <c r="C145" s="645"/>
      <c r="D145" s="645"/>
      <c r="E145" s="645"/>
      <c r="F145" s="645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52" t="str">
        <f>+VLOOKUP(LEFT($A146,LEN(A146)-1)*1,Master!$D$30:$G$226,4,FALSE)</f>
        <v>Suficit / deficit</v>
      </c>
      <c r="C146" s="653"/>
      <c r="D146" s="653"/>
      <c r="E146" s="653"/>
      <c r="F146" s="653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54" t="str">
        <f>+VLOOKUP(LEFT($A147,LEN(A147)-1)*1,Master!$D$30:$G$226,4,FALSE)</f>
        <v>Primarni suficit/deficit</v>
      </c>
      <c r="C147" s="655"/>
      <c r="D147" s="655"/>
      <c r="E147" s="655"/>
      <c r="F147" s="655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46" t="str">
        <f>+VLOOKUP(LEFT($A148,LEN(A148)-1)*1,Master!$D$30:$G$226,4,FALSE)</f>
        <v>Otplata dugova</v>
      </c>
      <c r="C148" s="647"/>
      <c r="D148" s="647"/>
      <c r="E148" s="647"/>
      <c r="F148" s="647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50" t="str">
        <f>+VLOOKUP(LEFT($A149,LEN(A149)-1)*1,Master!$D$30:$G$226,4,FALSE)</f>
        <v>Otplata hartija od vrijednosti i kredita rezidentima</v>
      </c>
      <c r="C149" s="651"/>
      <c r="D149" s="651"/>
      <c r="E149" s="651"/>
      <c r="F149" s="651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44" t="str">
        <f>+VLOOKUP(LEFT($A150,LEN(A150)-1)*1,Master!$D$30:$G$226,4,FALSE)</f>
        <v>Otplata hartija od vrijednosti i kredita nerezidentima</v>
      </c>
      <c r="C150" s="645"/>
      <c r="D150" s="645"/>
      <c r="E150" s="645"/>
      <c r="F150" s="645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22" t="str">
        <f>+VLOOKUP(LEFT($A151,LEN(A151)-1)*1,Master!$D$30:$G$226,4,FALSE)</f>
        <v>Izdaci za kupovinu hartija od vrijednosti</v>
      </c>
      <c r="C151" s="623"/>
      <c r="D151" s="623"/>
      <c r="E151" s="623"/>
      <c r="F151" s="623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48" t="str">
        <f>+VLOOKUP(LEFT($A152,LEN(A152)-1)*1,Master!$D$30:$G$226,4,FALSE)</f>
        <v>Nedostajuća sredstva</v>
      </c>
      <c r="C152" s="649"/>
      <c r="D152" s="649"/>
      <c r="E152" s="649"/>
      <c r="F152" s="649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22" t="str">
        <f>+VLOOKUP(LEFT($A153,LEN(A153)-1)*1,Master!$D$30:$G$226,4,FALSE)</f>
        <v>Finansiranje</v>
      </c>
      <c r="C153" s="623"/>
      <c r="D153" s="623"/>
      <c r="E153" s="623"/>
      <c r="F153" s="623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50" t="str">
        <f>+VLOOKUP(LEFT($A154,LEN(A154)-1)*1,Master!$D$30:$G$226,4,FALSE)</f>
        <v>Pozajmice i krediti od domaćih izvora</v>
      </c>
      <c r="C154" s="651"/>
      <c r="D154" s="651"/>
      <c r="E154" s="651"/>
      <c r="F154" s="651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44" t="str">
        <f>+VLOOKUP(LEFT($A155,LEN(A155)-1)*1,Master!$D$30:$G$226,4,FALSE)</f>
        <v>Pozajmice i krediti od inostranih izvora</v>
      </c>
      <c r="C155" s="645"/>
      <c r="D155" s="645"/>
      <c r="E155" s="645"/>
      <c r="F155" s="645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44" t="str">
        <f>+VLOOKUP(LEFT($A156,LEN(A156)-1)*1,Master!$D$30:$G$226,4,FALSE)</f>
        <v>Primici od prodaje imovine</v>
      </c>
      <c r="C156" s="645"/>
      <c r="D156" s="645"/>
      <c r="E156" s="645"/>
      <c r="F156" s="645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59" t="s">
        <v>553</v>
      </c>
      <c r="C7" s="560"/>
      <c r="D7" s="560"/>
      <c r="E7" s="560"/>
      <c r="F7" s="560"/>
      <c r="G7" s="568">
        <v>2019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20" t="s">
        <v>419</v>
      </c>
      <c r="T7" s="221">
        <v>4951000000</v>
      </c>
    </row>
    <row r="8" spans="1:20" ht="16.5" customHeight="1">
      <c r="A8" s="129"/>
      <c r="B8" s="561"/>
      <c r="C8" s="562"/>
      <c r="D8" s="562"/>
      <c r="E8" s="562"/>
      <c r="F8" s="563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68" t="s">
        <v>806</v>
      </c>
      <c r="T8" s="572"/>
    </row>
    <row r="9" spans="1:20" ht="13.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79" t="s">
        <v>680</v>
      </c>
      <c r="C10" s="580"/>
      <c r="D10" s="580"/>
      <c r="E10" s="580"/>
      <c r="F10" s="580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603" t="s">
        <v>21</v>
      </c>
      <c r="C11" s="604"/>
      <c r="D11" s="604"/>
      <c r="E11" s="604"/>
      <c r="F11" s="604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89" t="s">
        <v>23</v>
      </c>
      <c r="C12" s="590"/>
      <c r="D12" s="590"/>
      <c r="E12" s="590"/>
      <c r="F12" s="590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89" t="s">
        <v>25</v>
      </c>
      <c r="C13" s="590"/>
      <c r="D13" s="590"/>
      <c r="E13" s="590"/>
      <c r="F13" s="590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89" t="s">
        <v>27</v>
      </c>
      <c r="C14" s="590"/>
      <c r="D14" s="590"/>
      <c r="E14" s="590"/>
      <c r="F14" s="590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89" t="s">
        <v>29</v>
      </c>
      <c r="C15" s="590"/>
      <c r="D15" s="590"/>
      <c r="E15" s="590"/>
      <c r="F15" s="590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89" t="s">
        <v>31</v>
      </c>
      <c r="C16" s="590"/>
      <c r="D16" s="590"/>
      <c r="E16" s="590"/>
      <c r="F16" s="590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89" t="s">
        <v>33</v>
      </c>
      <c r="C17" s="590"/>
      <c r="D17" s="590"/>
      <c r="E17" s="590"/>
      <c r="F17" s="590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89" t="s">
        <v>721</v>
      </c>
      <c r="C18" s="590"/>
      <c r="D18" s="590"/>
      <c r="E18" s="590"/>
      <c r="F18" s="590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599" t="s">
        <v>37</v>
      </c>
      <c r="C19" s="600"/>
      <c r="D19" s="600"/>
      <c r="E19" s="600"/>
      <c r="F19" s="600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89" t="s">
        <v>39</v>
      </c>
      <c r="C20" s="590"/>
      <c r="D20" s="590"/>
      <c r="E20" s="590"/>
      <c r="F20" s="590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89" t="s">
        <v>41</v>
      </c>
      <c r="C21" s="590"/>
      <c r="D21" s="590"/>
      <c r="E21" s="590"/>
      <c r="F21" s="590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89" t="s">
        <v>43</v>
      </c>
      <c r="C22" s="590"/>
      <c r="D22" s="590"/>
      <c r="E22" s="590"/>
      <c r="F22" s="590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89" t="s">
        <v>45</v>
      </c>
      <c r="C23" s="590"/>
      <c r="D23" s="590"/>
      <c r="E23" s="590"/>
      <c r="F23" s="590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91" t="s">
        <v>47</v>
      </c>
      <c r="C24" s="592"/>
      <c r="D24" s="592"/>
      <c r="E24" s="592"/>
      <c r="F24" s="592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91" t="s">
        <v>61</v>
      </c>
      <c r="C25" s="592"/>
      <c r="D25" s="592"/>
      <c r="E25" s="592"/>
      <c r="F25" s="592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91" t="s">
        <v>81</v>
      </c>
      <c r="C26" s="592"/>
      <c r="D26" s="592"/>
      <c r="E26" s="592"/>
      <c r="F26" s="592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91" t="s">
        <v>99</v>
      </c>
      <c r="C27" s="592"/>
      <c r="D27" s="592"/>
      <c r="E27" s="592"/>
      <c r="F27" s="592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93" t="s">
        <v>105</v>
      </c>
      <c r="C28" s="594"/>
      <c r="D28" s="594"/>
      <c r="E28" s="594"/>
      <c r="F28" s="594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79" t="s">
        <v>801</v>
      </c>
      <c r="C29" s="580"/>
      <c r="D29" s="580"/>
      <c r="E29" s="580"/>
      <c r="F29" s="580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595" t="s">
        <v>120</v>
      </c>
      <c r="C30" s="596"/>
      <c r="D30" s="596"/>
      <c r="E30" s="596"/>
      <c r="F30" s="596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89" t="s">
        <v>122</v>
      </c>
      <c r="C31" s="590"/>
      <c r="D31" s="590"/>
      <c r="E31" s="590"/>
      <c r="F31" s="590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89" t="s">
        <v>133</v>
      </c>
      <c r="C32" s="590"/>
      <c r="D32" s="590"/>
      <c r="E32" s="590"/>
      <c r="F32" s="590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89" t="s">
        <v>148</v>
      </c>
      <c r="C33" s="590"/>
      <c r="D33" s="590"/>
      <c r="E33" s="590"/>
      <c r="F33" s="590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89" t="s">
        <v>162</v>
      </c>
      <c r="C34" s="590"/>
      <c r="D34" s="590"/>
      <c r="E34" s="590"/>
      <c r="F34" s="590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07" t="s">
        <v>182</v>
      </c>
      <c r="C35" s="608"/>
      <c r="D35" s="608"/>
      <c r="E35" s="608"/>
      <c r="F35" s="608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89" t="s">
        <v>190</v>
      </c>
      <c r="C36" s="590"/>
      <c r="D36" s="590"/>
      <c r="E36" s="590"/>
      <c r="F36" s="590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89" t="s">
        <v>196</v>
      </c>
      <c r="C37" s="590"/>
      <c r="D37" s="590"/>
      <c r="E37" s="590"/>
      <c r="F37" s="590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89" t="s">
        <v>204</v>
      </c>
      <c r="C38" s="590"/>
      <c r="D38" s="590"/>
      <c r="E38" s="590"/>
      <c r="F38" s="590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89" t="s">
        <v>212</v>
      </c>
      <c r="C39" s="590"/>
      <c r="D39" s="590"/>
      <c r="E39" s="590"/>
      <c r="F39" s="590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85" t="s">
        <v>230</v>
      </c>
      <c r="C40" s="586"/>
      <c r="D40" s="586"/>
      <c r="E40" s="586"/>
      <c r="F40" s="586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89" t="s">
        <v>232</v>
      </c>
      <c r="C41" s="590"/>
      <c r="D41" s="590"/>
      <c r="E41" s="590"/>
      <c r="F41" s="590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89" t="s">
        <v>248</v>
      </c>
      <c r="C42" s="590"/>
      <c r="D42" s="590"/>
      <c r="E42" s="590"/>
      <c r="F42" s="590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89" t="s">
        <v>259</v>
      </c>
      <c r="C43" s="590"/>
      <c r="D43" s="590"/>
      <c r="E43" s="590"/>
      <c r="F43" s="590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89" t="s">
        <v>274</v>
      </c>
      <c r="C44" s="590"/>
      <c r="D44" s="590"/>
      <c r="E44" s="590"/>
      <c r="F44" s="590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89" t="s">
        <v>278</v>
      </c>
      <c r="C45" s="590"/>
      <c r="D45" s="590"/>
      <c r="E45" s="590"/>
      <c r="F45" s="590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87" t="s">
        <v>286</v>
      </c>
      <c r="C46" s="588"/>
      <c r="D46" s="588"/>
      <c r="E46" s="588"/>
      <c r="F46" s="588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87" t="s">
        <v>320</v>
      </c>
      <c r="C47" s="588"/>
      <c r="D47" s="588"/>
      <c r="E47" s="588"/>
      <c r="F47" s="588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11" t="s">
        <v>113</v>
      </c>
      <c r="C48" s="612"/>
      <c r="D48" s="612"/>
      <c r="E48" s="612"/>
      <c r="F48" s="612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16" t="s">
        <v>366</v>
      </c>
      <c r="C49" s="617"/>
      <c r="D49" s="617"/>
      <c r="E49" s="617"/>
      <c r="F49" s="617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75" t="s">
        <v>359</v>
      </c>
      <c r="C50" s="576"/>
      <c r="D50" s="576"/>
      <c r="E50" s="576"/>
      <c r="F50" s="576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18" t="s">
        <v>794</v>
      </c>
      <c r="C51" s="619"/>
      <c r="D51" s="619"/>
      <c r="E51" s="619"/>
      <c r="F51" s="619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20" t="s">
        <v>684</v>
      </c>
      <c r="C52" s="621"/>
      <c r="D52" s="621"/>
      <c r="E52" s="621"/>
      <c r="F52" s="621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81" t="s">
        <v>545</v>
      </c>
      <c r="C53" s="582"/>
      <c r="D53" s="582"/>
      <c r="E53" s="582"/>
      <c r="F53" s="582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83" t="s">
        <v>792</v>
      </c>
      <c r="C54" s="584"/>
      <c r="D54" s="584"/>
      <c r="E54" s="584"/>
      <c r="F54" s="584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05" t="s">
        <v>352</v>
      </c>
      <c r="C55" s="606"/>
      <c r="D55" s="606"/>
      <c r="E55" s="606"/>
      <c r="F55" s="606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573" t="s">
        <v>355</v>
      </c>
      <c r="C56" s="574"/>
      <c r="D56" s="574"/>
      <c r="E56" s="574"/>
      <c r="F56" s="574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57" t="s">
        <v>357</v>
      </c>
      <c r="C57" s="558"/>
      <c r="D57" s="558"/>
      <c r="E57" s="558"/>
      <c r="F57" s="558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60" t="s">
        <v>336</v>
      </c>
      <c r="C58" s="661"/>
      <c r="D58" s="661"/>
      <c r="E58" s="661"/>
      <c r="F58" s="661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577" t="s">
        <v>543</v>
      </c>
      <c r="C59" s="578"/>
      <c r="D59" s="578"/>
      <c r="E59" s="578"/>
      <c r="F59" s="578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79" t="s">
        <v>544</v>
      </c>
      <c r="C60" s="580"/>
      <c r="D60" s="580"/>
      <c r="E60" s="580"/>
      <c r="F60" s="580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573" t="s">
        <v>114</v>
      </c>
      <c r="C61" s="574"/>
      <c r="D61" s="574"/>
      <c r="E61" s="574"/>
      <c r="F61" s="574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57" t="s">
        <v>116</v>
      </c>
      <c r="C62" s="558"/>
      <c r="D62" s="558"/>
      <c r="E62" s="558"/>
      <c r="F62" s="558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57" t="s">
        <v>93</v>
      </c>
      <c r="C63" s="558"/>
      <c r="D63" s="558"/>
      <c r="E63" s="558"/>
      <c r="F63" s="558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28" t="s">
        <v>551</v>
      </c>
      <c r="C100" s="629"/>
      <c r="D100" s="629"/>
      <c r="E100" s="629"/>
      <c r="F100" s="629"/>
      <c r="G100" s="613">
        <v>2019</v>
      </c>
      <c r="H100" s="614"/>
      <c r="I100" s="614"/>
      <c r="J100" s="614"/>
      <c r="K100" s="614"/>
      <c r="L100" s="614"/>
      <c r="M100" s="614"/>
      <c r="N100" s="614"/>
      <c r="O100" s="614"/>
      <c r="P100" s="614"/>
      <c r="Q100" s="614"/>
      <c r="R100" s="615"/>
      <c r="S100" s="96" t="str">
        <f>+S7</f>
        <v>BDP</v>
      </c>
      <c r="T100" s="97">
        <f>+T7</f>
        <v>4951000000</v>
      </c>
    </row>
    <row r="101" spans="1:21" ht="15.75" customHeight="1">
      <c r="B101" s="630"/>
      <c r="C101" s="631"/>
      <c r="D101" s="631"/>
      <c r="E101" s="631"/>
      <c r="F101" s="632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13" t="s">
        <v>806</v>
      </c>
      <c r="T101" s="615">
        <f>+T8</f>
        <v>0</v>
      </c>
    </row>
    <row r="102" spans="1:21" ht="13.5" thickBot="1">
      <c r="B102" s="633"/>
      <c r="C102" s="634"/>
      <c r="D102" s="634"/>
      <c r="E102" s="634"/>
      <c r="F102" s="635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58" t="s">
        <v>680</v>
      </c>
      <c r="C103" s="659"/>
      <c r="D103" s="659"/>
      <c r="E103" s="659"/>
      <c r="F103" s="659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24" t="s">
        <v>21</v>
      </c>
      <c r="C104" s="625"/>
      <c r="D104" s="625"/>
      <c r="E104" s="625"/>
      <c r="F104" s="625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26" t="s">
        <v>23</v>
      </c>
      <c r="C105" s="627"/>
      <c r="D105" s="627"/>
      <c r="E105" s="627"/>
      <c r="F105" s="627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26" t="s">
        <v>25</v>
      </c>
      <c r="C106" s="627"/>
      <c r="D106" s="627"/>
      <c r="E106" s="627"/>
      <c r="F106" s="627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26" t="s">
        <v>27</v>
      </c>
      <c r="C107" s="627"/>
      <c r="D107" s="627"/>
      <c r="E107" s="627"/>
      <c r="F107" s="627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26" t="s">
        <v>29</v>
      </c>
      <c r="C108" s="627"/>
      <c r="D108" s="627"/>
      <c r="E108" s="627"/>
      <c r="F108" s="627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26" t="s">
        <v>31</v>
      </c>
      <c r="C109" s="627"/>
      <c r="D109" s="627"/>
      <c r="E109" s="627"/>
      <c r="F109" s="627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26" t="s">
        <v>33</v>
      </c>
      <c r="C110" s="627"/>
      <c r="D110" s="627"/>
      <c r="E110" s="627"/>
      <c r="F110" s="627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26" t="s">
        <v>721</v>
      </c>
      <c r="C111" s="627"/>
      <c r="D111" s="627"/>
      <c r="E111" s="627"/>
      <c r="F111" s="627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56" t="s">
        <v>37</v>
      </c>
      <c r="C112" s="657"/>
      <c r="D112" s="657"/>
      <c r="E112" s="657"/>
      <c r="F112" s="657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26" t="s">
        <v>39</v>
      </c>
      <c r="C113" s="627"/>
      <c r="D113" s="627"/>
      <c r="E113" s="627"/>
      <c r="F113" s="627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26" t="s">
        <v>41</v>
      </c>
      <c r="C114" s="627"/>
      <c r="D114" s="627"/>
      <c r="E114" s="627"/>
      <c r="F114" s="627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26" t="s">
        <v>43</v>
      </c>
      <c r="C115" s="627"/>
      <c r="D115" s="627"/>
      <c r="E115" s="627"/>
      <c r="F115" s="627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26" t="s">
        <v>45</v>
      </c>
      <c r="C116" s="627"/>
      <c r="D116" s="627"/>
      <c r="E116" s="627"/>
      <c r="F116" s="627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36" t="s">
        <v>47</v>
      </c>
      <c r="C117" s="637"/>
      <c r="D117" s="637"/>
      <c r="E117" s="637"/>
      <c r="F117" s="637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36" t="s">
        <v>61</v>
      </c>
      <c r="C118" s="637"/>
      <c r="D118" s="637"/>
      <c r="E118" s="637"/>
      <c r="F118" s="637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36" t="s">
        <v>81</v>
      </c>
      <c r="C119" s="637"/>
      <c r="D119" s="637"/>
      <c r="E119" s="637"/>
      <c r="F119" s="637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36" t="s">
        <v>99</v>
      </c>
      <c r="C120" s="637"/>
      <c r="D120" s="637"/>
      <c r="E120" s="637"/>
      <c r="F120" s="637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38" t="s">
        <v>105</v>
      </c>
      <c r="C121" s="639"/>
      <c r="D121" s="639"/>
      <c r="E121" s="639"/>
      <c r="F121" s="639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22" t="s">
        <v>808</v>
      </c>
      <c r="C122" s="623"/>
      <c r="D122" s="623"/>
      <c r="E122" s="623"/>
      <c r="F122" s="623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64" t="s">
        <v>773</v>
      </c>
      <c r="C123" s="665"/>
      <c r="D123" s="665"/>
      <c r="E123" s="665"/>
      <c r="F123" s="665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40" t="e">
        <v>#REF!</v>
      </c>
      <c r="C124" s="641"/>
      <c r="D124" s="641"/>
      <c r="E124" s="641"/>
      <c r="F124" s="641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26" t="s">
        <v>122</v>
      </c>
      <c r="C125" s="627"/>
      <c r="D125" s="627"/>
      <c r="E125" s="627"/>
      <c r="F125" s="627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26" t="s">
        <v>133</v>
      </c>
      <c r="C126" s="627"/>
      <c r="D126" s="627"/>
      <c r="E126" s="627"/>
      <c r="F126" s="627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26" t="s">
        <v>148</v>
      </c>
      <c r="C127" s="627"/>
      <c r="D127" s="627"/>
      <c r="E127" s="627"/>
      <c r="F127" s="627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26" t="s">
        <v>162</v>
      </c>
      <c r="C128" s="627"/>
      <c r="D128" s="627"/>
      <c r="E128" s="627"/>
      <c r="F128" s="627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26" t="s">
        <v>182</v>
      </c>
      <c r="C129" s="627"/>
      <c r="D129" s="627"/>
      <c r="E129" s="627"/>
      <c r="F129" s="627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26" t="s">
        <v>190</v>
      </c>
      <c r="C130" s="627"/>
      <c r="D130" s="627"/>
      <c r="E130" s="627"/>
      <c r="F130" s="627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26" t="s">
        <v>196</v>
      </c>
      <c r="C131" s="627"/>
      <c r="D131" s="627"/>
      <c r="E131" s="627"/>
      <c r="F131" s="627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26" t="s">
        <v>204</v>
      </c>
      <c r="C132" s="627"/>
      <c r="D132" s="627"/>
      <c r="E132" s="627"/>
      <c r="F132" s="627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26" t="s">
        <v>212</v>
      </c>
      <c r="C133" s="627"/>
      <c r="D133" s="627"/>
      <c r="E133" s="627"/>
      <c r="F133" s="627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26" t="e">
        <v>#REF!</v>
      </c>
      <c r="C134" s="627"/>
      <c r="D134" s="627"/>
      <c r="E134" s="627"/>
      <c r="F134" s="627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46" t="s">
        <v>230</v>
      </c>
      <c r="C135" s="647"/>
      <c r="D135" s="647"/>
      <c r="E135" s="647"/>
      <c r="F135" s="647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26" t="s">
        <v>232</v>
      </c>
      <c r="C136" s="627"/>
      <c r="D136" s="627"/>
      <c r="E136" s="627"/>
      <c r="F136" s="627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26" t="s">
        <v>248</v>
      </c>
      <c r="C137" s="627"/>
      <c r="D137" s="627"/>
      <c r="E137" s="627"/>
      <c r="F137" s="627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26" t="s">
        <v>259</v>
      </c>
      <c r="C138" s="627"/>
      <c r="D138" s="627"/>
      <c r="E138" s="627"/>
      <c r="F138" s="627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26" t="s">
        <v>274</v>
      </c>
      <c r="C139" s="627"/>
      <c r="D139" s="627"/>
      <c r="E139" s="627"/>
      <c r="F139" s="627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26" t="s">
        <v>278</v>
      </c>
      <c r="C140" s="627"/>
      <c r="D140" s="627"/>
      <c r="E140" s="627"/>
      <c r="F140" s="627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42" t="s">
        <v>286</v>
      </c>
      <c r="C141" s="643"/>
      <c r="D141" s="643"/>
      <c r="E141" s="643"/>
      <c r="F141" s="643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42" t="s">
        <v>809</v>
      </c>
      <c r="C142" s="643"/>
      <c r="D142" s="643"/>
      <c r="E142" s="643"/>
      <c r="F142" s="643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44" t="s">
        <v>113</v>
      </c>
      <c r="C143" s="645"/>
      <c r="D143" s="645"/>
      <c r="E143" s="645"/>
      <c r="F143" s="645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44" t="s">
        <v>366</v>
      </c>
      <c r="C144" s="645"/>
      <c r="D144" s="645"/>
      <c r="E144" s="645"/>
      <c r="F144" s="645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44" t="s">
        <v>359</v>
      </c>
      <c r="C145" s="645"/>
      <c r="D145" s="645"/>
      <c r="E145" s="645"/>
      <c r="F145" s="645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44" t="s">
        <v>365</v>
      </c>
      <c r="C146" s="645"/>
      <c r="D146" s="645"/>
      <c r="E146" s="645"/>
      <c r="F146" s="645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62" t="s">
        <v>685</v>
      </c>
      <c r="C147" s="663"/>
      <c r="D147" s="663"/>
      <c r="E147" s="663"/>
      <c r="F147" s="663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52" t="s">
        <v>545</v>
      </c>
      <c r="C148" s="653"/>
      <c r="D148" s="653"/>
      <c r="E148" s="653"/>
      <c r="F148" s="653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54" t="s">
        <v>810</v>
      </c>
      <c r="C149" s="655"/>
      <c r="D149" s="655"/>
      <c r="E149" s="655"/>
      <c r="F149" s="655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46" t="s">
        <v>352</v>
      </c>
      <c r="C150" s="647"/>
      <c r="D150" s="647"/>
      <c r="E150" s="647"/>
      <c r="F150" s="647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50" t="s">
        <v>355</v>
      </c>
      <c r="C151" s="651"/>
      <c r="D151" s="651"/>
      <c r="E151" s="651"/>
      <c r="F151" s="651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44" t="s">
        <v>357</v>
      </c>
      <c r="C152" s="645"/>
      <c r="D152" s="645"/>
      <c r="E152" s="645"/>
      <c r="F152" s="645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60" t="s">
        <v>336</v>
      </c>
      <c r="C153" s="661"/>
      <c r="D153" s="661"/>
      <c r="E153" s="661"/>
      <c r="F153" s="661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48" t="s">
        <v>543</v>
      </c>
      <c r="C154" s="649"/>
      <c r="D154" s="649"/>
      <c r="E154" s="649"/>
      <c r="F154" s="649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22" t="s">
        <v>544</v>
      </c>
      <c r="C155" s="623"/>
      <c r="D155" s="623"/>
      <c r="E155" s="623"/>
      <c r="F155" s="623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50" t="s">
        <v>114</v>
      </c>
      <c r="C156" s="651"/>
      <c r="D156" s="651"/>
      <c r="E156" s="651"/>
      <c r="F156" s="651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44" t="s">
        <v>116</v>
      </c>
      <c r="C157" s="645"/>
      <c r="D157" s="645"/>
      <c r="E157" s="645"/>
      <c r="F157" s="645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44" t="s">
        <v>93</v>
      </c>
      <c r="C158" s="645"/>
      <c r="D158" s="645"/>
      <c r="E158" s="645"/>
      <c r="F158" s="645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Analitika - 2014</vt:lpstr>
      <vt:lpstr>Pregled</vt:lpstr>
      <vt:lpstr>Analitika 2024</vt:lpstr>
      <vt:lpstr>2024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Bojan Paunovic</cp:lastModifiedBy>
  <cp:lastPrinted>2024-06-26T14:13:15Z</cp:lastPrinted>
  <dcterms:created xsi:type="dcterms:W3CDTF">2014-09-15T13:41:17Z</dcterms:created>
  <dcterms:modified xsi:type="dcterms:W3CDTF">2024-08-30T11:57:35Z</dcterms:modified>
</cp:coreProperties>
</file>