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16710" windowHeight="11370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D36" i="10" l="1"/>
  <c r="D18" i="33"/>
  <c r="F35" i="33" l="1"/>
  <c r="F39" i="33"/>
  <c r="J53" i="33" l="1"/>
  <c r="J52" i="33"/>
  <c r="J51" i="33"/>
  <c r="J50" i="33"/>
  <c r="J49" i="33"/>
  <c r="J35" i="33"/>
  <c r="J48" i="33" l="1"/>
  <c r="H22" i="10"/>
  <c r="H38" i="10"/>
  <c r="H60" i="32"/>
  <c r="D28" i="32" l="1"/>
  <c r="D37" i="32"/>
  <c r="D26" i="32" l="1"/>
  <c r="D27" i="32" s="1"/>
  <c r="F59" i="33"/>
  <c r="F67" i="33"/>
  <c r="J67" i="33"/>
  <c r="D67" i="33"/>
  <c r="D49" i="32"/>
  <c r="J49" i="32"/>
  <c r="I67" i="33" l="1"/>
  <c r="L67" i="33"/>
  <c r="M67" i="33"/>
  <c r="H67" i="33"/>
  <c r="F28" i="32" l="1"/>
  <c r="F37" i="32"/>
  <c r="F26" i="32" l="1"/>
  <c r="F27" i="32" l="1"/>
  <c r="F46" i="32"/>
  <c r="F41" i="33"/>
  <c r="F49" i="32"/>
  <c r="H49" i="32" s="1"/>
  <c r="M52" i="32"/>
  <c r="L52" i="32"/>
  <c r="I52" i="32"/>
  <c r="H52" i="32"/>
  <c r="F17" i="32"/>
  <c r="F16" i="32" s="1"/>
  <c r="J18" i="33"/>
  <c r="J19" i="33"/>
  <c r="J20" i="33"/>
  <c r="J21" i="33"/>
  <c r="J22" i="33"/>
  <c r="J23" i="33"/>
  <c r="J24" i="33"/>
  <c r="J25" i="33"/>
  <c r="J27" i="33"/>
  <c r="J28" i="33"/>
  <c r="J29" i="33"/>
  <c r="J30" i="33"/>
  <c r="J31" i="33"/>
  <c r="J32" i="33"/>
  <c r="J33" i="33"/>
  <c r="J34" i="33"/>
  <c r="J39" i="33"/>
  <c r="J40" i="33"/>
  <c r="J41" i="33"/>
  <c r="J42" i="33"/>
  <c r="J43" i="33"/>
  <c r="J44" i="33"/>
  <c r="J45" i="33"/>
  <c r="J46" i="33"/>
  <c r="J47" i="33"/>
  <c r="J55" i="33"/>
  <c r="J56" i="33"/>
  <c r="J57" i="33"/>
  <c r="J58" i="33"/>
  <c r="J60" i="33"/>
  <c r="J59" i="33"/>
  <c r="J65" i="33"/>
  <c r="J66" i="33"/>
  <c r="J68" i="33"/>
  <c r="F18" i="33"/>
  <c r="F19" i="33"/>
  <c r="F20" i="33"/>
  <c r="F21" i="33"/>
  <c r="F22" i="33"/>
  <c r="F23" i="33"/>
  <c r="F24" i="33"/>
  <c r="F25" i="33"/>
  <c r="F27" i="33"/>
  <c r="F28" i="33"/>
  <c r="F29" i="33"/>
  <c r="F30" i="33"/>
  <c r="F31" i="33"/>
  <c r="F32" i="33"/>
  <c r="F33" i="33"/>
  <c r="F34" i="33"/>
  <c r="F40" i="33"/>
  <c r="F42" i="33"/>
  <c r="F43" i="33"/>
  <c r="F44" i="33"/>
  <c r="F45" i="33"/>
  <c r="F46" i="33"/>
  <c r="F47" i="33"/>
  <c r="F55" i="33"/>
  <c r="F56" i="33"/>
  <c r="F57" i="33"/>
  <c r="F58" i="33"/>
  <c r="F60" i="33"/>
  <c r="F65" i="33"/>
  <c r="F66" i="33"/>
  <c r="F68" i="33"/>
  <c r="D33" i="33"/>
  <c r="D31" i="33"/>
  <c r="D32" i="33"/>
  <c r="D19" i="33"/>
  <c r="D20" i="33"/>
  <c r="D21" i="33"/>
  <c r="D22" i="33"/>
  <c r="D23" i="33"/>
  <c r="D24" i="33"/>
  <c r="D25" i="33"/>
  <c r="D34" i="33"/>
  <c r="D35" i="33"/>
  <c r="D39" i="33"/>
  <c r="D40" i="33"/>
  <c r="D41" i="33"/>
  <c r="D42" i="33"/>
  <c r="D43" i="33"/>
  <c r="D44" i="33"/>
  <c r="D45" i="33"/>
  <c r="D46" i="33"/>
  <c r="D47" i="33"/>
  <c r="D55" i="33"/>
  <c r="D56" i="33"/>
  <c r="D57" i="33"/>
  <c r="D58" i="33"/>
  <c r="D59" i="33"/>
  <c r="D60" i="33"/>
  <c r="D65" i="33"/>
  <c r="D66" i="33"/>
  <c r="D68" i="33"/>
  <c r="I45" i="32"/>
  <c r="M45" i="32"/>
  <c r="M44" i="32"/>
  <c r="L44" i="32"/>
  <c r="J11" i="32"/>
  <c r="K44" i="32" s="1"/>
  <c r="D11" i="32"/>
  <c r="G52" i="32" s="1"/>
  <c r="I44" i="32"/>
  <c r="H44" i="32"/>
  <c r="J17" i="32"/>
  <c r="J16" i="32" s="1"/>
  <c r="K16" i="32" s="1"/>
  <c r="J28" i="32"/>
  <c r="J26" i="32" s="1"/>
  <c r="J46" i="32" s="1"/>
  <c r="J37" i="32"/>
  <c r="K37" i="32" s="1"/>
  <c r="D17" i="32"/>
  <c r="D16" i="32" s="1"/>
  <c r="M74" i="10"/>
  <c r="M73" i="10"/>
  <c r="M72" i="10"/>
  <c r="M69" i="10"/>
  <c r="M68" i="10"/>
  <c r="M67" i="10"/>
  <c r="M66" i="10"/>
  <c r="H69" i="10"/>
  <c r="L69" i="10"/>
  <c r="K69" i="10"/>
  <c r="I69" i="10"/>
  <c r="G69" i="10"/>
  <c r="E69" i="10"/>
  <c r="D17" i="10"/>
  <c r="D25" i="10"/>
  <c r="D26" i="33" s="1"/>
  <c r="D37" i="10"/>
  <c r="E37" i="10" s="1"/>
  <c r="D47" i="10"/>
  <c r="D53" i="10"/>
  <c r="D65" i="10"/>
  <c r="E65" i="10" s="1"/>
  <c r="F17" i="10"/>
  <c r="F25" i="10"/>
  <c r="G25" i="10" s="1"/>
  <c r="F37" i="10"/>
  <c r="G37" i="10" s="1"/>
  <c r="F47" i="10"/>
  <c r="F53" i="10"/>
  <c r="F54" i="33" s="1"/>
  <c r="F65" i="10"/>
  <c r="G65" i="10" s="1"/>
  <c r="J17" i="10"/>
  <c r="K17" i="10" s="1"/>
  <c r="J25" i="10"/>
  <c r="K25" i="10" s="1"/>
  <c r="J37" i="10"/>
  <c r="J35" i="10" s="1"/>
  <c r="J47" i="10"/>
  <c r="J53" i="10"/>
  <c r="J54" i="33" s="1"/>
  <c r="M61" i="10"/>
  <c r="M60" i="10"/>
  <c r="E18" i="10"/>
  <c r="E19" i="10"/>
  <c r="E20" i="10"/>
  <c r="E21" i="10"/>
  <c r="E22" i="10"/>
  <c r="E23" i="10"/>
  <c r="E24" i="10"/>
  <c r="F74" i="33"/>
  <c r="D74" i="33"/>
  <c r="J74" i="33"/>
  <c r="M54" i="10"/>
  <c r="M55" i="10"/>
  <c r="L54" i="10"/>
  <c r="L55" i="10"/>
  <c r="I54" i="10"/>
  <c r="I55" i="10"/>
  <c r="H54" i="10"/>
  <c r="H55" i="10"/>
  <c r="G55" i="10"/>
  <c r="G54" i="10"/>
  <c r="K55" i="10"/>
  <c r="K54" i="10"/>
  <c r="D53" i="33"/>
  <c r="D52" i="33"/>
  <c r="D51" i="33"/>
  <c r="D50" i="33"/>
  <c r="D49" i="33"/>
  <c r="L68" i="10"/>
  <c r="K68" i="10"/>
  <c r="I68" i="10"/>
  <c r="H68" i="10"/>
  <c r="C33" i="10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2" i="32"/>
  <c r="C23" i="32"/>
  <c r="C24" i="32"/>
  <c r="H24" i="32"/>
  <c r="L24" i="32"/>
  <c r="M24" i="32"/>
  <c r="H25" i="32"/>
  <c r="I25" i="32"/>
  <c r="L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8" i="32"/>
  <c r="I38" i="32"/>
  <c r="L38" i="32"/>
  <c r="M38" i="32"/>
  <c r="C39" i="32"/>
  <c r="C40" i="32"/>
  <c r="H40" i="32"/>
  <c r="I40" i="32"/>
  <c r="L40" i="32"/>
  <c r="M40" i="32"/>
  <c r="C41" i="32"/>
  <c r="H41" i="32"/>
  <c r="I41" i="32"/>
  <c r="L41" i="32"/>
  <c r="M41" i="32"/>
  <c r="C42" i="32"/>
  <c r="H42" i="32"/>
  <c r="I42" i="32"/>
  <c r="L42" i="32"/>
  <c r="M42" i="32"/>
  <c r="H43" i="32"/>
  <c r="I43" i="32"/>
  <c r="L43" i="32"/>
  <c r="M43" i="32"/>
  <c r="H45" i="32"/>
  <c r="L45" i="32"/>
  <c r="C46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39" i="32"/>
  <c r="I23" i="32"/>
  <c r="M23" i="32"/>
  <c r="L39" i="32"/>
  <c r="L23" i="32"/>
  <c r="H23" i="32"/>
  <c r="M22" i="32"/>
  <c r="I22" i="32"/>
  <c r="M21" i="32"/>
  <c r="I21" i="32"/>
  <c r="M39" i="32"/>
  <c r="I39" i="32"/>
  <c r="L22" i="32"/>
  <c r="H22" i="32"/>
  <c r="L21" i="32"/>
  <c r="H21" i="32"/>
  <c r="E55" i="10"/>
  <c r="E54" i="10"/>
  <c r="D73" i="33"/>
  <c r="D72" i="33"/>
  <c r="D71" i="33"/>
  <c r="L74" i="10"/>
  <c r="E47" i="10"/>
  <c r="J65" i="10"/>
  <c r="M65" i="10" s="1"/>
  <c r="H74" i="10"/>
  <c r="H73" i="10"/>
  <c r="H72" i="10"/>
  <c r="M58" i="10"/>
  <c r="M57" i="10"/>
  <c r="M56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6" i="10"/>
  <c r="M59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6" i="33"/>
  <c r="J73" i="33"/>
  <c r="F73" i="33"/>
  <c r="J72" i="33"/>
  <c r="F72" i="33"/>
  <c r="J71" i="33"/>
  <c r="F71" i="33"/>
  <c r="F53" i="33"/>
  <c r="F52" i="33"/>
  <c r="F51" i="33"/>
  <c r="F50" i="33"/>
  <c r="F49" i="33"/>
  <c r="C34" i="33"/>
  <c r="C33" i="33"/>
  <c r="C32" i="33"/>
  <c r="C31" i="33"/>
  <c r="D30" i="33"/>
  <c r="C30" i="33"/>
  <c r="D29" i="33"/>
  <c r="C29" i="33"/>
  <c r="D28" i="33"/>
  <c r="C28" i="33"/>
  <c r="D27" i="33"/>
  <c r="C27" i="33"/>
  <c r="C26" i="33"/>
  <c r="C23" i="33"/>
  <c r="C22" i="33"/>
  <c r="C21" i="33"/>
  <c r="C20" i="33"/>
  <c r="C19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K67" i="33" s="1"/>
  <c r="D11" i="33"/>
  <c r="C11" i="33"/>
  <c r="C61" i="32"/>
  <c r="K11" i="32"/>
  <c r="C76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G68" i="10"/>
  <c r="E68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K56" i="10"/>
  <c r="I56" i="10"/>
  <c r="H56" i="10"/>
  <c r="G56" i="10"/>
  <c r="E56" i="10"/>
  <c r="L53" i="10"/>
  <c r="K53" i="10"/>
  <c r="I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8" i="10"/>
  <c r="K48" i="10"/>
  <c r="I48" i="10"/>
  <c r="H48" i="10"/>
  <c r="G48" i="10"/>
  <c r="E48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E25" i="10"/>
  <c r="J27" i="36"/>
  <c r="I22" i="36"/>
  <c r="J22" i="36"/>
  <c r="J34" i="36"/>
  <c r="H43" i="36"/>
  <c r="I54" i="36"/>
  <c r="J54" i="36"/>
  <c r="I70" i="36"/>
  <c r="I17" i="36"/>
  <c r="J60" i="36"/>
  <c r="H60" i="36"/>
  <c r="G41" i="36"/>
  <c r="H79" i="36"/>
  <c r="G75" i="36"/>
  <c r="M25" i="10"/>
  <c r="J17" i="36"/>
  <c r="F60" i="36"/>
  <c r="I60" i="36"/>
  <c r="G42" i="36"/>
  <c r="H41" i="36"/>
  <c r="H75" i="36"/>
  <c r="K47" i="10"/>
  <c r="G47" i="10"/>
  <c r="L47" i="10"/>
  <c r="M47" i="10"/>
  <c r="I47" i="10"/>
  <c r="E41" i="36"/>
  <c r="F41" i="36"/>
  <c r="I9" i="36"/>
  <c r="H9" i="36"/>
  <c r="M17" i="10"/>
  <c r="I27" i="36"/>
  <c r="E6" i="30"/>
  <c r="J43" i="36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I34" i="36"/>
  <c r="D9" i="36"/>
  <c r="F70" i="36"/>
  <c r="H8" i="36"/>
  <c r="G68" i="36"/>
  <c r="E10" i="30"/>
  <c r="G4" i="30"/>
  <c r="G17" i="32"/>
  <c r="K29" i="32"/>
  <c r="K30" i="32"/>
  <c r="K34" i="32"/>
  <c r="K40" i="32"/>
  <c r="K41" i="32"/>
  <c r="K57" i="32"/>
  <c r="K58" i="32"/>
  <c r="K19" i="32"/>
  <c r="K36" i="32"/>
  <c r="K45" i="32"/>
  <c r="K60" i="32"/>
  <c r="K35" i="32"/>
  <c r="K49" i="32"/>
  <c r="K21" i="32"/>
  <c r="K23" i="32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F48" i="33" l="1"/>
  <c r="H68" i="33"/>
  <c r="M17" i="32"/>
  <c r="G53" i="10"/>
  <c r="D16" i="10"/>
  <c r="H47" i="10"/>
  <c r="L25" i="10"/>
  <c r="H53" i="10"/>
  <c r="E25" i="33"/>
  <c r="E58" i="32"/>
  <c r="E29" i="32"/>
  <c r="L65" i="10"/>
  <c r="K65" i="10"/>
  <c r="I37" i="10"/>
  <c r="H37" i="10"/>
  <c r="H65" i="10"/>
  <c r="L40" i="33"/>
  <c r="J16" i="10"/>
  <c r="M16" i="10" s="1"/>
  <c r="H25" i="10"/>
  <c r="L72" i="33"/>
  <c r="K35" i="10"/>
  <c r="L37" i="10"/>
  <c r="K37" i="10"/>
  <c r="M37" i="10"/>
  <c r="F35" i="10"/>
  <c r="F36" i="10" s="1"/>
  <c r="G36" i="10" s="1"/>
  <c r="I65" i="10"/>
  <c r="D54" i="33"/>
  <c r="L54" i="33" s="1"/>
  <c r="D35" i="10"/>
  <c r="E35" i="10" s="1"/>
  <c r="H73" i="33"/>
  <c r="E60" i="33"/>
  <c r="D48" i="33"/>
  <c r="E48" i="33" s="1"/>
  <c r="F16" i="10"/>
  <c r="H16" i="10" s="1"/>
  <c r="G16" i="10"/>
  <c r="I17" i="10"/>
  <c r="G17" i="10"/>
  <c r="E16" i="10"/>
  <c r="L17" i="10"/>
  <c r="H17" i="10"/>
  <c r="E17" i="10"/>
  <c r="E32" i="33"/>
  <c r="E50" i="33"/>
  <c r="G67" i="33"/>
  <c r="E67" i="33"/>
  <c r="K28" i="32"/>
  <c r="F64" i="33"/>
  <c r="L20" i="33"/>
  <c r="E56" i="33"/>
  <c r="E27" i="33"/>
  <c r="E28" i="33"/>
  <c r="K51" i="33"/>
  <c r="E72" i="33"/>
  <c r="E52" i="33"/>
  <c r="G74" i="33"/>
  <c r="E66" i="33"/>
  <c r="E58" i="33"/>
  <c r="E41" i="33"/>
  <c r="E23" i="33"/>
  <c r="E19" i="33"/>
  <c r="E33" i="33"/>
  <c r="G59" i="33"/>
  <c r="G56" i="33"/>
  <c r="G35" i="33"/>
  <c r="G27" i="33"/>
  <c r="G22" i="33"/>
  <c r="G18" i="33"/>
  <c r="K59" i="33"/>
  <c r="K56" i="33"/>
  <c r="K32" i="33"/>
  <c r="K28" i="33"/>
  <c r="K23" i="33"/>
  <c r="G41" i="33"/>
  <c r="G52" i="33"/>
  <c r="G71" i="33"/>
  <c r="E49" i="33"/>
  <c r="E53" i="33"/>
  <c r="E65" i="33"/>
  <c r="E57" i="33"/>
  <c r="E43" i="33"/>
  <c r="E40" i="33"/>
  <c r="E26" i="33"/>
  <c r="G55" i="33"/>
  <c r="G34" i="33"/>
  <c r="G30" i="33"/>
  <c r="G21" i="33"/>
  <c r="K60" i="33"/>
  <c r="K55" i="33"/>
  <c r="K45" i="33"/>
  <c r="K31" i="33"/>
  <c r="K27" i="33"/>
  <c r="K22" i="33"/>
  <c r="K52" i="33"/>
  <c r="K73" i="33"/>
  <c r="E46" i="33"/>
  <c r="E42" i="33"/>
  <c r="E39" i="33"/>
  <c r="E21" i="33"/>
  <c r="G66" i="33"/>
  <c r="G29" i="33"/>
  <c r="G24" i="33"/>
  <c r="K66" i="33"/>
  <c r="K44" i="33"/>
  <c r="K34" i="33"/>
  <c r="K30" i="33"/>
  <c r="K25" i="33"/>
  <c r="K21" i="33"/>
  <c r="G54" i="33"/>
  <c r="G49" i="33"/>
  <c r="G51" i="33"/>
  <c r="G53" i="33"/>
  <c r="E71" i="33"/>
  <c r="E51" i="33"/>
  <c r="E74" i="33"/>
  <c r="E68" i="33"/>
  <c r="E55" i="33"/>
  <c r="E45" i="33"/>
  <c r="E35" i="33"/>
  <c r="E24" i="33"/>
  <c r="G43" i="33"/>
  <c r="G39" i="33"/>
  <c r="G32" i="33"/>
  <c r="G23" i="33"/>
  <c r="K43" i="33"/>
  <c r="K40" i="33"/>
  <c r="K33" i="33"/>
  <c r="K29" i="33"/>
  <c r="K54" i="33"/>
  <c r="I49" i="32"/>
  <c r="G29" i="32"/>
  <c r="K52" i="32"/>
  <c r="G49" i="32"/>
  <c r="H55" i="33"/>
  <c r="K17" i="32"/>
  <c r="K39" i="32"/>
  <c r="K53" i="32"/>
  <c r="K33" i="32"/>
  <c r="K18" i="32"/>
  <c r="K56" i="32"/>
  <c r="K38" i="32"/>
  <c r="K43" i="32"/>
  <c r="K24" i="32"/>
  <c r="E23" i="32"/>
  <c r="E25" i="32"/>
  <c r="H50" i="33"/>
  <c r="H59" i="33"/>
  <c r="L44" i="33"/>
  <c r="K22" i="32"/>
  <c r="K50" i="32"/>
  <c r="K51" i="32"/>
  <c r="K25" i="32"/>
  <c r="K32" i="32"/>
  <c r="K42" i="32"/>
  <c r="K20" i="32"/>
  <c r="K31" i="32"/>
  <c r="E49" i="32"/>
  <c r="G20" i="32"/>
  <c r="G32" i="32"/>
  <c r="M50" i="33"/>
  <c r="H65" i="33"/>
  <c r="L30" i="33"/>
  <c r="I57" i="33"/>
  <c r="H19" i="33"/>
  <c r="L57" i="33"/>
  <c r="M47" i="33"/>
  <c r="M44" i="33"/>
  <c r="I29" i="33"/>
  <c r="I34" i="33"/>
  <c r="I74" i="33"/>
  <c r="L53" i="33"/>
  <c r="L74" i="33"/>
  <c r="H46" i="33"/>
  <c r="L71" i="33"/>
  <c r="L49" i="33"/>
  <c r="H37" i="32"/>
  <c r="H56" i="33"/>
  <c r="J64" i="33"/>
  <c r="I53" i="33"/>
  <c r="L73" i="33"/>
  <c r="H51" i="33"/>
  <c r="I51" i="33"/>
  <c r="H74" i="33"/>
  <c r="L50" i="33"/>
  <c r="M71" i="33"/>
  <c r="G46" i="33"/>
  <c r="H44" i="33"/>
  <c r="K50" i="33"/>
  <c r="I39" i="33"/>
  <c r="H28" i="33"/>
  <c r="K71" i="33"/>
  <c r="M30" i="33"/>
  <c r="I55" i="33"/>
  <c r="M73" i="33"/>
  <c r="E34" i="33"/>
  <c r="E73" i="33"/>
  <c r="L28" i="33"/>
  <c r="E39" i="32"/>
  <c r="G57" i="32"/>
  <c r="E42" i="32"/>
  <c r="G50" i="32"/>
  <c r="I37" i="32"/>
  <c r="I68" i="33"/>
  <c r="I32" i="33"/>
  <c r="G65" i="33"/>
  <c r="E20" i="33"/>
  <c r="G27" i="32"/>
  <c r="I19" i="33"/>
  <c r="E44" i="33"/>
  <c r="E45" i="32"/>
  <c r="G40" i="32"/>
  <c r="E38" i="32"/>
  <c r="G36" i="32"/>
  <c r="L17" i="32"/>
  <c r="L37" i="32"/>
  <c r="L59" i="33"/>
  <c r="E26" i="32"/>
  <c r="M20" i="33"/>
  <c r="E37" i="32"/>
  <c r="E21" i="32"/>
  <c r="G22" i="32"/>
  <c r="E36" i="32"/>
  <c r="G39" i="32"/>
  <c r="G19" i="32"/>
  <c r="G56" i="32"/>
  <c r="G38" i="32"/>
  <c r="E19" i="32"/>
  <c r="E57" i="32"/>
  <c r="E41" i="32"/>
  <c r="E24" i="32"/>
  <c r="G60" i="32"/>
  <c r="G45" i="32"/>
  <c r="G35" i="32"/>
  <c r="G25" i="32"/>
  <c r="I17" i="32"/>
  <c r="I28" i="32"/>
  <c r="H17" i="32"/>
  <c r="I49" i="33"/>
  <c r="M74" i="33"/>
  <c r="M28" i="32"/>
  <c r="D64" i="33"/>
  <c r="E64" i="33" s="1"/>
  <c r="I46" i="33"/>
  <c r="H42" i="33"/>
  <c r="I18" i="33"/>
  <c r="M56" i="33"/>
  <c r="L46" i="33"/>
  <c r="M42" i="33"/>
  <c r="M39" i="33"/>
  <c r="M23" i="33"/>
  <c r="L19" i="33"/>
  <c r="E52" i="32"/>
  <c r="E28" i="32"/>
  <c r="G28" i="32"/>
  <c r="E50" i="32"/>
  <c r="E60" i="32"/>
  <c r="E35" i="32"/>
  <c r="G18" i="32"/>
  <c r="G42" i="32"/>
  <c r="G37" i="32"/>
  <c r="E18" i="32"/>
  <c r="E56" i="32"/>
  <c r="E40" i="32"/>
  <c r="G31" i="32"/>
  <c r="E20" i="32"/>
  <c r="G53" i="32"/>
  <c r="E43" i="32"/>
  <c r="G34" i="32"/>
  <c r="E31" i="32"/>
  <c r="M37" i="32"/>
  <c r="E44" i="32"/>
  <c r="I60" i="33"/>
  <c r="I45" i="33"/>
  <c r="I25" i="33"/>
  <c r="H21" i="33"/>
  <c r="M68" i="33"/>
  <c r="L24" i="33"/>
  <c r="M52" i="33"/>
  <c r="K47" i="33"/>
  <c r="G21" i="32"/>
  <c r="L52" i="33"/>
  <c r="M33" i="33"/>
  <c r="E22" i="32"/>
  <c r="G23" i="32"/>
  <c r="E17" i="32"/>
  <c r="E51" i="32"/>
  <c r="E53" i="32"/>
  <c r="E32" i="32"/>
  <c r="G58" i="32"/>
  <c r="G41" i="32"/>
  <c r="G24" i="32"/>
  <c r="E34" i="32"/>
  <c r="G43" i="32"/>
  <c r="G30" i="32"/>
  <c r="E33" i="32"/>
  <c r="G51" i="32"/>
  <c r="G33" i="32"/>
  <c r="E30" i="32"/>
  <c r="I72" i="33"/>
  <c r="H28" i="32"/>
  <c r="L49" i="32"/>
  <c r="G44" i="32"/>
  <c r="D38" i="33"/>
  <c r="E38" i="33" s="1"/>
  <c r="I44" i="33"/>
  <c r="M65" i="33"/>
  <c r="I42" i="33"/>
  <c r="M34" i="33"/>
  <c r="M57" i="33"/>
  <c r="K57" i="33"/>
  <c r="K24" i="33"/>
  <c r="K20" i="33"/>
  <c r="L65" i="33"/>
  <c r="L47" i="33"/>
  <c r="I22" i="33"/>
  <c r="H18" i="33"/>
  <c r="H34" i="33"/>
  <c r="H30" i="33"/>
  <c r="M24" i="33"/>
  <c r="L33" i="33"/>
  <c r="I35" i="33"/>
  <c r="K65" i="33"/>
  <c r="I56" i="33"/>
  <c r="G42" i="33"/>
  <c r="H52" i="33"/>
  <c r="I52" i="33"/>
  <c r="I66" i="33"/>
  <c r="L56" i="33"/>
  <c r="K39" i="33"/>
  <c r="I21" i="33"/>
  <c r="L42" i="33"/>
  <c r="E18" i="33"/>
  <c r="M19" i="33"/>
  <c r="H22" i="33"/>
  <c r="L23" i="33"/>
  <c r="E59" i="33"/>
  <c r="M40" i="33"/>
  <c r="L43" i="33"/>
  <c r="H25" i="33"/>
  <c r="H53" i="33"/>
  <c r="G60" i="33"/>
  <c r="G25" i="33"/>
  <c r="K46" i="33"/>
  <c r="K19" i="33"/>
  <c r="K74" i="33"/>
  <c r="I59" i="33"/>
  <c r="H58" i="33"/>
  <c r="I40" i="33"/>
  <c r="I33" i="33"/>
  <c r="I20" i="33"/>
  <c r="M55" i="33"/>
  <c r="M35" i="33"/>
  <c r="M18" i="33"/>
  <c r="M46" i="33"/>
  <c r="L39" i="33"/>
  <c r="M51" i="33"/>
  <c r="L18" i="33"/>
  <c r="H49" i="33"/>
  <c r="L68" i="33"/>
  <c r="H60" i="33"/>
  <c r="K68" i="33"/>
  <c r="M59" i="33"/>
  <c r="M28" i="33"/>
  <c r="E22" i="33"/>
  <c r="E47" i="33"/>
  <c r="I30" i="33"/>
  <c r="L16" i="32"/>
  <c r="L26" i="32"/>
  <c r="D17" i="33"/>
  <c r="E17" i="33" s="1"/>
  <c r="H57" i="33"/>
  <c r="H47" i="33"/>
  <c r="I43" i="33"/>
  <c r="H39" i="33"/>
  <c r="M66" i="33"/>
  <c r="L58" i="33"/>
  <c r="M41" i="33"/>
  <c r="L25" i="33"/>
  <c r="K42" i="33"/>
  <c r="G68" i="33"/>
  <c r="H72" i="33"/>
  <c r="M43" i="33"/>
  <c r="H43" i="33"/>
  <c r="L28" i="32"/>
  <c r="M49" i="32"/>
  <c r="H35" i="33"/>
  <c r="L51" i="33"/>
  <c r="H27" i="33"/>
  <c r="H66" i="33"/>
  <c r="M16" i="32"/>
  <c r="L31" i="33"/>
  <c r="H32" i="33"/>
  <c r="L60" i="33"/>
  <c r="G16" i="32"/>
  <c r="K49" i="33"/>
  <c r="M27" i="33"/>
  <c r="K18" i="33"/>
  <c r="M32" i="33"/>
  <c r="M72" i="33"/>
  <c r="I50" i="33"/>
  <c r="G58" i="33"/>
  <c r="G44" i="33"/>
  <c r="F26" i="33"/>
  <c r="H26" i="33" s="1"/>
  <c r="F17" i="33"/>
  <c r="H48" i="33"/>
  <c r="M31" i="33"/>
  <c r="I47" i="33"/>
  <c r="L41" i="33"/>
  <c r="E31" i="33"/>
  <c r="I23" i="33"/>
  <c r="I24" i="33"/>
  <c r="L66" i="33"/>
  <c r="I73" i="33"/>
  <c r="L22" i="33"/>
  <c r="M22" i="33"/>
  <c r="L55" i="33"/>
  <c r="K35" i="33"/>
  <c r="I65" i="33"/>
  <c r="H40" i="33"/>
  <c r="H71" i="33"/>
  <c r="G19" i="33"/>
  <c r="G40" i="33"/>
  <c r="G73" i="33"/>
  <c r="E30" i="33"/>
  <c r="G57" i="33"/>
  <c r="K41" i="33"/>
  <c r="K72" i="33"/>
  <c r="I31" i="33"/>
  <c r="J17" i="33"/>
  <c r="M60" i="33"/>
  <c r="I41" i="33"/>
  <c r="I58" i="33"/>
  <c r="G33" i="33"/>
  <c r="G47" i="33"/>
  <c r="M25" i="33"/>
  <c r="M58" i="33"/>
  <c r="L34" i="33"/>
  <c r="H41" i="33"/>
  <c r="L35" i="33"/>
  <c r="H33" i="33"/>
  <c r="H23" i="33"/>
  <c r="H29" i="33"/>
  <c r="F38" i="33"/>
  <c r="G38" i="33" s="1"/>
  <c r="J26" i="33"/>
  <c r="K26" i="33" s="1"/>
  <c r="M49" i="33"/>
  <c r="I27" i="33"/>
  <c r="G20" i="33"/>
  <c r="G31" i="33"/>
  <c r="E29" i="33"/>
  <c r="L32" i="33"/>
  <c r="L27" i="33"/>
  <c r="K53" i="33"/>
  <c r="M53" i="33"/>
  <c r="I28" i="33"/>
  <c r="G28" i="33"/>
  <c r="H31" i="33"/>
  <c r="G45" i="33"/>
  <c r="M45" i="33"/>
  <c r="M29" i="33"/>
  <c r="L45" i="33"/>
  <c r="K48" i="33"/>
  <c r="G48" i="33"/>
  <c r="E16" i="32"/>
  <c r="I16" i="32"/>
  <c r="L21" i="33"/>
  <c r="L29" i="33"/>
  <c r="H45" i="33"/>
  <c r="H16" i="32"/>
  <c r="D46" i="32"/>
  <c r="D47" i="32" s="1"/>
  <c r="E47" i="32" s="1"/>
  <c r="J38" i="33"/>
  <c r="J36" i="33" s="1"/>
  <c r="G72" i="33"/>
  <c r="H20" i="33"/>
  <c r="M21" i="33"/>
  <c r="H24" i="33"/>
  <c r="G50" i="33"/>
  <c r="K58" i="33"/>
  <c r="D16" i="33" l="1"/>
  <c r="I48" i="33"/>
  <c r="L16" i="10"/>
  <c r="G35" i="10"/>
  <c r="L48" i="33"/>
  <c r="M48" i="33"/>
  <c r="D36" i="33"/>
  <c r="D61" i="33" s="1"/>
  <c r="D62" i="33" s="1"/>
  <c r="E62" i="33" s="1"/>
  <c r="E54" i="33"/>
  <c r="I54" i="33"/>
  <c r="G9" i="10"/>
  <c r="K16" i="10"/>
  <c r="J62" i="10"/>
  <c r="J63" i="10" s="1"/>
  <c r="H54" i="33"/>
  <c r="M54" i="33"/>
  <c r="J36" i="10"/>
  <c r="K36" i="10" s="1"/>
  <c r="I16" i="10"/>
  <c r="F62" i="10"/>
  <c r="G8" i="10"/>
  <c r="I35" i="10"/>
  <c r="I17" i="33"/>
  <c r="D62" i="10"/>
  <c r="D63" i="10" s="1"/>
  <c r="H36" i="10"/>
  <c r="M35" i="10"/>
  <c r="L35" i="10"/>
  <c r="H35" i="10"/>
  <c r="M17" i="33"/>
  <c r="L64" i="33"/>
  <c r="M64" i="33"/>
  <c r="K64" i="33"/>
  <c r="I26" i="32"/>
  <c r="G26" i="32"/>
  <c r="H26" i="32"/>
  <c r="H27" i="32"/>
  <c r="G64" i="33"/>
  <c r="H38" i="33"/>
  <c r="G26" i="33"/>
  <c r="E27" i="32"/>
  <c r="M26" i="32"/>
  <c r="I27" i="32"/>
  <c r="K17" i="33"/>
  <c r="J16" i="33"/>
  <c r="L17" i="33"/>
  <c r="M26" i="33"/>
  <c r="F36" i="33"/>
  <c r="I64" i="33"/>
  <c r="J27" i="32"/>
  <c r="K26" i="32"/>
  <c r="I38" i="33"/>
  <c r="L26" i="33"/>
  <c r="G17" i="33"/>
  <c r="H17" i="33"/>
  <c r="F16" i="33"/>
  <c r="G16" i="33" s="1"/>
  <c r="I26" i="33"/>
  <c r="K38" i="33"/>
  <c r="L38" i="33"/>
  <c r="M38" i="33"/>
  <c r="E16" i="33"/>
  <c r="D48" i="32"/>
  <c r="D54" i="32"/>
  <c r="E46" i="32"/>
  <c r="D37" i="33" l="1"/>
  <c r="E37" i="33" s="1"/>
  <c r="I36" i="33"/>
  <c r="E36" i="33"/>
  <c r="M36" i="10"/>
  <c r="F70" i="10"/>
  <c r="F75" i="10" s="1"/>
  <c r="F63" i="10"/>
  <c r="G63" i="10" s="1"/>
  <c r="E63" i="10"/>
  <c r="G46" i="32"/>
  <c r="F47" i="32"/>
  <c r="L16" i="33"/>
  <c r="J61" i="33"/>
  <c r="J62" i="33" s="1"/>
  <c r="K63" i="10"/>
  <c r="J64" i="10"/>
  <c r="K64" i="10" s="1"/>
  <c r="J70" i="10"/>
  <c r="J75" i="10" s="1"/>
  <c r="J71" i="10" s="1"/>
  <c r="L63" i="10"/>
  <c r="M63" i="10"/>
  <c r="K62" i="10"/>
  <c r="M46" i="32"/>
  <c r="J47" i="32"/>
  <c r="H62" i="10"/>
  <c r="F64" i="10"/>
  <c r="G64" i="10" s="1"/>
  <c r="G62" i="10"/>
  <c r="E62" i="10"/>
  <c r="D70" i="10"/>
  <c r="I62" i="10"/>
  <c r="D64" i="10"/>
  <c r="M62" i="10"/>
  <c r="L62" i="10"/>
  <c r="E36" i="10"/>
  <c r="I36" i="10"/>
  <c r="L36" i="10"/>
  <c r="H46" i="32"/>
  <c r="F54" i="32"/>
  <c r="I54" i="32" s="1"/>
  <c r="F48" i="32"/>
  <c r="G48" i="32" s="1"/>
  <c r="I46" i="32"/>
  <c r="F37" i="33"/>
  <c r="H36" i="33"/>
  <c r="G36" i="33"/>
  <c r="H16" i="33"/>
  <c r="F61" i="33"/>
  <c r="I16" i="33"/>
  <c r="K16" i="33"/>
  <c r="M16" i="33"/>
  <c r="L46" i="32"/>
  <c r="K46" i="32"/>
  <c r="K27" i="32"/>
  <c r="L27" i="32"/>
  <c r="M27" i="32"/>
  <c r="E48" i="32"/>
  <c r="E54" i="32"/>
  <c r="D59" i="32"/>
  <c r="E61" i="33"/>
  <c r="D63" i="33"/>
  <c r="D69" i="33"/>
  <c r="L36" i="33"/>
  <c r="K36" i="33"/>
  <c r="M36" i="33"/>
  <c r="J37" i="33"/>
  <c r="H37" i="33" l="1"/>
  <c r="H64" i="10"/>
  <c r="I63" i="10"/>
  <c r="H70" i="10"/>
  <c r="G70" i="10"/>
  <c r="M70" i="10"/>
  <c r="K75" i="10"/>
  <c r="H63" i="10"/>
  <c r="J48" i="32"/>
  <c r="K48" i="32" s="1"/>
  <c r="J54" i="32"/>
  <c r="M61" i="33"/>
  <c r="I47" i="32"/>
  <c r="H47" i="32"/>
  <c r="G47" i="32"/>
  <c r="L62" i="33"/>
  <c r="M62" i="33"/>
  <c r="K62" i="33"/>
  <c r="J63" i="33"/>
  <c r="K63" i="33" s="1"/>
  <c r="F69" i="33"/>
  <c r="G69" i="33" s="1"/>
  <c r="F62" i="33"/>
  <c r="K70" i="10"/>
  <c r="M47" i="32"/>
  <c r="K47" i="32"/>
  <c r="L47" i="32"/>
  <c r="K71" i="10"/>
  <c r="M64" i="10"/>
  <c r="L70" i="10"/>
  <c r="D75" i="10"/>
  <c r="L75" i="10" s="1"/>
  <c r="L71" i="10" s="1"/>
  <c r="I70" i="10"/>
  <c r="E70" i="10"/>
  <c r="L64" i="10"/>
  <c r="E64" i="10"/>
  <c r="I64" i="10"/>
  <c r="F71" i="10"/>
  <c r="G71" i="10" s="1"/>
  <c r="G75" i="10"/>
  <c r="M54" i="32"/>
  <c r="H54" i="32"/>
  <c r="I48" i="32"/>
  <c r="H48" i="32"/>
  <c r="H61" i="33"/>
  <c r="I37" i="33"/>
  <c r="G37" i="33"/>
  <c r="I61" i="33"/>
  <c r="G54" i="32"/>
  <c r="F59" i="32"/>
  <c r="G61" i="33"/>
  <c r="F63" i="33"/>
  <c r="G63" i="33" s="1"/>
  <c r="K54" i="32"/>
  <c r="K37" i="33"/>
  <c r="M37" i="33"/>
  <c r="L37" i="33"/>
  <c r="D55" i="32"/>
  <c r="E59" i="32"/>
  <c r="L61" i="33"/>
  <c r="E63" i="33"/>
  <c r="D75" i="33"/>
  <c r="E69" i="33"/>
  <c r="K61" i="33"/>
  <c r="J69" i="33"/>
  <c r="L69" i="33" s="1"/>
  <c r="M48" i="32" l="1"/>
  <c r="L48" i="32"/>
  <c r="E75" i="10"/>
  <c r="J59" i="32"/>
  <c r="L59" i="32" s="1"/>
  <c r="L54" i="32"/>
  <c r="F75" i="33"/>
  <c r="I75" i="33" s="1"/>
  <c r="H69" i="33"/>
  <c r="I69" i="33"/>
  <c r="H62" i="33"/>
  <c r="G62" i="33"/>
  <c r="I62" i="33"/>
  <c r="H75" i="10"/>
  <c r="D71" i="10"/>
  <c r="H71" i="10" s="1"/>
  <c r="F55" i="32"/>
  <c r="G55" i="32" s="1"/>
  <c r="G59" i="32"/>
  <c r="I59" i="32"/>
  <c r="H59" i="32"/>
  <c r="H63" i="33"/>
  <c r="D70" i="33"/>
  <c r="E75" i="33"/>
  <c r="E55" i="32"/>
  <c r="K69" i="33"/>
  <c r="J75" i="33"/>
  <c r="L75" i="33" s="1"/>
  <c r="L63" i="33"/>
  <c r="M69" i="33"/>
  <c r="K59" i="32" l="1"/>
  <c r="J55" i="32"/>
  <c r="K55" i="32" s="1"/>
  <c r="M59" i="32"/>
  <c r="G75" i="33"/>
  <c r="H75" i="33"/>
  <c r="F70" i="33"/>
  <c r="G70" i="33" s="1"/>
  <c r="E71" i="10"/>
  <c r="M71" i="10"/>
  <c r="I71" i="10"/>
  <c r="H55" i="32"/>
  <c r="I55" i="32"/>
  <c r="J70" i="33"/>
  <c r="K70" i="33" s="1"/>
  <c r="K75" i="33"/>
  <c r="E70" i="33"/>
  <c r="L55" i="32" l="1"/>
  <c r="H70" i="33"/>
  <c r="M55" i="32"/>
  <c r="I70" i="33"/>
  <c r="M70" i="33"/>
  <c r="L70" i="33"/>
</calcChain>
</file>

<file path=xl/sharedStrings.xml><?xml version="1.0" encoding="utf-8"?>
<sst xmlns="http://schemas.openxmlformats.org/spreadsheetml/2006/main" count="1250" uniqueCount="472">
  <si>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</si>
  <si>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</si>
  <si>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</si>
  <si>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</si>
  <si>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</si>
  <si>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</si>
  <si>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</si>
  <si>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</si>
  <si>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</si>
  <si>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</si>
  <si>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</si>
  <si>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</si>
  <si>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</si>
  <si>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</si>
  <si>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</si>
  <si>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</si>
  <si>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</si>
  <si>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</si>
  <si>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</si>
  <si>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</si>
  <si>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</si>
  <si>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</si>
  <si>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</si>
  <si>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</si>
  <si>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</si>
  <si>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</si>
  <si>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</si>
  <si>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</si>
  <si>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</si>
  <si>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</si>
  <si>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</si>
  <si>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</si>
  <si>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</si>
  <si>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</si>
  <si>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</si>
  <si>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</si>
  <si>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</si>
  <si>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</si>
  <si>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</si>
  <si>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</si>
  <si>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</si>
  <si>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</si>
  <si>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</si>
  <si>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</si>
  <si>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</si>
  <si>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</si>
  <si>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</si>
  <si>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</si>
  <si>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</si>
  <si>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</si>
  <si>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</si>
  <si>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</si>
  <si>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</si>
  <si>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</si>
  <si>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</si>
  <si>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</si>
  <si>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</si>
  <si>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</si>
  <si>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</si>
  <si>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</si>
  <si>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</si>
  <si>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</si>
  <si>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</si>
  <si>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</si>
  <si>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</si>
  <si>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</si>
  <si>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</si>
  <si>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</si>
  <si>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</si>
  <si>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</si>
  <si>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</si>
  <si>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</si>
  <si>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</si>
  <si>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</si>
  <si>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</si>
  <si>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</si>
  <si>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</si>
  <si>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</si>
  <si>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</si>
  <si>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</si>
  <si>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</si>
  <si>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</si>
  <si>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</si>
  <si>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</si>
  <si>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</si>
  <si>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</si>
  <si>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</si>
  <si>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</si>
  <si>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</si>
  <si>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</si>
  <si>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</si>
  <si>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</si>
  <si>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</si>
  <si>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</si>
  <si>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</si>
  <si>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</si>
  <si>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</si>
  <si>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</si>
  <si>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</si>
  <si>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</si>
  <si>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</si>
  <si>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</si>
  <si>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</si>
  <si>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</si>
  <si>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</si>
  <si>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</si>
  <si>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</si>
  <si>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</si>
  <si>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</si>
  <si>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</si>
  <si>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</si>
  <si>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</si>
  <si>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</si>
  <si>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</si>
  <si>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</si>
  <si>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</si>
  <si>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</si>
  <si>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</si>
  <si>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</si>
  <si>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</si>
  <si>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</si>
  <si>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</si>
  <si>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</si>
  <si>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</si>
  <si>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</si>
  <si>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</si>
  <si>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</si>
  <si>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</si>
  <si>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</si>
  <si>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</si>
  <si>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</si>
  <si>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</si>
  <si>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</si>
  <si>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</si>
  <si>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</si>
  <si>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</si>
  <si>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</si>
  <si>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</si>
  <si>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</si>
  <si>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</si>
  <si>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</si>
  <si>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</si>
  <si>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</si>
  <si>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</si>
  <si>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</si>
  <si>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</si>
  <si>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</si>
  <si>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</si>
  <si>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</si>
  <si>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</si>
  <si>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</si>
  <si>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</si>
  <si>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</si>
  <si>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</si>
  <si>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</si>
  <si>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</si>
  <si>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</si>
  <si>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</si>
  <si>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</si>
  <si>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</si>
  <si>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</si>
  <si>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</si>
  <si>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</si>
  <si>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</si>
  <si>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</si>
  <si>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</si>
  <si>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</si>
  <si>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</si>
  <si>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</si>
  <si>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</si>
  <si>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</si>
  <si>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</si>
  <si>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</si>
  <si>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</si>
  <si>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</si>
  <si>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</si>
  <si>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</si>
  <si>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</si>
  <si>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</si>
  <si>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</si>
  <si>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</si>
  <si>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</si>
  <si>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</si>
  <si>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</si>
  <si>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</si>
  <si>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</si>
  <si>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</si>
  <si>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</si>
  <si>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</si>
  <si>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</si>
  <si>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</si>
  <si>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</si>
  <si>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</si>
  <si>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</si>
  <si>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</si>
  <si>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</si>
  <si>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</si>
  <si>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</si>
  <si>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</si>
  <si>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</si>
  <si>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</si>
  <si>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</si>
  <si>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</si>
  <si>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</si>
  <si>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</si>
  <si>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</si>
  <si>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</si>
  <si>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</si>
  <si>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</si>
  <si>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</si>
  <si>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</si>
  <si>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</si>
  <si>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</si>
  <si>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</si>
  <si>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</si>
  <si>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</si>
  <si>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</si>
  <si>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</si>
  <si>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</si>
  <si>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</si>
  <si>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</si>
  <si>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</si>
  <si>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</si>
  <si>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</si>
  <si>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</si>
  <si>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</si>
  <si>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</si>
  <si>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</si>
  <si>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</si>
  <si>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</si>
  <si>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</si>
  <si>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</si>
  <si>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</si>
  <si>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</si>
  <si>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</si>
  <si>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</si>
  <si>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</si>
  <si>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</si>
  <si>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</si>
  <si>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</si>
  <si>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</si>
  <si>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</si>
  <si>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</si>
  <si>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</si>
  <si>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</si>
  <si>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</si>
  <si>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</si>
  <si>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</si>
  <si>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</si>
  <si>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</si>
  <si>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</si>
  <si>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</si>
  <si>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</si>
  <si>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</si>
  <si>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</si>
  <si>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</si>
  <si>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</si>
  <si>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</si>
  <si>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</si>
  <si>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</si>
  <si>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</si>
  <si>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</si>
  <si>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</si>
  <si>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</si>
  <si>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</si>
  <si>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</si>
  <si>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</si>
  <si>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</si>
  <si>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</si>
  <si>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</si>
  <si>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</si>
  <si>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</si>
  <si>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</si>
  <si>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</si>
  <si>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</si>
  <si>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</si>
  <si>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</si>
  <si>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</si>
  <si>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</si>
  <si>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</si>
  <si>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</si>
  <si>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</si>
  <si>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</si>
  <si>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</si>
  <si>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</si>
  <si>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</si>
  <si>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</si>
  <si>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</si>
  <si>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</si>
  <si>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</si>
  <si>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</si>
  <si>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</si>
  <si>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</si>
  <si>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</si>
  <si>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</si>
  <si>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</si>
  <si>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</si>
  <si>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</si>
  <si>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</si>
  <si>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</si>
  <si>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</si>
  <si>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</si>
  <si>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</si>
  <si>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</si>
  <si>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</si>
  <si>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</si>
  <si>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</si>
  <si>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</si>
  <si>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</si>
  <si>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</si>
  <si>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</si>
  <si>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</si>
  <si>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</si>
  <si>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</si>
  <si>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</si>
  <si>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</si>
  <si>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</si>
  <si>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</si>
  <si>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</si>
  <si>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</si>
  <si>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</si>
  <si>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</si>
  <si>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</si>
  <si>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</si>
  <si>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</si>
  <si>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</si>
  <si>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</si>
  <si>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</si>
  <si>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</si>
  <si>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</si>
  <si>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</si>
  <si>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</si>
  <si>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</si>
  <si>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</si>
  <si>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</si>
  <si>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</si>
  <si>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</si>
  <si>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</si>
  <si>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</si>
  <si>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</si>
  <si>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</si>
  <si>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</si>
  <si>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</si>
  <si>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</si>
  <si>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</si>
  <si>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</si>
  <si>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</si>
  <si>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</si>
  <si>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</si>
  <si>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</si>
  <si>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</si>
  <si>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</si>
  <si>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</si>
  <si>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</si>
  <si>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</si>
  <si>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</si>
  <si>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</si>
  <si>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</si>
  <si>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</si>
  <si>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</si>
  <si>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</si>
  <si>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</si>
  <si>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</si>
  <si>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</si>
  <si>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</si>
  <si>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</si>
  <si>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</si>
  <si>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</si>
  <si>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</si>
  <si>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</si>
  <si>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</si>
  <si>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</si>
  <si>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</si>
  <si>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</si>
  <si>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</si>
  <si>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</si>
  <si>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</si>
  <si>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</si>
  <si>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</si>
  <si>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</si>
  <si>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</si>
  <si>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</si>
  <si>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</si>
  <si>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</si>
  <si>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</si>
  <si>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</si>
  <si>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</si>
  <si>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</si>
  <si>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</si>
  <si>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</si>
  <si>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</si>
  <si>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</si>
  <si>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</si>
  <si>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</si>
  <si>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</si>
  <si>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</si>
  <si>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</si>
  <si>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</si>
  <si>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</si>
  <si>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</si>
  <si>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</si>
  <si>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</si>
  <si>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</si>
  <si>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</si>
  <si>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</si>
  <si>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</si>
  <si>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</si>
  <si>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</si>
  <si>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</si>
  <si>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</si>
  <si>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</si>
  <si>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</si>
  <si>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</si>
  <si>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</si>
  <si>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</si>
  <si>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</si>
  <si>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</si>
  <si>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</si>
  <si>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</si>
  <si>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</si>
  <si>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</si>
  <si>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</si>
  <si>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</si>
  <si>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</si>
  <si>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</si>
  <si>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</si>
  <si>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</si>
  <si>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</si>
  <si>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</si>
  <si>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</si>
  <si>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</si>
  <si>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</si>
  <si>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</si>
  <si>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</si>
  <si>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</si>
  <si>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</si>
  <si>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</si>
  <si>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</si>
  <si>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</si>
  <si>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</si>
  <si>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</si>
  <si>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</si>
  <si>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</si>
  <si>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</si>
  <si>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</si>
  <si>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</si>
  <si>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</si>
  <si>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</si>
  <si>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</si>
  <si>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</si>
  <si>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</si>
  <si>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</si>
  <si>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</si>
  <si>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</si>
  <si>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</si>
  <si>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</si>
  <si>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</si>
  <si>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</si>
  <si>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</si>
  <si>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</si>
  <si>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</si>
  <si>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</si>
  <si>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</si>
  <si>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Ostvarenje 2017</t>
  </si>
  <si>
    <t>Transferi</t>
  </si>
  <si>
    <t>Ostvarenje 2018</t>
  </si>
  <si>
    <t>Plan 2018</t>
  </si>
  <si>
    <t>Izdaci za kupovinu hartija od vrijednosti</t>
  </si>
  <si>
    <t>Izdaci za otplatu hartija od vrijednosti</t>
  </si>
  <si>
    <t>...</t>
  </si>
  <si>
    <t>Primarni suficit/deficit</t>
  </si>
  <si>
    <t>Korigovani suficit/deficit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</si>
</sst>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  <xf numFmtId="164" fontId="42" fillId="0" borderId="0" applyFont="0" applyFill="0" applyBorder="0" applyAlignment="0" applyProtection="0"/>
  </cellStyleXfs>
  <cellXfs count="344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8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2" fontId="16" fillId="2" borderId="16" xfId="22" applyNumberFormat="1" applyFont="1" applyFill="1" applyBorder="1" applyAlignment="1">
      <alignment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165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1" fillId="2" borderId="0" xfId="22" applyNumberFormat="1" applyFont="1" applyFill="1" applyAlignment="1">
      <alignment wrapText="1"/>
    </xf>
    <xf numFmtId="167" fontId="16" fillId="14" borderId="12" xfId="22" applyNumberFormat="1" applyFont="1" applyFill="1" applyBorder="1" applyAlignment="1">
      <alignment vertical="center"/>
    </xf>
    <xf numFmtId="165" fontId="16" fillId="14" borderId="30" xfId="22" applyNumberFormat="1" applyFont="1" applyFill="1" applyBorder="1" applyAlignment="1">
      <alignment vertical="center"/>
    </xf>
    <xf numFmtId="164" fontId="27" fillId="2" borderId="0" xfId="40" applyFont="1" applyFill="1" applyBorder="1" applyAlignment="1">
      <alignment wrapText="1"/>
    </xf>
    <xf numFmtId="2" fontId="27" fillId="2" borderId="17" xfId="22" applyNumberFormat="1" applyFont="1" applyFill="1" applyBorder="1" applyAlignment="1">
      <alignment vertical="center"/>
    </xf>
    <xf numFmtId="165" fontId="16" fillId="0" borderId="30" xfId="36" applyNumberFormat="1" applyFont="1" applyFill="1" applyBorder="1" applyAlignment="1">
      <alignment vertical="center"/>
    </xf>
    <xf numFmtId="165" fontId="16" fillId="0" borderId="11" xfId="36" applyNumberFormat="1" applyFont="1" applyFill="1" applyBorder="1" applyAlignment="1">
      <alignment vertical="center"/>
    </xf>
    <xf numFmtId="175" fontId="27" fillId="2" borderId="30" xfId="36" applyNumberFormat="1" applyFont="1" applyFill="1" applyBorder="1" applyAlignment="1">
      <alignment vertical="center"/>
    </xf>
    <xf numFmtId="4" fontId="37" fillId="2" borderId="0" xfId="39" applyNumberFormat="1" applyFont="1" applyFill="1" applyBorder="1"/>
    <xf numFmtId="2" fontId="27" fillId="2" borderId="0" xfId="22" applyNumberFormat="1" applyFont="1" applyFill="1" applyBorder="1"/>
    <xf numFmtId="167" fontId="29" fillId="5" borderId="13" xfId="22" applyNumberFormat="1" applyFont="1" applyFill="1" applyBorder="1" applyAlignment="1">
      <alignment horizontal="center" vertical="center"/>
    </xf>
    <xf numFmtId="167" fontId="27" fillId="14" borderId="12" xfId="22" applyNumberFormat="1" applyFont="1" applyFill="1" applyBorder="1" applyAlignment="1">
      <alignment horizontal="center" vertical="center"/>
    </xf>
    <xf numFmtId="2" fontId="27" fillId="2" borderId="0" xfId="39" applyNumberFormat="1" applyFont="1" applyFill="1" applyBorder="1"/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7" fillId="2" borderId="22" xfId="36" applyFont="1" applyFill="1" applyBorder="1" applyAlignment="1">
      <alignment horizontal="center" wrapText="1"/>
    </xf>
    <xf numFmtId="165" fontId="37" fillId="2" borderId="22" xfId="36" applyNumberFormat="1" applyFont="1" applyFill="1" applyBorder="1" applyAlignment="1">
      <alignment horizontal="center" wrapText="1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22" applyFont="1" applyFill="1" applyBorder="1" applyAlignment="1">
      <alignment horizont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0" fillId="2" borderId="22" xfId="22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22829280"/>
        <c:axId val="-1622828736"/>
      </c:lineChart>
      <c:catAx>
        <c:axId val="-162282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622828736"/>
        <c:crosses val="autoZero"/>
        <c:auto val="1"/>
        <c:lblAlgn val="ctr"/>
        <c:lblOffset val="100"/>
        <c:noMultiLvlLbl val="0"/>
      </c:catAx>
      <c:valAx>
        <c:axId val="-1622828736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622829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22827648"/>
        <c:axId val="-1622831456"/>
      </c:lineChart>
      <c:catAx>
        <c:axId val="-1622827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622831456"/>
        <c:crosses val="autoZero"/>
        <c:auto val="1"/>
        <c:lblAlgn val="ctr"/>
        <c:lblOffset val="100"/>
        <c:noMultiLvlLbl val="0"/>
      </c:catAx>
      <c:valAx>
        <c:axId val="-1622831456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-1622827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abSelected="1" topLeftCell="B1" zoomScaleNormal="100" workbookViewId="0">
      <selection activeCell="C43" sqref="C43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-10.855599603914584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3" t="str">
        <f>IF(MasterSheet!$A$1=1,MasterSheet!B67,MasterSheet!B66)</f>
        <v>BDP (u mil. €)</v>
      </c>
      <c r="D11" s="300">
        <v>4604500000</v>
      </c>
      <c r="E11" s="301"/>
      <c r="F11" s="301"/>
      <c r="G11" s="302"/>
      <c r="H11" s="305"/>
      <c r="I11" s="310"/>
      <c r="J11" s="307">
        <v>4299000000</v>
      </c>
      <c r="K11" s="307">
        <v>0</v>
      </c>
      <c r="L11" s="305"/>
      <c r="M11" s="306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26"/>
      <c r="E12" s="226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12"/>
      <c r="E13" s="312"/>
      <c r="F13" s="225"/>
      <c r="G13" s="225"/>
      <c r="H13" s="225"/>
      <c r="I13" s="225"/>
      <c r="J13" s="311"/>
      <c r="K13" s="311"/>
      <c r="L13" s="157"/>
      <c r="M13" s="15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03" t="str">
        <f>IF(MasterSheet!$A$1=1,MasterSheet!B71,MasterSheet!B70)</f>
        <v>Budžet Crne Gore</v>
      </c>
      <c r="D14" s="298" t="s">
        <v>465</v>
      </c>
      <c r="E14" s="299"/>
      <c r="F14" s="298" t="s">
        <v>466</v>
      </c>
      <c r="G14" s="299"/>
      <c r="H14" s="298" t="s">
        <v>444</v>
      </c>
      <c r="I14" s="299"/>
      <c r="J14" s="298" t="s">
        <v>463</v>
      </c>
      <c r="K14" s="299"/>
      <c r="L14" s="308" t="str">
        <f>+H14</f>
        <v>Odstupanje</v>
      </c>
      <c r="M14" s="309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04" t="str">
        <f>IF(MasterSheet!$A$1=1,MasterSheet!B71,MasterSheet!B70)</f>
        <v>Budžet Crne Gore</v>
      </c>
      <c r="D15" s="88" t="str">
        <f>+F15</f>
        <v>mil. €</v>
      </c>
      <c r="E15" s="194" t="str">
        <f>+G15</f>
        <v>% BDP</v>
      </c>
      <c r="F15" s="88" t="s">
        <v>262</v>
      </c>
      <c r="G15" s="89" t="s">
        <v>149</v>
      </c>
      <c r="H15" s="193" t="s">
        <v>262</v>
      </c>
      <c r="I15" s="193" t="s">
        <v>439</v>
      </c>
      <c r="J15" s="88" t="s">
        <v>262</v>
      </c>
      <c r="K15" s="89" t="s">
        <v>149</v>
      </c>
      <c r="L15" s="195" t="s">
        <v>262</v>
      </c>
      <c r="M15" s="129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58">
        <f>+D17+D25+SUM(D30:D34)</f>
        <v>1746354111.6600001</v>
      </c>
      <c r="E16" s="228">
        <f>+D16/$D$11*100</f>
        <v>37.927117204039526</v>
      </c>
      <c r="F16" s="158">
        <f>+F17+F25+SUM(F30:F34)</f>
        <v>1757003221.1342123</v>
      </c>
      <c r="G16" s="228">
        <f>+F16/$D$11*100</f>
        <v>38.15839333552421</v>
      </c>
      <c r="H16" s="158">
        <f>+D16-F16</f>
        <v>-10649109.47421217</v>
      </c>
      <c r="I16" s="231">
        <f>+IF(ISNUMBER(D16/F16*100-100),D16/F16*100-100,"...")</f>
        <v>-0.60609504559346306</v>
      </c>
      <c r="J16" s="158">
        <f>+J17+J25+SUM(J30:J34)</f>
        <v>1566269986.4200001</v>
      </c>
      <c r="K16" s="228">
        <f>+J16/$J$11*100</f>
        <v>36.433356278669457</v>
      </c>
      <c r="L16" s="158">
        <f>+D16-J16</f>
        <v>180084125.24000001</v>
      </c>
      <c r="M16" s="228">
        <f t="shared" ref="M16:M58" si="0">+IF(ISNUMBER(D16/J16*100-100),D16/J16*100-100,"...")</f>
        <v>11.497642603215269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49">
        <f>+SUM(D18:D24)</f>
        <v>1068947201.3000001</v>
      </c>
      <c r="E17" s="229">
        <f t="shared" ref="E17:E75" si="1">+D17/$D$11*100</f>
        <v>23.215272044738843</v>
      </c>
      <c r="F17" s="149">
        <f>+SUM(F18:F24)</f>
        <v>1078397189.3971882</v>
      </c>
      <c r="G17" s="229">
        <f t="shared" ref="G17:G75" si="2">+F17/$D$11*100</f>
        <v>23.420505796442352</v>
      </c>
      <c r="H17" s="199">
        <f t="shared" ref="H17:H69" si="3">+D17-F17</f>
        <v>-9449988.0971881151</v>
      </c>
      <c r="I17" s="242">
        <f t="shared" ref="I17:I69" si="4">+IF(ISNUMBER(D17/F17*100-100),D17/F17*100-100,"...")</f>
        <v>-0.87629939971101578</v>
      </c>
      <c r="J17" s="149">
        <f>+SUM(J18:J24)</f>
        <v>971155574.28000009</v>
      </c>
      <c r="K17" s="229">
        <f t="shared" ref="K17:K69" si="5">+J17/$J$11*100</f>
        <v>22.590266905792049</v>
      </c>
      <c r="L17" s="199">
        <f t="shared" ref="L17:L35" si="6">+D17-J17</f>
        <v>97791627.019999981</v>
      </c>
      <c r="M17" s="242">
        <f t="shared" si="0"/>
        <v>10.069614962824176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0">
        <v>124898382.06000002</v>
      </c>
      <c r="E18" s="230">
        <f t="shared" si="1"/>
        <v>2.7125286580519061</v>
      </c>
      <c r="F18" s="150">
        <v>121359662.16838756</v>
      </c>
      <c r="G18" s="230">
        <f t="shared" si="2"/>
        <v>2.6356751475380076</v>
      </c>
      <c r="H18" s="200">
        <f t="shared" si="3"/>
        <v>3538719.8916124552</v>
      </c>
      <c r="I18" s="243">
        <f t="shared" si="4"/>
        <v>2.9158946460335926</v>
      </c>
      <c r="J18" s="151">
        <v>111982440.54000001</v>
      </c>
      <c r="K18" s="230">
        <f t="shared" si="5"/>
        <v>2.6048485819958134</v>
      </c>
      <c r="L18" s="200">
        <f t="shared" si="6"/>
        <v>12915941.520000011</v>
      </c>
      <c r="M18" s="243">
        <f t="shared" si="0"/>
        <v>11.533898937830742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1">
        <v>68172478.429999992</v>
      </c>
      <c r="E19" s="230">
        <f t="shared" si="1"/>
        <v>1.4805620247583884</v>
      </c>
      <c r="F19" s="151">
        <v>61678365.370406665</v>
      </c>
      <c r="G19" s="230">
        <f t="shared" si="2"/>
        <v>1.3395236262440366</v>
      </c>
      <c r="H19" s="200">
        <f t="shared" si="3"/>
        <v>6494113.0595933273</v>
      </c>
      <c r="I19" s="243">
        <f t="shared" si="4"/>
        <v>10.528996708316157</v>
      </c>
      <c r="J19" s="151">
        <v>49228502.210000001</v>
      </c>
      <c r="K19" s="230">
        <f t="shared" si="5"/>
        <v>1.1451151944638287</v>
      </c>
      <c r="L19" s="200">
        <f t="shared" si="6"/>
        <v>18943976.219999991</v>
      </c>
      <c r="M19" s="243">
        <f t="shared" si="0"/>
        <v>38.481723736359839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1">
        <v>1836094.52</v>
      </c>
      <c r="E20" s="230">
        <f t="shared" si="1"/>
        <v>3.9876089043327179E-2</v>
      </c>
      <c r="F20" s="151">
        <v>1854898.1305385595</v>
      </c>
      <c r="G20" s="230">
        <f t="shared" si="2"/>
        <v>4.028446368853425E-2</v>
      </c>
      <c r="H20" s="200">
        <f t="shared" si="3"/>
        <v>-18803.6105385595</v>
      </c>
      <c r="I20" s="243">
        <f t="shared" si="4"/>
        <v>-1.0137273971536018</v>
      </c>
      <c r="J20" s="151">
        <v>1524664.7</v>
      </c>
      <c r="K20" s="230">
        <f t="shared" si="5"/>
        <v>3.5465566410793209E-2</v>
      </c>
      <c r="L20" s="200">
        <f t="shared" si="6"/>
        <v>311429.82000000007</v>
      </c>
      <c r="M20" s="243">
        <f t="shared" si="0"/>
        <v>20.426118608242191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0">
        <v>616913678.91000009</v>
      </c>
      <c r="E21" s="230">
        <f t="shared" si="1"/>
        <v>13.398060134868064</v>
      </c>
      <c r="F21" s="150">
        <v>624391782.02119482</v>
      </c>
      <c r="G21" s="230">
        <f t="shared" si="2"/>
        <v>13.56046871584743</v>
      </c>
      <c r="H21" s="200">
        <f t="shared" si="3"/>
        <v>-7478103.1111947298</v>
      </c>
      <c r="I21" s="243">
        <f t="shared" si="4"/>
        <v>-1.1976620010897108</v>
      </c>
      <c r="J21" s="151">
        <v>548710516.46000004</v>
      </c>
      <c r="K21" s="230">
        <f t="shared" si="5"/>
        <v>12.76367798232147</v>
      </c>
      <c r="L21" s="200">
        <f t="shared" si="6"/>
        <v>68203162.450000048</v>
      </c>
      <c r="M21" s="243">
        <f t="shared" si="0"/>
        <v>12.429716654605414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1">
        <v>221178044.41</v>
      </c>
      <c r="E22" s="230">
        <f t="shared" si="1"/>
        <v>4.8035192618091003</v>
      </c>
      <c r="F22" s="151">
        <v>232697830.94442701</v>
      </c>
      <c r="G22" s="230">
        <f t="shared" si="2"/>
        <v>5.0537046572793356</v>
      </c>
      <c r="H22" s="200">
        <f>+D22-F22</f>
        <v>-11519786.534427017</v>
      </c>
      <c r="I22" s="243">
        <f t="shared" si="4"/>
        <v>-4.9505345570574661</v>
      </c>
      <c r="J22" s="151">
        <v>225084910.21999997</v>
      </c>
      <c r="K22" s="230">
        <f t="shared" si="5"/>
        <v>5.2357504121888807</v>
      </c>
      <c r="L22" s="200">
        <f t="shared" si="6"/>
        <v>-3906865.8099999726</v>
      </c>
      <c r="M22" s="243">
        <f t="shared" si="0"/>
        <v>-1.7357297769012376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v>26634891.989999998</v>
      </c>
      <c r="E23" s="230">
        <f t="shared" si="1"/>
        <v>0.5784535126506678</v>
      </c>
      <c r="F23" s="151">
        <v>26860004.877748117</v>
      </c>
      <c r="G23" s="230">
        <f t="shared" si="2"/>
        <v>0.5833424883863203</v>
      </c>
      <c r="H23" s="200">
        <f t="shared" si="3"/>
        <v>-225112.88774811849</v>
      </c>
      <c r="I23" s="243">
        <f t="shared" si="4"/>
        <v>-0.83809697270238814</v>
      </c>
      <c r="J23" s="151">
        <v>25424800.799999997</v>
      </c>
      <c r="K23" s="230">
        <f t="shared" si="5"/>
        <v>0.59141197487787855</v>
      </c>
      <c r="L23" s="200">
        <f t="shared" si="6"/>
        <v>1210091.1900000013</v>
      </c>
      <c r="M23" s="243">
        <f t="shared" si="0"/>
        <v>4.7594913309999356</v>
      </c>
      <c r="BM23" s="138"/>
      <c r="BN23" s="138"/>
      <c r="BO23" s="81"/>
    </row>
    <row r="24" spans="2:69" ht="15" customHeight="1">
      <c r="B24" s="80">
        <v>7118</v>
      </c>
      <c r="C24" s="97" t="s">
        <v>457</v>
      </c>
      <c r="D24" s="151">
        <v>9313630.9799999986</v>
      </c>
      <c r="E24" s="230">
        <f t="shared" si="1"/>
        <v>0.20227236355738948</v>
      </c>
      <c r="F24" s="151">
        <v>9554645.8844855782</v>
      </c>
      <c r="G24" s="230">
        <f t="shared" si="2"/>
        <v>0.20750669745869427</v>
      </c>
      <c r="H24" s="200">
        <f t="shared" si="3"/>
        <v>-241014.90448557958</v>
      </c>
      <c r="I24" s="243">
        <f t="shared" si="4"/>
        <v>-2.5224891366924425</v>
      </c>
      <c r="J24" s="151">
        <v>9199739.3499999996</v>
      </c>
      <c r="K24" s="230">
        <f t="shared" si="5"/>
        <v>0.21399719353337984</v>
      </c>
      <c r="L24" s="200">
        <f t="shared" si="6"/>
        <v>113891.62999999896</v>
      </c>
      <c r="M24" s="243">
        <f t="shared" si="0"/>
        <v>1.2379875740718518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49">
        <f>+SUM(D26:D29)</f>
        <v>524440114.39999998</v>
      </c>
      <c r="E25" s="229">
        <f t="shared" si="1"/>
        <v>11.389729925073297</v>
      </c>
      <c r="F25" s="149">
        <f>+SUM(F26:F29)</f>
        <v>522253828.92039472</v>
      </c>
      <c r="G25" s="229">
        <f t="shared" si="2"/>
        <v>11.342248429153974</v>
      </c>
      <c r="H25" s="199">
        <f t="shared" si="3"/>
        <v>2186285.4796052575</v>
      </c>
      <c r="I25" s="242">
        <f t="shared" si="4"/>
        <v>0.41862507434838392</v>
      </c>
      <c r="J25" s="149">
        <f>+SUM(J26:J29)</f>
        <v>494952632.42000002</v>
      </c>
      <c r="K25" s="229">
        <f t="shared" si="5"/>
        <v>11.513203824610375</v>
      </c>
      <c r="L25" s="199">
        <f t="shared" si="6"/>
        <v>29487481.979999959</v>
      </c>
      <c r="M25" s="242">
        <f t="shared" si="0"/>
        <v>5.9576371653637068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1">
        <v>316982958.28000003</v>
      </c>
      <c r="E26" s="230">
        <f t="shared" si="1"/>
        <v>6.8841993328265838</v>
      </c>
      <c r="F26" s="151">
        <v>314496114.9625507</v>
      </c>
      <c r="G26" s="230">
        <f t="shared" si="2"/>
        <v>6.8301903564458835</v>
      </c>
      <c r="H26" s="200">
        <f t="shared" si="3"/>
        <v>2486843.3174493313</v>
      </c>
      <c r="I26" s="243">
        <f t="shared" si="4"/>
        <v>0.79073896278352152</v>
      </c>
      <c r="J26" s="151">
        <v>303042063.35000002</v>
      </c>
      <c r="K26" s="230">
        <f t="shared" si="5"/>
        <v>7.0491291777157485</v>
      </c>
      <c r="L26" s="200">
        <f t="shared" si="6"/>
        <v>13940894.930000007</v>
      </c>
      <c r="M26" s="243">
        <f t="shared" si="0"/>
        <v>4.6003167929525688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1">
        <v>182045765.34999999</v>
      </c>
      <c r="E27" s="230">
        <f t="shared" si="1"/>
        <v>3.9536489379954389</v>
      </c>
      <c r="F27" s="151">
        <v>180896074.44659218</v>
      </c>
      <c r="G27" s="230">
        <f t="shared" si="2"/>
        <v>3.9286800835398457</v>
      </c>
      <c r="H27" s="200">
        <f t="shared" si="3"/>
        <v>1149690.9034078121</v>
      </c>
      <c r="I27" s="243">
        <f t="shared" si="4"/>
        <v>0.63555326279191604</v>
      </c>
      <c r="J27" s="151">
        <v>167400672.64999998</v>
      </c>
      <c r="K27" s="230">
        <f t="shared" si="5"/>
        <v>3.8939444673179806</v>
      </c>
      <c r="L27" s="200">
        <f t="shared" si="6"/>
        <v>14645092.700000018</v>
      </c>
      <c r="M27" s="243">
        <f t="shared" si="0"/>
        <v>8.7485267939274394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1">
        <v>13590597.370000001</v>
      </c>
      <c r="E28" s="230">
        <f t="shared" si="1"/>
        <v>0.29515902638722991</v>
      </c>
      <c r="F28" s="151">
        <v>14149151.623339836</v>
      </c>
      <c r="G28" s="230">
        <f t="shared" si="2"/>
        <v>0.30728964324768893</v>
      </c>
      <c r="H28" s="200">
        <f t="shared" si="3"/>
        <v>-558554.25333983451</v>
      </c>
      <c r="I28" s="243">
        <f t="shared" si="4"/>
        <v>-3.9476165653527033</v>
      </c>
      <c r="J28" s="151">
        <v>12595344.189999998</v>
      </c>
      <c r="K28" s="230">
        <f t="shared" si="5"/>
        <v>0.29298311677134214</v>
      </c>
      <c r="L28" s="200">
        <f t="shared" si="6"/>
        <v>995253.18000000343</v>
      </c>
      <c r="M28" s="243">
        <f t="shared" si="0"/>
        <v>7.9017545291868885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0">
        <v>11820793.4</v>
      </c>
      <c r="E29" s="230">
        <f t="shared" si="1"/>
        <v>0.25672262786404609</v>
      </c>
      <c r="F29" s="150">
        <v>12712487.887912013</v>
      </c>
      <c r="G29" s="230">
        <f t="shared" si="2"/>
        <v>0.27608834592055626</v>
      </c>
      <c r="H29" s="200">
        <f t="shared" si="3"/>
        <v>-891694.48791201226</v>
      </c>
      <c r="I29" s="243">
        <f t="shared" si="4"/>
        <v>-7.0143192723109848</v>
      </c>
      <c r="J29" s="151">
        <v>11914552.229999999</v>
      </c>
      <c r="K29" s="230">
        <f t="shared" si="5"/>
        <v>0.27714706280530355</v>
      </c>
      <c r="L29" s="200">
        <f t="shared" si="6"/>
        <v>-93758.829999998212</v>
      </c>
      <c r="M29" s="243">
        <f t="shared" si="0"/>
        <v>-0.78692701320257186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49">
        <v>16743992.319999998</v>
      </c>
      <c r="E30" s="229">
        <f t="shared" si="1"/>
        <v>0.3636440942556195</v>
      </c>
      <c r="F30" s="149">
        <v>17700468.388223864</v>
      </c>
      <c r="G30" s="229">
        <f t="shared" si="2"/>
        <v>0.38441673120260322</v>
      </c>
      <c r="H30" s="199">
        <f t="shared" si="3"/>
        <v>-956476.0682238657</v>
      </c>
      <c r="I30" s="242">
        <f t="shared" si="4"/>
        <v>-5.4036765990905167</v>
      </c>
      <c r="J30" s="149">
        <v>13613004.68</v>
      </c>
      <c r="K30" s="229">
        <f t="shared" si="5"/>
        <v>0.31665514491742264</v>
      </c>
      <c r="L30" s="199">
        <f t="shared" si="6"/>
        <v>3130987.6399999987</v>
      </c>
      <c r="M30" s="242">
        <f t="shared" si="0"/>
        <v>22.999974756491454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49">
        <v>26419539.080000002</v>
      </c>
      <c r="E31" s="229">
        <f t="shared" si="1"/>
        <v>0.57377650298620919</v>
      </c>
      <c r="F31" s="149">
        <v>28128126.097135291</v>
      </c>
      <c r="G31" s="229">
        <f t="shared" si="2"/>
        <v>0.6108833987867367</v>
      </c>
      <c r="H31" s="199">
        <f t="shared" si="3"/>
        <v>-1708587.0171352886</v>
      </c>
      <c r="I31" s="242">
        <f t="shared" si="4"/>
        <v>-6.0743009016491101</v>
      </c>
      <c r="J31" s="149">
        <v>18967775.129999999</v>
      </c>
      <c r="K31" s="229">
        <f t="shared" si="5"/>
        <v>0.44121365736217721</v>
      </c>
      <c r="L31" s="199">
        <f t="shared" si="6"/>
        <v>7451763.950000003</v>
      </c>
      <c r="M31" s="242">
        <f t="shared" si="0"/>
        <v>39.286441867470643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49">
        <v>71327099.530000001</v>
      </c>
      <c r="E32" s="229">
        <f t="shared" si="1"/>
        <v>1.5490737220110762</v>
      </c>
      <c r="F32" s="149">
        <v>71732904.669780642</v>
      </c>
      <c r="G32" s="229">
        <f t="shared" si="2"/>
        <v>1.5578869512385849</v>
      </c>
      <c r="H32" s="199">
        <f t="shared" si="3"/>
        <v>-405805.1397806406</v>
      </c>
      <c r="I32" s="242">
        <f t="shared" si="4"/>
        <v>-0.56571686543121302</v>
      </c>
      <c r="J32" s="149">
        <v>35723009.25</v>
      </c>
      <c r="K32" s="229">
        <f t="shared" si="5"/>
        <v>0.83096090369853459</v>
      </c>
      <c r="L32" s="199">
        <f t="shared" si="6"/>
        <v>35604090.280000001</v>
      </c>
      <c r="M32" s="242">
        <f t="shared" si="0"/>
        <v>99.667108195819196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49">
        <v>11124362.879999999</v>
      </c>
      <c r="E33" s="229">
        <f t="shared" si="1"/>
        <v>0.24159763014442392</v>
      </c>
      <c r="F33" s="149">
        <v>7262314.2406375092</v>
      </c>
      <c r="G33" s="229">
        <f t="shared" si="2"/>
        <v>0.15772210317379756</v>
      </c>
      <c r="H33" s="199">
        <f t="shared" si="3"/>
        <v>3862048.6393624898</v>
      </c>
      <c r="I33" s="242">
        <f t="shared" si="4"/>
        <v>53.179310497909086</v>
      </c>
      <c r="J33" s="149">
        <v>6580211.8799999999</v>
      </c>
      <c r="K33" s="229">
        <f t="shared" si="5"/>
        <v>0.15306377948360084</v>
      </c>
      <c r="L33" s="199">
        <f t="shared" si="6"/>
        <v>4544150.9999999991</v>
      </c>
      <c r="M33" s="242">
        <f t="shared" si="0"/>
        <v>69.057821888859905</v>
      </c>
      <c r="BL33" s="100"/>
      <c r="BM33" s="100"/>
      <c r="BN33" s="99"/>
      <c r="BO33" s="140"/>
      <c r="BP33" s="140"/>
      <c r="BQ33" s="140"/>
      <c r="BR33" s="139"/>
    </row>
    <row r="34" spans="1:70" ht="13.5" customHeight="1" thickBot="1">
      <c r="B34" s="80">
        <v>74</v>
      </c>
      <c r="C34" s="93" t="s">
        <v>122</v>
      </c>
      <c r="D34" s="149">
        <v>27351802.150000002</v>
      </c>
      <c r="E34" s="229">
        <f t="shared" si="1"/>
        <v>0.59402328483005762</v>
      </c>
      <c r="F34" s="149">
        <v>31528389.420852099</v>
      </c>
      <c r="G34" s="229">
        <f t="shared" si="2"/>
        <v>0.6847299255261613</v>
      </c>
      <c r="H34" s="199">
        <f t="shared" si="3"/>
        <v>-4176587.2708520964</v>
      </c>
      <c r="I34" s="242">
        <f t="shared" si="4"/>
        <v>-13.247068269493667</v>
      </c>
      <c r="J34" s="149">
        <v>25277778.780000001</v>
      </c>
      <c r="K34" s="229">
        <f t="shared" si="5"/>
        <v>0.58799206280530358</v>
      </c>
      <c r="L34" s="199">
        <f t="shared" si="6"/>
        <v>2074023.370000001</v>
      </c>
      <c r="M34" s="242">
        <f t="shared" si="0"/>
        <v>8.2049272922705825</v>
      </c>
      <c r="BM34" s="154"/>
      <c r="BN34" s="154"/>
      <c r="BO34" s="140"/>
      <c r="BP34" s="140"/>
      <c r="BQ34" s="140"/>
      <c r="BR34" s="139"/>
    </row>
    <row r="35" spans="1:70" ht="15" customHeight="1" thickTop="1" thickBot="1">
      <c r="B35" s="102"/>
      <c r="C35" s="90" t="s">
        <v>456</v>
      </c>
      <c r="D35" s="91">
        <f>+D37+D47+D53+SUM(D56:D61)</f>
        <v>1905586236.6600003</v>
      </c>
      <c r="E35" s="231">
        <f t="shared" si="1"/>
        <v>41.385302131827565</v>
      </c>
      <c r="F35" s="91">
        <f>+F37+F47+F53+SUM(F56:F61)</f>
        <v>1899843074.6966667</v>
      </c>
      <c r="G35" s="236">
        <f t="shared" si="2"/>
        <v>41.260572802620629</v>
      </c>
      <c r="H35" s="91">
        <f t="shared" si="3"/>
        <v>5743161.9633336067</v>
      </c>
      <c r="I35" s="231">
        <f t="shared" si="4"/>
        <v>0.30229664964569736</v>
      </c>
      <c r="J35" s="91">
        <f>+J37+J47+J53+SUM(J56:J60)</f>
        <v>1803136078.8299999</v>
      </c>
      <c r="K35" s="231">
        <f t="shared" si="5"/>
        <v>41.943151403349617</v>
      </c>
      <c r="L35" s="91">
        <f t="shared" si="6"/>
        <v>102450157.8300004</v>
      </c>
      <c r="M35" s="231">
        <f t="shared" si="0"/>
        <v>5.6817762692917313</v>
      </c>
      <c r="BM35" s="81"/>
      <c r="BN35" s="81"/>
      <c r="BO35" s="140"/>
      <c r="BP35" s="140"/>
      <c r="BQ35" s="140"/>
      <c r="BR35" s="139"/>
    </row>
    <row r="36" spans="1:70" ht="13.5" customHeight="1" thickTop="1" thickBot="1">
      <c r="C36" s="279" t="s">
        <v>445</v>
      </c>
      <c r="D36" s="91">
        <f>+D35-D56</f>
        <v>1640886809.3600004</v>
      </c>
      <c r="E36" s="231">
        <f t="shared" si="1"/>
        <v>35.636590495384958</v>
      </c>
      <c r="F36" s="91">
        <f>+F35-F56</f>
        <v>1610768074.7</v>
      </c>
      <c r="G36" s="236">
        <f t="shared" si="2"/>
        <v>34.982475289390813</v>
      </c>
      <c r="H36" s="91">
        <f t="shared" si="3"/>
        <v>30118734.660000324</v>
      </c>
      <c r="I36" s="231">
        <f t="shared" si="4"/>
        <v>1.8698368271056012</v>
      </c>
      <c r="J36" s="155">
        <f>+J35-J56</f>
        <v>1551259511.8599999</v>
      </c>
      <c r="K36" s="231">
        <f t="shared" si="5"/>
        <v>36.084194274482435</v>
      </c>
      <c r="L36" s="91">
        <f t="shared" ref="L36:L75" si="7">+D36-J36</f>
        <v>89627297.500000477</v>
      </c>
      <c r="M36" s="231">
        <f t="shared" si="0"/>
        <v>5.7777113896652281</v>
      </c>
      <c r="N36" s="206"/>
      <c r="BM36" s="154"/>
      <c r="BN36" s="154"/>
      <c r="BO36" s="140"/>
      <c r="BP36" s="140"/>
      <c r="BQ36" s="140"/>
      <c r="BR36" s="139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+SUM(D38:D46)</f>
        <v>836300421.38000011</v>
      </c>
      <c r="E37" s="229">
        <f t="shared" si="1"/>
        <v>18.16267610772071</v>
      </c>
      <c r="F37" s="94">
        <f>+SUM(F38:F46)</f>
        <v>812630572.90999973</v>
      </c>
      <c r="G37" s="237">
        <f t="shared" si="2"/>
        <v>17.648617068302741</v>
      </c>
      <c r="H37" s="197">
        <f t="shared" si="3"/>
        <v>23669848.470000386</v>
      </c>
      <c r="I37" s="242">
        <f t="shared" si="4"/>
        <v>2.9127440265063598</v>
      </c>
      <c r="J37" s="94">
        <f>+SUM(J38:J46)</f>
        <v>781825425.57999992</v>
      </c>
      <c r="K37" s="229">
        <f t="shared" si="5"/>
        <v>18.186215993952079</v>
      </c>
      <c r="L37" s="197">
        <f t="shared" si="7"/>
        <v>54474995.800000191</v>
      </c>
      <c r="M37" s="242">
        <f t="shared" si="0"/>
        <v>6.9676674635629468</v>
      </c>
      <c r="BM37" s="154"/>
      <c r="BN37" s="154"/>
      <c r="BO37" s="140"/>
      <c r="BP37" s="140"/>
      <c r="BQ37" s="140"/>
      <c r="BR37" s="139"/>
    </row>
    <row r="38" spans="1:70" ht="13.5" customHeight="1">
      <c r="B38" s="80">
        <v>411</v>
      </c>
      <c r="C38" s="93" t="s">
        <v>63</v>
      </c>
      <c r="D38" s="159">
        <v>459796234.55000001</v>
      </c>
      <c r="E38" s="229">
        <f t="shared" si="1"/>
        <v>9.9858015973504184</v>
      </c>
      <c r="F38" s="149">
        <v>461973796.46999985</v>
      </c>
      <c r="G38" s="237">
        <f t="shared" si="2"/>
        <v>10.03309363600825</v>
      </c>
      <c r="H38" s="199">
        <f>+D38-F38</f>
        <v>-2177561.9199998379</v>
      </c>
      <c r="I38" s="242">
        <f t="shared" si="4"/>
        <v>-0.47136048335183034</v>
      </c>
      <c r="J38" s="149">
        <v>445363693.67000002</v>
      </c>
      <c r="K38" s="229">
        <f t="shared" si="5"/>
        <v>10.359704435217493</v>
      </c>
      <c r="L38" s="199">
        <f t="shared" si="7"/>
        <v>14432540.879999995</v>
      </c>
      <c r="M38" s="242">
        <f t="shared" si="0"/>
        <v>3.2406190906737891</v>
      </c>
      <c r="BM38" s="154"/>
      <c r="BN38" s="154"/>
      <c r="BO38" s="140"/>
      <c r="BP38" s="140"/>
      <c r="BQ38" s="140"/>
      <c r="BR38" s="139"/>
    </row>
    <row r="39" spans="1:70" ht="13.5" customHeight="1">
      <c r="B39" s="80">
        <v>412</v>
      </c>
      <c r="C39" s="93" t="s">
        <v>74</v>
      </c>
      <c r="D39" s="149">
        <v>13212940.209999999</v>
      </c>
      <c r="E39" s="229">
        <f t="shared" si="1"/>
        <v>0.28695711173851662</v>
      </c>
      <c r="F39" s="149">
        <v>13262623.179999996</v>
      </c>
      <c r="G39" s="237">
        <f t="shared" si="2"/>
        <v>0.28803612075143875</v>
      </c>
      <c r="H39" s="199">
        <f t="shared" si="3"/>
        <v>-49682.969999996945</v>
      </c>
      <c r="I39" s="242">
        <f t="shared" si="4"/>
        <v>-0.37460892408462598</v>
      </c>
      <c r="J39" s="149">
        <v>10648738.729999999</v>
      </c>
      <c r="K39" s="229">
        <f t="shared" si="5"/>
        <v>0.2477026920214003</v>
      </c>
      <c r="L39" s="199">
        <f t="shared" si="7"/>
        <v>2564201.4800000004</v>
      </c>
      <c r="M39" s="242">
        <f t="shared" si="0"/>
        <v>24.079860958331551</v>
      </c>
      <c r="BM39" s="154"/>
      <c r="BN39" s="154"/>
      <c r="BO39" s="140"/>
      <c r="BP39" s="140"/>
      <c r="BQ39" s="140"/>
      <c r="BR39" s="139"/>
    </row>
    <row r="40" spans="1:70" ht="13.5" customHeight="1">
      <c r="B40" s="80">
        <v>413</v>
      </c>
      <c r="C40" s="93" t="s">
        <v>76</v>
      </c>
      <c r="D40" s="149">
        <v>112038949.88</v>
      </c>
      <c r="E40" s="229">
        <f t="shared" si="1"/>
        <v>2.4332489929416874</v>
      </c>
      <c r="F40" s="149">
        <v>98424146.439999998</v>
      </c>
      <c r="G40" s="237">
        <f t="shared" si="2"/>
        <v>2.1375642619176891</v>
      </c>
      <c r="H40" s="199">
        <f t="shared" si="3"/>
        <v>13614803.439999998</v>
      </c>
      <c r="I40" s="242">
        <f t="shared" si="4"/>
        <v>13.832787920898724</v>
      </c>
      <c r="J40" s="149">
        <v>95905310.469999999</v>
      </c>
      <c r="K40" s="229">
        <f t="shared" si="5"/>
        <v>2.2308748655501276</v>
      </c>
      <c r="L40" s="199">
        <f t="shared" si="7"/>
        <v>16133639.409999996</v>
      </c>
      <c r="M40" s="242">
        <f t="shared" si="0"/>
        <v>16.822467213686494</v>
      </c>
      <c r="BM40" s="154"/>
      <c r="BN40" s="154"/>
      <c r="BO40" s="140"/>
      <c r="BP40" s="140"/>
      <c r="BQ40" s="140"/>
      <c r="BR40" s="139"/>
    </row>
    <row r="41" spans="1:70" ht="13.5" customHeight="1">
      <c r="B41" s="80">
        <v>415</v>
      </c>
      <c r="C41" s="93" t="s">
        <v>430</v>
      </c>
      <c r="D41" s="149">
        <v>20991789.91</v>
      </c>
      <c r="E41" s="229">
        <f t="shared" si="1"/>
        <v>0.45589727245086331</v>
      </c>
      <c r="F41" s="149">
        <v>22285486.810000002</v>
      </c>
      <c r="G41" s="237">
        <f t="shared" si="2"/>
        <v>0.48399363253339128</v>
      </c>
      <c r="H41" s="199">
        <f t="shared" si="3"/>
        <v>-1293696.9000000022</v>
      </c>
      <c r="I41" s="242">
        <f t="shared" si="4"/>
        <v>-5.8051094464738924</v>
      </c>
      <c r="J41" s="149">
        <v>20203326.920000002</v>
      </c>
      <c r="K41" s="229">
        <f t="shared" si="5"/>
        <v>0.46995410374505703</v>
      </c>
      <c r="L41" s="199">
        <f t="shared" si="7"/>
        <v>788462.98999999836</v>
      </c>
      <c r="M41" s="242">
        <f t="shared" si="0"/>
        <v>3.9026393678729789</v>
      </c>
      <c r="BM41" s="154"/>
      <c r="BN41" s="154"/>
      <c r="BO41" s="140"/>
      <c r="BP41" s="140"/>
      <c r="BQ41" s="140"/>
      <c r="BR41" s="139"/>
    </row>
    <row r="42" spans="1:70" ht="13.5" customHeight="1">
      <c r="B42" s="80">
        <v>416</v>
      </c>
      <c r="C42" s="93" t="s">
        <v>79</v>
      </c>
      <c r="D42" s="149">
        <v>88646607.200000003</v>
      </c>
      <c r="E42" s="229">
        <f t="shared" si="1"/>
        <v>1.9252167922684333</v>
      </c>
      <c r="F42" s="149">
        <v>87442700</v>
      </c>
      <c r="G42" s="237">
        <f t="shared" si="2"/>
        <v>1.8990704745357805</v>
      </c>
      <c r="H42" s="199">
        <f t="shared" si="3"/>
        <v>1203907.200000003</v>
      </c>
      <c r="I42" s="242">
        <f t="shared" si="4"/>
        <v>1.3767955472555116</v>
      </c>
      <c r="J42" s="149">
        <v>98705378.580000013</v>
      </c>
      <c r="K42" s="229">
        <f t="shared" si="5"/>
        <v>2.2960078757850666</v>
      </c>
      <c r="L42" s="199">
        <f t="shared" si="7"/>
        <v>-10058771.38000001</v>
      </c>
      <c r="M42" s="242">
        <f t="shared" si="0"/>
        <v>-10.190702396067962</v>
      </c>
      <c r="BM42" s="154"/>
      <c r="BN42" s="154"/>
      <c r="BO42" s="140"/>
      <c r="BP42" s="140"/>
      <c r="BQ42" s="140"/>
      <c r="BR42" s="139"/>
    </row>
    <row r="43" spans="1:70" ht="13.5" customHeight="1">
      <c r="B43" s="80">
        <v>417</v>
      </c>
      <c r="C43" s="93" t="s">
        <v>81</v>
      </c>
      <c r="D43" s="149">
        <v>11119206.969999999</v>
      </c>
      <c r="E43" s="229">
        <f t="shared" si="1"/>
        <v>0.24148565468563357</v>
      </c>
      <c r="F43" s="149">
        <v>10344524.66</v>
      </c>
      <c r="G43" s="237">
        <f t="shared" si="2"/>
        <v>0.22466119361494191</v>
      </c>
      <c r="H43" s="199">
        <f t="shared" si="3"/>
        <v>774682.30999999866</v>
      </c>
      <c r="I43" s="242">
        <f t="shared" si="4"/>
        <v>7.4888149573032052</v>
      </c>
      <c r="J43" s="149">
        <v>8940947.370000001</v>
      </c>
      <c r="K43" s="229">
        <f t="shared" si="5"/>
        <v>0.20797737543614797</v>
      </c>
      <c r="L43" s="199">
        <f t="shared" si="7"/>
        <v>2178259.5999999978</v>
      </c>
      <c r="M43" s="242">
        <f t="shared" si="0"/>
        <v>24.36273819605313</v>
      </c>
      <c r="BM43" s="154"/>
      <c r="BN43" s="154"/>
      <c r="BO43" s="140"/>
      <c r="BP43" s="140"/>
      <c r="BQ43" s="140"/>
      <c r="BR43" s="139"/>
    </row>
    <row r="44" spans="1:70" ht="13.5" customHeight="1">
      <c r="B44" s="80">
        <v>418</v>
      </c>
      <c r="C44" s="93" t="s">
        <v>83</v>
      </c>
      <c r="D44" s="149">
        <v>30560884.969999999</v>
      </c>
      <c r="E44" s="229">
        <f t="shared" si="1"/>
        <v>0.66371777543707244</v>
      </c>
      <c r="F44" s="149">
        <v>26731800.000000011</v>
      </c>
      <c r="G44" s="237">
        <f t="shared" si="2"/>
        <v>0.58055814963622565</v>
      </c>
      <c r="H44" s="199">
        <f t="shared" si="3"/>
        <v>3829084.9699999876</v>
      </c>
      <c r="I44" s="242">
        <f t="shared" si="4"/>
        <v>14.324082067051179</v>
      </c>
      <c r="J44" s="149">
        <v>27803826.270000003</v>
      </c>
      <c r="K44" s="229">
        <f t="shared" si="5"/>
        <v>0.64675101814375446</v>
      </c>
      <c r="L44" s="199">
        <f t="shared" si="7"/>
        <v>2757058.6999999955</v>
      </c>
      <c r="M44" s="242">
        <f t="shared" si="0"/>
        <v>9.916112527917889</v>
      </c>
      <c r="BM44" s="154"/>
      <c r="BN44" s="154"/>
      <c r="BO44" s="140"/>
      <c r="BP44" s="140"/>
      <c r="BQ44" s="140"/>
      <c r="BR44" s="139"/>
    </row>
    <row r="45" spans="1:70" ht="13.5" customHeight="1">
      <c r="B45" s="80">
        <v>419</v>
      </c>
      <c r="C45" s="93" t="s">
        <v>85</v>
      </c>
      <c r="D45" s="149">
        <v>43611596.07</v>
      </c>
      <c r="E45" s="229">
        <f t="shared" si="1"/>
        <v>0.94715161407318926</v>
      </c>
      <c r="F45" s="149">
        <v>39317929.93</v>
      </c>
      <c r="G45" s="237">
        <f t="shared" si="2"/>
        <v>0.85390226799869695</v>
      </c>
      <c r="H45" s="199">
        <f t="shared" si="3"/>
        <v>4293666.1400000006</v>
      </c>
      <c r="I45" s="242">
        <f t="shared" si="4"/>
        <v>10.920376906017864</v>
      </c>
      <c r="J45" s="149">
        <v>38242445.060000002</v>
      </c>
      <c r="K45" s="229">
        <f>+J44/$J$11*100</f>
        <v>0.64675101814375446</v>
      </c>
      <c r="L45" s="199">
        <f t="shared" si="7"/>
        <v>5369151.0099999979</v>
      </c>
      <c r="M45" s="242">
        <f t="shared" si="0"/>
        <v>14.039769166370334</v>
      </c>
      <c r="BM45" s="154"/>
      <c r="BN45" s="154"/>
      <c r="BO45" s="140"/>
      <c r="BP45" s="140"/>
      <c r="BQ45" s="140"/>
      <c r="BR45" s="139"/>
    </row>
    <row r="46" spans="1:70" ht="13.5" customHeight="1">
      <c r="B46" s="80">
        <v>441</v>
      </c>
      <c r="C46" s="93" t="s">
        <v>129</v>
      </c>
      <c r="D46" s="159">
        <v>56322211.620000005</v>
      </c>
      <c r="E46" s="232">
        <f t="shared" si="1"/>
        <v>1.2231992967748941</v>
      </c>
      <c r="F46" s="149">
        <v>52847565.419999987</v>
      </c>
      <c r="G46" s="237">
        <f t="shared" si="2"/>
        <v>1.1477373313063306</v>
      </c>
      <c r="H46" s="199">
        <f t="shared" si="3"/>
        <v>3474646.2000000179</v>
      </c>
      <c r="I46" s="244">
        <f t="shared" si="4"/>
        <v>6.5748463006491704</v>
      </c>
      <c r="J46" s="149">
        <v>36011758.509999998</v>
      </c>
      <c r="K46" s="232">
        <f>+J45/$J$11*100</f>
        <v>0.88956606327052801</v>
      </c>
      <c r="L46" s="199">
        <f t="shared" si="7"/>
        <v>20310453.110000007</v>
      </c>
      <c r="M46" s="244">
        <f t="shared" si="0"/>
        <v>56.399503801959725</v>
      </c>
      <c r="BM46" s="154"/>
      <c r="BN46" s="154"/>
      <c r="BO46" s="140"/>
      <c r="BP46" s="140"/>
      <c r="BQ46" s="140"/>
      <c r="BR46" s="139"/>
    </row>
    <row r="47" spans="1:70" ht="13.5" customHeight="1">
      <c r="A47" s="80">
        <v>42</v>
      </c>
      <c r="B47" s="80">
        <v>42</v>
      </c>
      <c r="C47" s="93" t="s">
        <v>86</v>
      </c>
      <c r="D47" s="149">
        <f>+SUM(D48:D52)</f>
        <v>544485571.48000002</v>
      </c>
      <c r="E47" s="229">
        <f t="shared" si="1"/>
        <v>11.825074850255184</v>
      </c>
      <c r="F47" s="149">
        <f>+SUM(F48:F52)</f>
        <v>558932773.86000013</v>
      </c>
      <c r="G47" s="237">
        <f t="shared" si="2"/>
        <v>12.138837525464224</v>
      </c>
      <c r="H47" s="197">
        <f t="shared" si="3"/>
        <v>-14447202.380000114</v>
      </c>
      <c r="I47" s="242">
        <f t="shared" si="4"/>
        <v>-2.5847835474430099</v>
      </c>
      <c r="J47" s="149">
        <f>+SUM(J48:J52)</f>
        <v>538050896.17999995</v>
      </c>
      <c r="K47" s="229">
        <f t="shared" si="5"/>
        <v>12.515722172133053</v>
      </c>
      <c r="L47" s="197">
        <f t="shared" si="7"/>
        <v>6434675.3000000715</v>
      </c>
      <c r="M47" s="242">
        <f t="shared" si="0"/>
        <v>1.1959231637163441</v>
      </c>
      <c r="BM47" s="154"/>
      <c r="BN47" s="154"/>
      <c r="BO47" s="140"/>
      <c r="BP47" s="140"/>
      <c r="BQ47" s="140"/>
      <c r="BR47" s="139"/>
    </row>
    <row r="48" spans="1:70" ht="13.5" customHeight="1">
      <c r="B48" s="80">
        <v>421</v>
      </c>
      <c r="C48" s="97" t="s">
        <v>88</v>
      </c>
      <c r="D48" s="151">
        <v>82294784.480000004</v>
      </c>
      <c r="E48" s="230">
        <f t="shared" si="1"/>
        <v>1.7872686389401673</v>
      </c>
      <c r="F48" s="151">
        <v>82786083.909999996</v>
      </c>
      <c r="G48" s="238">
        <f t="shared" si="2"/>
        <v>1.7979386233032901</v>
      </c>
      <c r="H48" s="200">
        <f t="shared" si="3"/>
        <v>-491299.42999999225</v>
      </c>
      <c r="I48" s="243">
        <f t="shared" si="4"/>
        <v>-0.59345654099800527</v>
      </c>
      <c r="J48" s="292">
        <v>98704880.719999999</v>
      </c>
      <c r="K48" s="230">
        <f t="shared" si="5"/>
        <v>2.2959962949523143</v>
      </c>
      <c r="L48" s="200">
        <f t="shared" si="7"/>
        <v>-16410096.239999995</v>
      </c>
      <c r="M48" s="243">
        <f t="shared" si="0"/>
        <v>-16.625415197604227</v>
      </c>
      <c r="BM48" s="154"/>
      <c r="BN48" s="154"/>
      <c r="BO48" s="140"/>
      <c r="BP48" s="140"/>
      <c r="BQ48" s="140"/>
      <c r="BR48" s="139"/>
    </row>
    <row r="49" spans="1:70" ht="13.5" customHeight="1">
      <c r="B49" s="80">
        <v>422</v>
      </c>
      <c r="C49" s="97" t="s">
        <v>90</v>
      </c>
      <c r="D49" s="151">
        <v>14196791.939999998</v>
      </c>
      <c r="E49" s="230">
        <f t="shared" si="1"/>
        <v>0.30832429015093926</v>
      </c>
      <c r="F49" s="151">
        <v>17298799.519999992</v>
      </c>
      <c r="G49" s="238">
        <f t="shared" si="2"/>
        <v>0.37569333304376135</v>
      </c>
      <c r="H49" s="200">
        <f t="shared" si="3"/>
        <v>-3102007.5799999945</v>
      </c>
      <c r="I49" s="243">
        <f t="shared" si="4"/>
        <v>-17.931923983589797</v>
      </c>
      <c r="J49" s="292">
        <v>12968450.790000001</v>
      </c>
      <c r="K49" s="230">
        <f t="shared" si="5"/>
        <v>0.30166203279832521</v>
      </c>
      <c r="L49" s="200">
        <f t="shared" si="7"/>
        <v>1228341.1499999966</v>
      </c>
      <c r="M49" s="243">
        <f t="shared" si="0"/>
        <v>9.4717647457718925</v>
      </c>
      <c r="BM49" s="154"/>
      <c r="BN49" s="154"/>
      <c r="BO49" s="140"/>
      <c r="BP49" s="140"/>
      <c r="BQ49" s="140"/>
      <c r="BR49" s="139"/>
    </row>
    <row r="50" spans="1:70" ht="13.5" customHeight="1">
      <c r="B50" s="80">
        <v>423</v>
      </c>
      <c r="C50" s="97" t="s">
        <v>92</v>
      </c>
      <c r="D50" s="151">
        <v>414750265.80000001</v>
      </c>
      <c r="E50" s="230">
        <f t="shared" si="1"/>
        <v>9.0074984428276696</v>
      </c>
      <c r="F50" s="151">
        <v>425672790.43000013</v>
      </c>
      <c r="G50" s="238">
        <f t="shared" si="2"/>
        <v>9.2447125731349793</v>
      </c>
      <c r="H50" s="200">
        <f t="shared" si="3"/>
        <v>-10922524.630000114</v>
      </c>
      <c r="I50" s="243">
        <f t="shared" si="4"/>
        <v>-2.565943813079187</v>
      </c>
      <c r="J50" s="292">
        <v>401263898.76999998</v>
      </c>
      <c r="K50" s="230">
        <f t="shared" si="5"/>
        <v>9.3338892479646418</v>
      </c>
      <c r="L50" s="200">
        <f t="shared" si="7"/>
        <v>13486367.030000031</v>
      </c>
      <c r="M50" s="243">
        <f t="shared" si="0"/>
        <v>3.3609719367578208</v>
      </c>
      <c r="BM50" s="154"/>
      <c r="BN50" s="154"/>
      <c r="BO50" s="140"/>
      <c r="BP50" s="140"/>
      <c r="BQ50" s="140"/>
      <c r="BR50" s="139"/>
    </row>
    <row r="51" spans="1:70" ht="13.5" customHeight="1">
      <c r="B51" s="80">
        <v>424</v>
      </c>
      <c r="C51" s="97" t="s">
        <v>94</v>
      </c>
      <c r="D51" s="151">
        <v>20004829.280000001</v>
      </c>
      <c r="E51" s="230">
        <f t="shared" si="1"/>
        <v>0.43446257530676513</v>
      </c>
      <c r="F51" s="151">
        <v>19000099.999999996</v>
      </c>
      <c r="G51" s="238">
        <f t="shared" si="2"/>
        <v>0.4126419806710826</v>
      </c>
      <c r="H51" s="200">
        <f t="shared" si="3"/>
        <v>1004729.2800000049</v>
      </c>
      <c r="I51" s="243">
        <f t="shared" si="4"/>
        <v>5.2880210104157612</v>
      </c>
      <c r="J51" s="292">
        <v>16489379.109999999</v>
      </c>
      <c r="K51" s="230">
        <f t="shared" si="5"/>
        <v>0.38356313351942312</v>
      </c>
      <c r="L51" s="200">
        <f t="shared" si="7"/>
        <v>3515450.1700000018</v>
      </c>
      <c r="M51" s="243">
        <f t="shared" si="0"/>
        <v>21.319481749728553</v>
      </c>
      <c r="BM51" s="154"/>
      <c r="BN51" s="154"/>
      <c r="BO51" s="140"/>
      <c r="BP51" s="140"/>
      <c r="BQ51" s="140"/>
      <c r="BR51" s="139"/>
    </row>
    <row r="52" spans="1:70" ht="13.5" customHeight="1">
      <c r="B52" s="80">
        <v>425</v>
      </c>
      <c r="C52" s="97" t="s">
        <v>431</v>
      </c>
      <c r="D52" s="151">
        <v>13238899.98</v>
      </c>
      <c r="E52" s="230">
        <f t="shared" si="1"/>
        <v>0.28752090302964489</v>
      </c>
      <c r="F52" s="151">
        <v>14175000.000000002</v>
      </c>
      <c r="G52" s="238">
        <f t="shared" si="2"/>
        <v>0.3078510153111087</v>
      </c>
      <c r="H52" s="200">
        <f t="shared" si="3"/>
        <v>-936100.02000000142</v>
      </c>
      <c r="I52" s="243">
        <f t="shared" si="4"/>
        <v>-6.6038802116402167</v>
      </c>
      <c r="J52" s="292">
        <v>8624286.790000001</v>
      </c>
      <c r="K52" s="230">
        <f t="shared" si="5"/>
        <v>0.2006114628983485</v>
      </c>
      <c r="L52" s="200">
        <f t="shared" si="7"/>
        <v>4614613.1899999995</v>
      </c>
      <c r="M52" s="243">
        <f t="shared" si="0"/>
        <v>53.507186186696828</v>
      </c>
      <c r="BM52" s="154"/>
      <c r="BN52" s="154"/>
      <c r="BO52" s="140"/>
      <c r="BP52" s="140"/>
      <c r="BQ52" s="140"/>
      <c r="BR52" s="139"/>
    </row>
    <row r="53" spans="1:70" ht="13.5" customHeight="1">
      <c r="A53" s="80">
        <v>43</v>
      </c>
      <c r="B53" s="80">
        <v>431</v>
      </c>
      <c r="C53" s="93" t="s">
        <v>432</v>
      </c>
      <c r="D53" s="149">
        <f>SUM(D54:D55)</f>
        <v>208729620.22</v>
      </c>
      <c r="E53" s="229">
        <f t="shared" si="1"/>
        <v>4.5331658208274517</v>
      </c>
      <c r="F53" s="149">
        <f>SUM(F54:F55)</f>
        <v>206684238.69</v>
      </c>
      <c r="G53" s="237">
        <f t="shared" si="2"/>
        <v>4.488744460636334</v>
      </c>
      <c r="H53" s="197">
        <f t="shared" si="3"/>
        <v>2045381.5300000012</v>
      </c>
      <c r="I53" s="242">
        <f t="shared" si="4"/>
        <v>0.98961659726160178</v>
      </c>
      <c r="J53" s="149">
        <f>SUM(J54:J55)</f>
        <v>166881124.75999999</v>
      </c>
      <c r="K53" s="229">
        <f t="shared" si="5"/>
        <v>3.8818591477087696</v>
      </c>
      <c r="L53" s="197">
        <f t="shared" si="7"/>
        <v>41848495.460000008</v>
      </c>
      <c r="M53" s="242">
        <f t="shared" si="0"/>
        <v>25.076829701492258</v>
      </c>
      <c r="BM53" s="154"/>
      <c r="BN53" s="154"/>
      <c r="BO53" s="140"/>
      <c r="BP53" s="140"/>
      <c r="BQ53" s="140"/>
      <c r="BR53" s="139"/>
    </row>
    <row r="54" spans="1:70" ht="13.5" customHeight="1">
      <c r="C54" s="227" t="s">
        <v>432</v>
      </c>
      <c r="D54" s="290">
        <v>203620929.09</v>
      </c>
      <c r="E54" s="229">
        <f t="shared" si="1"/>
        <v>4.4222158560104248</v>
      </c>
      <c r="F54" s="280">
        <v>200961211.56999999</v>
      </c>
      <c r="G54" s="237">
        <f t="shared" si="2"/>
        <v>4.3644524176349222</v>
      </c>
      <c r="H54" s="287">
        <f t="shared" si="3"/>
        <v>2659717.5200000107</v>
      </c>
      <c r="I54" s="286">
        <f t="shared" si="4"/>
        <v>1.3234979522769947</v>
      </c>
      <c r="J54" s="280">
        <v>164834834.72999999</v>
      </c>
      <c r="K54" s="229">
        <f t="shared" si="5"/>
        <v>3.8342599378925328</v>
      </c>
      <c r="L54" s="287">
        <f t="shared" si="7"/>
        <v>38786094.360000014</v>
      </c>
      <c r="M54" s="286">
        <f t="shared" si="0"/>
        <v>23.530277701028297</v>
      </c>
      <c r="BM54" s="154"/>
      <c r="BN54" s="154"/>
      <c r="BO54" s="140"/>
      <c r="BP54" s="140"/>
      <c r="BQ54" s="140"/>
      <c r="BR54" s="139"/>
    </row>
    <row r="55" spans="1:70" ht="13.5" customHeight="1" thickBot="1">
      <c r="C55" s="227" t="s">
        <v>459</v>
      </c>
      <c r="D55" s="291">
        <v>5108691.13</v>
      </c>
      <c r="E55" s="229">
        <f t="shared" si="1"/>
        <v>0.11094996481702682</v>
      </c>
      <c r="F55" s="280">
        <v>5723027.120000001</v>
      </c>
      <c r="G55" s="237">
        <f t="shared" si="2"/>
        <v>0.12429204300141168</v>
      </c>
      <c r="H55" s="287">
        <f t="shared" si="3"/>
        <v>-614335.99000000115</v>
      </c>
      <c r="I55" s="286">
        <f t="shared" si="4"/>
        <v>-10.734458829543357</v>
      </c>
      <c r="J55" s="280">
        <v>2046290.03</v>
      </c>
      <c r="K55" s="229">
        <f t="shared" si="5"/>
        <v>4.7599209816236332E-2</v>
      </c>
      <c r="L55" s="287">
        <f t="shared" si="7"/>
        <v>3062401.0999999996</v>
      </c>
      <c r="M55" s="286">
        <f t="shared" si="0"/>
        <v>149.65625864873124</v>
      </c>
      <c r="BM55" s="154"/>
      <c r="BN55" s="154"/>
      <c r="BO55" s="140"/>
      <c r="BP55" s="140"/>
      <c r="BQ55" s="140"/>
      <c r="BR55" s="139"/>
    </row>
    <row r="56" spans="1:70" ht="13.5" customHeight="1" thickTop="1" thickBot="1">
      <c r="B56" s="80">
        <v>44</v>
      </c>
      <c r="C56" s="90" t="s">
        <v>130</v>
      </c>
      <c r="D56" s="281">
        <v>264699427.30000001</v>
      </c>
      <c r="E56" s="231">
        <f t="shared" si="1"/>
        <v>5.7487116364426107</v>
      </c>
      <c r="F56" s="155">
        <v>289074999.99666673</v>
      </c>
      <c r="G56" s="236">
        <f t="shared" si="2"/>
        <v>6.2780975132298131</v>
      </c>
      <c r="H56" s="155">
        <f t="shared" si="3"/>
        <v>-24375572.696666718</v>
      </c>
      <c r="I56" s="231">
        <f t="shared" si="4"/>
        <v>-8.4322659160936695</v>
      </c>
      <c r="J56" s="155">
        <v>251876566.97000003</v>
      </c>
      <c r="K56" s="231">
        <f t="shared" si="5"/>
        <v>5.8589571288671785</v>
      </c>
      <c r="L56" s="155">
        <f>+D56-J56</f>
        <v>12822860.329999983</v>
      </c>
      <c r="M56" s="231">
        <f t="shared" si="0"/>
        <v>5.0909302458165087</v>
      </c>
      <c r="BM56" s="154"/>
      <c r="BN56" s="154"/>
      <c r="BO56" s="140"/>
      <c r="BP56" s="140"/>
      <c r="BQ56" s="140"/>
      <c r="BR56" s="139"/>
    </row>
    <row r="57" spans="1:70" ht="13.5" customHeight="1" thickTop="1">
      <c r="B57" s="80">
        <v>451</v>
      </c>
      <c r="C57" s="93" t="s">
        <v>110</v>
      </c>
      <c r="D57" s="149">
        <v>4596369</v>
      </c>
      <c r="E57" s="229">
        <f t="shared" si="1"/>
        <v>9.9823411879682911E-2</v>
      </c>
      <c r="F57" s="149">
        <v>2875000.9999999995</v>
      </c>
      <c r="G57" s="237">
        <f t="shared" si="2"/>
        <v>6.2438940167227695E-2</v>
      </c>
      <c r="H57" s="199">
        <f t="shared" si="3"/>
        <v>1721368.0000000005</v>
      </c>
      <c r="I57" s="242">
        <f t="shared" si="4"/>
        <v>59.873648739600469</v>
      </c>
      <c r="J57" s="149">
        <v>4857410.76</v>
      </c>
      <c r="K57" s="229">
        <f t="shared" si="5"/>
        <v>0.11298931751570131</v>
      </c>
      <c r="L57" s="149">
        <f t="shared" si="7"/>
        <v>-261041.75999999978</v>
      </c>
      <c r="M57" s="242">
        <f t="shared" si="0"/>
        <v>-5.3740927604813038</v>
      </c>
      <c r="BM57" s="154"/>
      <c r="BN57" s="154"/>
      <c r="BO57" s="140"/>
      <c r="BP57" s="140"/>
      <c r="BQ57" s="140"/>
      <c r="BR57" s="139"/>
    </row>
    <row r="58" spans="1:70" ht="13.5" customHeight="1" thickBot="1">
      <c r="B58" s="80">
        <v>47</v>
      </c>
      <c r="C58" s="93" t="s">
        <v>117</v>
      </c>
      <c r="D58" s="149">
        <v>23887500.050000001</v>
      </c>
      <c r="E58" s="229">
        <f t="shared" si="1"/>
        <v>0.51878597133239224</v>
      </c>
      <c r="F58" s="149">
        <v>29645488.240000002</v>
      </c>
      <c r="G58" s="237">
        <f t="shared" si="2"/>
        <v>0.64383729482028451</v>
      </c>
      <c r="H58" s="199">
        <f t="shared" si="3"/>
        <v>-5757988.1900000013</v>
      </c>
      <c r="I58" s="242">
        <f t="shared" si="4"/>
        <v>-19.422814505145752</v>
      </c>
      <c r="J58" s="149">
        <v>19683829.93</v>
      </c>
      <c r="K58" s="229">
        <f t="shared" si="5"/>
        <v>0.45786996813212377</v>
      </c>
      <c r="L58" s="149">
        <f t="shared" si="7"/>
        <v>4203670.120000001</v>
      </c>
      <c r="M58" s="242">
        <f t="shared" si="0"/>
        <v>21.355956310073651</v>
      </c>
      <c r="BM58" s="154"/>
      <c r="BN58" s="154"/>
      <c r="BO58" s="140"/>
      <c r="BP58" s="140"/>
      <c r="BQ58" s="140"/>
      <c r="BR58" s="139"/>
    </row>
    <row r="59" spans="1:70" ht="13.5" customHeight="1" thickTop="1" thickBot="1">
      <c r="B59" s="80">
        <v>462</v>
      </c>
      <c r="C59" s="143" t="s">
        <v>112</v>
      </c>
      <c r="D59" s="156">
        <v>0</v>
      </c>
      <c r="E59" s="233">
        <f t="shared" si="1"/>
        <v>0</v>
      </c>
      <c r="F59" s="156">
        <v>0</v>
      </c>
      <c r="G59" s="239">
        <f t="shared" si="2"/>
        <v>0</v>
      </c>
      <c r="H59" s="201">
        <f t="shared" si="3"/>
        <v>0</v>
      </c>
      <c r="I59" s="245" t="str">
        <f t="shared" si="4"/>
        <v>...</v>
      </c>
      <c r="J59" s="156">
        <v>0</v>
      </c>
      <c r="K59" s="233">
        <f t="shared" si="5"/>
        <v>0</v>
      </c>
      <c r="L59" s="156">
        <f t="shared" si="7"/>
        <v>0</v>
      </c>
      <c r="M59" s="245" t="str">
        <f t="shared" ref="M59:M74" si="8">+IF(ISNUMBER(D59/J59*100-100),D59/J59*100-100,"...")</f>
        <v>...</v>
      </c>
      <c r="BM59" s="154"/>
      <c r="BN59" s="154"/>
      <c r="BO59" s="140"/>
      <c r="BP59" s="140"/>
      <c r="BQ59" s="140"/>
      <c r="BR59" s="139"/>
    </row>
    <row r="60" spans="1:70" ht="13.5" customHeight="1" thickTop="1" thickBot="1">
      <c r="B60" s="282" t="s">
        <v>447</v>
      </c>
      <c r="C60" s="203" t="s">
        <v>446</v>
      </c>
      <c r="D60" s="204">
        <v>22887327.229999997</v>
      </c>
      <c r="E60" s="234">
        <f t="shared" si="1"/>
        <v>0.49706433336952971</v>
      </c>
      <c r="F60" s="204">
        <v>0</v>
      </c>
      <c r="G60" s="240">
        <f t="shared" si="2"/>
        <v>0</v>
      </c>
      <c r="H60" s="205">
        <f>+D60-F60</f>
        <v>22887327.229999997</v>
      </c>
      <c r="I60" s="246" t="str">
        <f>+IF(ISNUMBER(D60/F60*100-100),D60/F60*100-100,"...")</f>
        <v>...</v>
      </c>
      <c r="J60" s="204">
        <v>39960824.650000006</v>
      </c>
      <c r="K60" s="234">
        <f>+J60/$J$11*100</f>
        <v>0.92953767504070728</v>
      </c>
      <c r="L60" s="205">
        <f>+D60-J60</f>
        <v>-17073497.420000009</v>
      </c>
      <c r="M60" s="245">
        <f t="shared" si="8"/>
        <v>-42.725588296887175</v>
      </c>
      <c r="BM60" s="154"/>
      <c r="BN60" s="154"/>
      <c r="BO60" s="140"/>
      <c r="BP60" s="140"/>
      <c r="BQ60" s="140"/>
      <c r="BR60" s="139"/>
    </row>
    <row r="61" spans="1:70" ht="13.5" customHeight="1" thickTop="1" thickBot="1">
      <c r="B61" s="80">
        <v>990</v>
      </c>
      <c r="C61" s="192" t="s">
        <v>151</v>
      </c>
      <c r="D61" s="149">
        <v>0</v>
      </c>
      <c r="E61" s="229">
        <f t="shared" si="1"/>
        <v>0</v>
      </c>
      <c r="F61" s="149">
        <v>0</v>
      </c>
      <c r="G61" s="237">
        <f t="shared" si="2"/>
        <v>0</v>
      </c>
      <c r="H61" s="199">
        <f t="shared" si="3"/>
        <v>0</v>
      </c>
      <c r="I61" s="247" t="str">
        <f t="shared" si="4"/>
        <v>...</v>
      </c>
      <c r="J61" s="149">
        <v>13993228.51</v>
      </c>
      <c r="K61" s="229">
        <f t="shared" si="5"/>
        <v>0.32549961642242381</v>
      </c>
      <c r="L61" s="149">
        <f t="shared" si="7"/>
        <v>-13993228.51</v>
      </c>
      <c r="M61" s="245">
        <f t="shared" si="8"/>
        <v>-100</v>
      </c>
      <c r="BM61" s="154"/>
      <c r="BN61" s="154"/>
      <c r="BO61" s="140"/>
      <c r="BP61" s="140"/>
      <c r="BQ61" s="140"/>
      <c r="BR61" s="139"/>
    </row>
    <row r="62" spans="1:70" ht="13.5" customHeight="1" thickTop="1" thickBot="1">
      <c r="C62" s="90" t="s">
        <v>443</v>
      </c>
      <c r="D62" s="91">
        <f>+D16-D35</f>
        <v>-159232125.00000024</v>
      </c>
      <c r="E62" s="231">
        <f>+D62/$D$11*100</f>
        <v>-3.4581849277880385</v>
      </c>
      <c r="F62" s="91">
        <f>+F16-F35</f>
        <v>-142839853.56245446</v>
      </c>
      <c r="G62" s="236">
        <f t="shared" si="2"/>
        <v>-3.1021794670964158</v>
      </c>
      <c r="H62" s="91">
        <f t="shared" si="3"/>
        <v>-16392271.437545776</v>
      </c>
      <c r="I62" s="231">
        <f t="shared" si="4"/>
        <v>11.475978887347793</v>
      </c>
      <c r="J62" s="91">
        <f>+J16-J35</f>
        <v>-236866092.40999985</v>
      </c>
      <c r="K62" s="231">
        <f t="shared" si="5"/>
        <v>-5.5097951246801546</v>
      </c>
      <c r="L62" s="91">
        <f>+D62-J62</f>
        <v>77633967.409999609</v>
      </c>
      <c r="M62" s="231">
        <f t="shared" si="8"/>
        <v>-32.775466771166322</v>
      </c>
      <c r="BM62" s="154"/>
      <c r="BN62" s="154"/>
      <c r="BO62" s="140"/>
      <c r="BP62" s="140"/>
      <c r="BQ62" s="140"/>
      <c r="BR62" s="139"/>
    </row>
    <row r="63" spans="1:70" ht="13.5" customHeight="1" thickTop="1" thickBot="1">
      <c r="C63" s="90" t="s">
        <v>471</v>
      </c>
      <c r="D63" s="91">
        <f>D62-D61</f>
        <v>-159232125.00000024</v>
      </c>
      <c r="E63" s="231">
        <f>+D63/$D$11*100</f>
        <v>-3.4581849277880385</v>
      </c>
      <c r="F63" s="91">
        <f>F62-F61</f>
        <v>-142839853.56245446</v>
      </c>
      <c r="G63" s="236">
        <f t="shared" si="2"/>
        <v>-3.1021794670964158</v>
      </c>
      <c r="H63" s="91">
        <f t="shared" si="3"/>
        <v>-16392271.437545776</v>
      </c>
      <c r="I63" s="231">
        <f t="shared" si="4"/>
        <v>11.475978887347793</v>
      </c>
      <c r="J63" s="91">
        <f>J62-J61</f>
        <v>-250859320.91999984</v>
      </c>
      <c r="K63" s="231">
        <f t="shared" si="5"/>
        <v>-5.8352947411025786</v>
      </c>
      <c r="L63" s="91">
        <f>+D63-J63</f>
        <v>91627195.919999599</v>
      </c>
      <c r="M63" s="231">
        <f t="shared" si="8"/>
        <v>-36.525330445752068</v>
      </c>
      <c r="BM63" s="154"/>
      <c r="BN63" s="154"/>
      <c r="BO63" s="140"/>
      <c r="BP63" s="140"/>
      <c r="BQ63" s="140"/>
      <c r="BR63" s="139"/>
    </row>
    <row r="64" spans="1:70" ht="13.5" customHeight="1" thickTop="1" thickBot="1">
      <c r="C64" s="90" t="s">
        <v>470</v>
      </c>
      <c r="D64" s="91">
        <f>+D62+D42</f>
        <v>-70585517.800000235</v>
      </c>
      <c r="E64" s="231">
        <f t="shared" si="1"/>
        <v>-1.5329681355196054</v>
      </c>
      <c r="F64" s="91">
        <f>+F62+F42</f>
        <v>-55397153.562454462</v>
      </c>
      <c r="G64" s="236">
        <f t="shared" si="2"/>
        <v>-1.2031089925606355</v>
      </c>
      <c r="H64" s="91">
        <f t="shared" si="3"/>
        <v>-15188364.237545773</v>
      </c>
      <c r="I64" s="231">
        <f t="shared" si="4"/>
        <v>27.417228613420534</v>
      </c>
      <c r="J64" s="91">
        <f>+J63+J42</f>
        <v>-152153942.33999982</v>
      </c>
      <c r="K64" s="231">
        <f t="shared" si="5"/>
        <v>-3.539286865317512</v>
      </c>
      <c r="L64" s="91">
        <f t="shared" si="7"/>
        <v>81568424.539999589</v>
      </c>
      <c r="M64" s="231">
        <f t="shared" si="8"/>
        <v>-53.609143007105658</v>
      </c>
      <c r="BM64" s="154"/>
      <c r="BN64" s="154"/>
      <c r="BO64" s="140"/>
      <c r="BP64" s="140"/>
      <c r="BQ64" s="140"/>
      <c r="BR64" s="139"/>
    </row>
    <row r="65" spans="2:70" ht="13.5" customHeight="1" thickTop="1" thickBot="1">
      <c r="C65" s="90" t="s">
        <v>449</v>
      </c>
      <c r="D65" s="91">
        <f>+SUM(D66:D67)</f>
        <v>696281459.91000009</v>
      </c>
      <c r="E65" s="231">
        <f t="shared" si="1"/>
        <v>15.121760449777394</v>
      </c>
      <c r="F65" s="91">
        <f>+SUM(F66:F68)</f>
        <v>542424495</v>
      </c>
      <c r="G65" s="236">
        <f t="shared" si="2"/>
        <v>11.78031262894994</v>
      </c>
      <c r="H65" s="91">
        <f t="shared" si="3"/>
        <v>153856964.91000009</v>
      </c>
      <c r="I65" s="231">
        <f t="shared" si="4"/>
        <v>28.364678647117529</v>
      </c>
      <c r="J65" s="91">
        <f>+SUM(J66:J67)</f>
        <v>358600568.85000002</v>
      </c>
      <c r="K65" s="231">
        <f t="shared" si="5"/>
        <v>8.3414879937194701</v>
      </c>
      <c r="L65" s="91">
        <f t="shared" si="7"/>
        <v>337680891.06000006</v>
      </c>
      <c r="M65" s="231">
        <f t="shared" si="8"/>
        <v>94.166301002508874</v>
      </c>
      <c r="BM65" s="154"/>
      <c r="BN65" s="154"/>
      <c r="BO65" s="140"/>
      <c r="BP65" s="140"/>
      <c r="BQ65" s="140"/>
      <c r="BR65" s="139"/>
    </row>
    <row r="66" spans="2:70" ht="13.5" customHeight="1" thickTop="1">
      <c r="B66" s="80">
        <v>4611</v>
      </c>
      <c r="C66" s="97" t="s">
        <v>450</v>
      </c>
      <c r="D66" s="151">
        <v>234823593.10000002</v>
      </c>
      <c r="E66" s="230">
        <f t="shared" si="1"/>
        <v>5.0998717146269961</v>
      </c>
      <c r="F66" s="151">
        <v>50680000</v>
      </c>
      <c r="G66" s="238">
        <f t="shared" si="2"/>
        <v>1.10066239548268</v>
      </c>
      <c r="H66" s="200">
        <f t="shared" si="3"/>
        <v>184143593.10000002</v>
      </c>
      <c r="I66" s="243">
        <f t="shared" si="4"/>
        <v>363.34568488555652</v>
      </c>
      <c r="J66" s="151">
        <v>226012655.83000001</v>
      </c>
      <c r="K66" s="230">
        <f t="shared" si="5"/>
        <v>5.2573309102116772</v>
      </c>
      <c r="L66" s="200">
        <f t="shared" si="7"/>
        <v>8810937.2700000107</v>
      </c>
      <c r="M66" s="243">
        <f t="shared" si="8"/>
        <v>3.898426500782918</v>
      </c>
      <c r="BM66" s="154"/>
      <c r="BN66" s="154"/>
      <c r="BO66" s="140"/>
      <c r="BP66" s="140"/>
      <c r="BQ66" s="140"/>
      <c r="BR66" s="139"/>
    </row>
    <row r="67" spans="2:70" ht="13.5" customHeight="1">
      <c r="B67" s="80">
        <v>4612</v>
      </c>
      <c r="C67" s="97" t="s">
        <v>451</v>
      </c>
      <c r="D67" s="151">
        <v>461457866.81</v>
      </c>
      <c r="E67" s="230">
        <f t="shared" si="1"/>
        <v>10.021888735150396</v>
      </c>
      <c r="F67" s="151">
        <v>461500000</v>
      </c>
      <c r="G67" s="238">
        <f t="shared" si="2"/>
        <v>10.022803778911934</v>
      </c>
      <c r="H67" s="200">
        <f t="shared" si="3"/>
        <v>-42133.189999997616</v>
      </c>
      <c r="I67" s="243">
        <f t="shared" si="4"/>
        <v>-9.1296186348870378E-3</v>
      </c>
      <c r="J67" s="151">
        <v>132587913.02000004</v>
      </c>
      <c r="K67" s="230">
        <f t="shared" si="5"/>
        <v>3.0841570835077938</v>
      </c>
      <c r="L67" s="200">
        <f t="shared" si="7"/>
        <v>328869953.78999996</v>
      </c>
      <c r="M67" s="243">
        <f t="shared" si="8"/>
        <v>248.03916608928904</v>
      </c>
      <c r="BM67" s="154"/>
      <c r="BN67" s="154"/>
      <c r="BO67" s="140"/>
      <c r="BP67" s="140"/>
      <c r="BQ67" s="140"/>
      <c r="BR67" s="139"/>
    </row>
    <row r="68" spans="2:70" ht="13.5" customHeight="1" thickBot="1">
      <c r="B68" s="80" t="s">
        <v>448</v>
      </c>
      <c r="C68" s="97" t="s">
        <v>446</v>
      </c>
      <c r="D68" s="151">
        <v>0</v>
      </c>
      <c r="E68" s="230">
        <f t="shared" si="1"/>
        <v>0</v>
      </c>
      <c r="F68" s="283">
        <v>30244495.000000015</v>
      </c>
      <c r="G68" s="238">
        <f t="shared" si="2"/>
        <v>0.65684645455532664</v>
      </c>
      <c r="H68" s="200">
        <f t="shared" si="3"/>
        <v>-30244495.000000015</v>
      </c>
      <c r="I68" s="243">
        <f t="shared" si="4"/>
        <v>-100</v>
      </c>
      <c r="J68" s="151">
        <v>0</v>
      </c>
      <c r="K68" s="230">
        <f t="shared" si="5"/>
        <v>0</v>
      </c>
      <c r="L68" s="200">
        <f t="shared" si="7"/>
        <v>0</v>
      </c>
      <c r="M68" s="296" t="str">
        <f t="shared" si="8"/>
        <v>...</v>
      </c>
      <c r="BM68" s="154"/>
      <c r="BN68" s="154"/>
      <c r="BO68" s="140"/>
      <c r="BP68" s="140"/>
      <c r="BQ68" s="140"/>
      <c r="BR68" s="139"/>
    </row>
    <row r="69" spans="2:70" ht="13.5" customHeight="1" thickTop="1" thickBot="1">
      <c r="C69" s="90" t="s">
        <v>467</v>
      </c>
      <c r="D69" s="91">
        <v>69245296.659999996</v>
      </c>
      <c r="E69" s="231">
        <f t="shared" si="1"/>
        <v>1.5038613673580192</v>
      </c>
      <c r="F69" s="91">
        <v>70000000</v>
      </c>
      <c r="G69" s="236">
        <f t="shared" si="2"/>
        <v>1.5202519274622652</v>
      </c>
      <c r="H69" s="91">
        <f t="shared" si="3"/>
        <v>-754703.34000000358</v>
      </c>
      <c r="I69" s="231">
        <f t="shared" si="4"/>
        <v>-1.0781476285714291</v>
      </c>
      <c r="J69" s="91">
        <v>0</v>
      </c>
      <c r="K69" s="231">
        <f t="shared" si="5"/>
        <v>0</v>
      </c>
      <c r="L69" s="91">
        <f t="shared" si="7"/>
        <v>69245296.659999996</v>
      </c>
      <c r="M69" s="295" t="str">
        <f t="shared" si="8"/>
        <v>...</v>
      </c>
      <c r="BM69" s="154"/>
      <c r="BN69" s="154"/>
      <c r="BO69" s="140"/>
      <c r="BP69" s="140"/>
      <c r="BQ69" s="140"/>
      <c r="BR69" s="139"/>
    </row>
    <row r="70" spans="2:70" ht="13.5" customHeight="1" thickTop="1" thickBot="1">
      <c r="C70" s="90" t="s">
        <v>140</v>
      </c>
      <c r="D70" s="91">
        <f>+D62-D65-D69</f>
        <v>-924758881.57000029</v>
      </c>
      <c r="E70" s="231">
        <f t="shared" si="1"/>
        <v>-20.083806744923454</v>
      </c>
      <c r="F70" s="91">
        <f>+F62-F65-F69</f>
        <v>-755264348.56245446</v>
      </c>
      <c r="G70" s="236">
        <f t="shared" si="2"/>
        <v>-16.402744023508621</v>
      </c>
      <c r="H70" s="91">
        <f>+D70-F70</f>
        <v>-169494533.00754583</v>
      </c>
      <c r="I70" s="231">
        <f t="shared" ref="I70:I74" si="9">+IF(ISNUMBER(D70/F70*100-100),D70/F70*100-100,"...")</f>
        <v>22.441749478862107</v>
      </c>
      <c r="J70" s="91">
        <f>+J63-J65-J69</f>
        <v>-609459889.76999986</v>
      </c>
      <c r="K70" s="231">
        <f t="shared" ref="K70:K75" si="10">+J70/$J$11*100</f>
        <v>-14.17678273482205</v>
      </c>
      <c r="L70" s="91">
        <f t="shared" si="7"/>
        <v>-315298991.80000043</v>
      </c>
      <c r="M70" s="231">
        <f t="shared" si="8"/>
        <v>51.734166118624984</v>
      </c>
      <c r="BM70" s="154"/>
      <c r="BN70" s="154"/>
      <c r="BO70" s="140"/>
      <c r="BP70" s="140"/>
      <c r="BQ70" s="140"/>
      <c r="BR70" s="139"/>
    </row>
    <row r="71" spans="2:70" ht="13.5" customHeight="1" thickTop="1" thickBot="1">
      <c r="C71" s="90" t="s">
        <v>120</v>
      </c>
      <c r="D71" s="91">
        <f>+SUM(D72:D75)</f>
        <v>924758881.57000029</v>
      </c>
      <c r="E71" s="231">
        <f t="shared" si="1"/>
        <v>20.083806744923454</v>
      </c>
      <c r="F71" s="91">
        <f>+SUM(F72:F75)</f>
        <v>755264348.56245446</v>
      </c>
      <c r="G71" s="236">
        <f t="shared" si="2"/>
        <v>16.402744023508621</v>
      </c>
      <c r="H71" s="91">
        <f t="shared" ref="H71:H75" si="11">+D71-F71</f>
        <v>169494533.00754583</v>
      </c>
      <c r="I71" s="231">
        <f t="shared" si="9"/>
        <v>22.441749478862107</v>
      </c>
      <c r="J71" s="91">
        <f>+SUM(J72:J75)+J61</f>
        <v>609459889.76999986</v>
      </c>
      <c r="K71" s="231">
        <f t="shared" si="10"/>
        <v>14.17678273482205</v>
      </c>
      <c r="L71" s="91">
        <f>+SUM(L72:L75)</f>
        <v>329292220.31000042</v>
      </c>
      <c r="M71" s="231">
        <f t="shared" si="8"/>
        <v>51.734166118624984</v>
      </c>
      <c r="BM71" s="154"/>
      <c r="BN71" s="154"/>
      <c r="BO71" s="140"/>
      <c r="BP71" s="140"/>
      <c r="BQ71" s="140"/>
      <c r="BR71" s="139"/>
    </row>
    <row r="72" spans="2:70" ht="13.5" customHeight="1" thickTop="1">
      <c r="B72" s="80">
        <v>7511</v>
      </c>
      <c r="C72" s="97" t="s">
        <v>452</v>
      </c>
      <c r="D72" s="151">
        <v>213600000</v>
      </c>
      <c r="E72" s="230">
        <f t="shared" si="1"/>
        <v>4.6389401672277124</v>
      </c>
      <c r="F72" s="151">
        <v>0</v>
      </c>
      <c r="G72" s="238">
        <f t="shared" si="2"/>
        <v>0</v>
      </c>
      <c r="H72" s="200">
        <f t="shared" si="11"/>
        <v>213600000</v>
      </c>
      <c r="I72" s="243" t="str">
        <f t="shared" si="9"/>
        <v>...</v>
      </c>
      <c r="J72" s="151">
        <v>260070000</v>
      </c>
      <c r="K72" s="230">
        <f t="shared" si="10"/>
        <v>6.049546406140963</v>
      </c>
      <c r="L72" s="200">
        <f t="shared" si="7"/>
        <v>-46470000</v>
      </c>
      <c r="M72" s="243">
        <f t="shared" si="8"/>
        <v>-17.868266236013383</v>
      </c>
      <c r="BM72" s="154"/>
      <c r="BN72" s="154"/>
      <c r="BO72" s="140"/>
      <c r="BP72" s="140"/>
      <c r="BQ72" s="140"/>
      <c r="BR72" s="139"/>
    </row>
    <row r="73" spans="2:70" ht="13.5" customHeight="1">
      <c r="B73" s="80">
        <v>7512</v>
      </c>
      <c r="C73" s="97" t="s">
        <v>453</v>
      </c>
      <c r="D73" s="151">
        <v>900139686.06000018</v>
      </c>
      <c r="E73" s="230">
        <f t="shared" si="1"/>
        <v>19.549129895971337</v>
      </c>
      <c r="F73" s="151">
        <v>739264348.56578732</v>
      </c>
      <c r="G73" s="238">
        <f t="shared" si="2"/>
        <v>16.055257868732486</v>
      </c>
      <c r="H73" s="200">
        <f t="shared" si="11"/>
        <v>160875337.49421287</v>
      </c>
      <c r="I73" s="243">
        <f t="shared" si="9"/>
        <v>21.761544135912914</v>
      </c>
      <c r="J73" s="151">
        <v>352766852.38</v>
      </c>
      <c r="K73" s="230">
        <f t="shared" si="10"/>
        <v>8.2057886108397309</v>
      </c>
      <c r="L73" s="200">
        <f t="shared" si="7"/>
        <v>547372833.68000019</v>
      </c>
      <c r="M73" s="243">
        <f t="shared" si="8"/>
        <v>155.16560866959543</v>
      </c>
      <c r="BM73" s="154"/>
      <c r="BN73" s="154"/>
      <c r="BO73" s="140"/>
      <c r="BP73" s="140"/>
      <c r="BQ73" s="140"/>
      <c r="BR73" s="139"/>
    </row>
    <row r="74" spans="2:70" ht="13.5" customHeight="1" thickBot="1">
      <c r="B74" s="80">
        <v>72</v>
      </c>
      <c r="C74" s="103" t="s">
        <v>401</v>
      </c>
      <c r="D74" s="151">
        <v>15749081.709999999</v>
      </c>
      <c r="E74" s="235">
        <f t="shared" si="1"/>
        <v>0.34203674036268866</v>
      </c>
      <c r="F74" s="151">
        <v>16000000</v>
      </c>
      <c r="G74" s="241">
        <f t="shared" si="2"/>
        <v>0.34748615484851775</v>
      </c>
      <c r="H74" s="200">
        <f t="shared" si="11"/>
        <v>-250918.29000000097</v>
      </c>
      <c r="I74" s="243">
        <f t="shared" si="9"/>
        <v>-1.5682393125000118</v>
      </c>
      <c r="J74" s="151">
        <v>6191115.2299999995</v>
      </c>
      <c r="K74" s="235">
        <f t="shared" si="10"/>
        <v>0.14401291532914628</v>
      </c>
      <c r="L74" s="200">
        <f t="shared" si="7"/>
        <v>9557966.4800000004</v>
      </c>
      <c r="M74" s="243">
        <f t="shared" si="8"/>
        <v>154.38198329253194</v>
      </c>
      <c r="BM74" s="154"/>
      <c r="BN74" s="154"/>
      <c r="BO74" s="140"/>
      <c r="BP74" s="140"/>
      <c r="BQ74" s="140"/>
      <c r="BR74" s="139"/>
    </row>
    <row r="75" spans="2:70" ht="13.5" customHeight="1" thickTop="1" thickBot="1">
      <c r="C75" s="143" t="s">
        <v>454</v>
      </c>
      <c r="D75" s="156">
        <f>-D70-SUM(D72:D74)</f>
        <v>-204729886.19999993</v>
      </c>
      <c r="E75" s="233">
        <f t="shared" si="1"/>
        <v>-4.446300058638287</v>
      </c>
      <c r="F75" s="156">
        <f>-F70-SUM(F72:F74)</f>
        <v>-3.3328533172607422E-3</v>
      </c>
      <c r="G75" s="239">
        <f t="shared" si="2"/>
        <v>-7.23825239930664E-11</v>
      </c>
      <c r="H75" s="198">
        <f t="shared" si="11"/>
        <v>-204729886.19666708</v>
      </c>
      <c r="I75" s="245" t="s">
        <v>469</v>
      </c>
      <c r="J75" s="156">
        <f>-J70-SUM(J72:J74)-J61</f>
        <v>-23561306.350000151</v>
      </c>
      <c r="K75" s="233">
        <f t="shared" si="10"/>
        <v>-0.54806481391021522</v>
      </c>
      <c r="L75" s="205">
        <f t="shared" si="7"/>
        <v>-181168579.84999979</v>
      </c>
      <c r="M75" s="245" t="s">
        <v>469</v>
      </c>
      <c r="BM75" s="154"/>
      <c r="BN75" s="154"/>
      <c r="BO75" s="140"/>
      <c r="BP75" s="140"/>
      <c r="BQ75" s="140"/>
      <c r="BR75" s="139"/>
    </row>
    <row r="76" spans="2:70" s="182" customFormat="1" ht="13.5" thickTop="1">
      <c r="C76" s="183" t="str">
        <f>IF([1]MasterSheet!$A$1=1,[1]MasterSheet!C151,[1]MasterSheet!B151)</f>
        <v>Izvor: Ministarstvo finansija Crne Gore</v>
      </c>
      <c r="D76" s="188"/>
      <c r="E76" s="188"/>
      <c r="F76" s="187"/>
      <c r="G76" s="188"/>
      <c r="H76" s="188"/>
      <c r="I76" s="188"/>
      <c r="J76" s="187"/>
      <c r="K76" s="188"/>
      <c r="L76" s="188"/>
      <c r="M76" s="188"/>
    </row>
    <row r="77" spans="2:70" s="182" customFormat="1">
      <c r="C77" s="185"/>
      <c r="D77" s="297"/>
      <c r="E77" s="184"/>
      <c r="F77" s="189"/>
      <c r="G77" s="184"/>
      <c r="H77" s="184"/>
      <c r="I77" s="184"/>
      <c r="J77" s="189"/>
      <c r="K77" s="293"/>
      <c r="L77" s="184"/>
      <c r="M77" s="184"/>
    </row>
    <row r="78" spans="2:70" s="182" customFormat="1">
      <c r="F78" s="184"/>
      <c r="G78" s="184"/>
      <c r="H78" s="184"/>
      <c r="I78" s="184"/>
      <c r="J78" s="184"/>
      <c r="K78" s="184"/>
      <c r="L78" s="184"/>
      <c r="M78" s="184"/>
    </row>
    <row r="79" spans="2:70" s="182" customFormat="1">
      <c r="C79" s="186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zoomScaleNormal="100" workbookViewId="0">
      <selection activeCell="C44" sqref="C44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6" t="str">
        <f>+'Cental Budget'!C11</f>
        <v>BDP (u mil. €)</v>
      </c>
      <c r="D11" s="322">
        <f>+'Cental Budget'!D11:G11</f>
        <v>4604500000</v>
      </c>
      <c r="E11" s="323"/>
      <c r="F11" s="323"/>
      <c r="G11" s="324"/>
      <c r="H11" s="317"/>
      <c r="I11" s="318"/>
      <c r="J11" s="319">
        <f>+'Cental Budget'!J11:K11</f>
        <v>4299000000</v>
      </c>
      <c r="K11" s="320" t="e">
        <f>+'Cental Budget'!#REF!</f>
        <v>#REF!</v>
      </c>
      <c r="L11" s="317"/>
      <c r="M11" s="321"/>
      <c r="N11" s="196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25"/>
      <c r="E13" s="325"/>
      <c r="F13" s="86"/>
      <c r="G13" s="86"/>
      <c r="H13" s="86"/>
      <c r="I13" s="86"/>
      <c r="J13" s="325"/>
      <c r="K13" s="325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13" t="s">
        <v>258</v>
      </c>
      <c r="D14" s="315" t="s">
        <v>465</v>
      </c>
      <c r="E14" s="316"/>
      <c r="F14" s="315" t="s">
        <v>466</v>
      </c>
      <c r="G14" s="316"/>
      <c r="H14" s="315" t="str">
        <f>+'Cental Budget'!H14:I14</f>
        <v>Odstupanje</v>
      </c>
      <c r="I14" s="316"/>
      <c r="J14" s="315" t="s">
        <v>463</v>
      </c>
      <c r="K14" s="316"/>
      <c r="L14" s="315" t="str">
        <f>+H14</f>
        <v>Odstupanje</v>
      </c>
      <c r="M14" s="316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14"/>
      <c r="D15" s="147" t="str">
        <f>IF(MasterSheet!$A$1=1,MasterSheet!C71,MasterSheet!C70)</f>
        <v>mil. €</v>
      </c>
      <c r="E15" s="152" t="str">
        <f>IF(MasterSheet!$A$1=1,MasterSheet!D71,MasterSheet!D70)</f>
        <v>% BDP</v>
      </c>
      <c r="F15" s="147" t="str">
        <f>IF(MasterSheet!$A$1=1,MasterSheet!E71,MasterSheet!E70)</f>
        <v>mil. €</v>
      </c>
      <c r="G15" s="152" t="str">
        <f>IF(MasterSheet!$A$1=1,MasterSheet!F71,MasterSheet!F70)</f>
        <v>% BDP</v>
      </c>
      <c r="H15" s="147" t="str">
        <f>IF(MasterSheet!$A$1=1,MasterSheet!G71,MasterSheet!G70)</f>
        <v>mil. €</v>
      </c>
      <c r="I15" s="152" t="s">
        <v>439</v>
      </c>
      <c r="J15" s="147" t="str">
        <f>IF(MasterSheet!$A$1=1,MasterSheet!I71,MasterSheet!I70)</f>
        <v>mil. €</v>
      </c>
      <c r="K15" s="152" t="str">
        <f>IF(MasterSheet!$A$1=1,MasterSheet!J71,MasterSheet!J70)</f>
        <v>% BDP</v>
      </c>
      <c r="L15" s="147" t="str">
        <f>IF(MasterSheet!$A$1=1,MasterSheet!K71,MasterSheet!K70)</f>
        <v>mil. €</v>
      </c>
      <c r="M15" s="15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48" t="str">
        <f>IF(MasterSheet!$A$1=1,MasterSheet!C72,MasterSheet!B72)</f>
        <v>Izvorni prihodi</v>
      </c>
      <c r="D16" s="207">
        <f>+D17+D21+D22+D23+D24+D25</f>
        <v>223433812.39000005</v>
      </c>
      <c r="E16" s="249">
        <f>+D16/$D$11*100</f>
        <v>4.8525097706591387</v>
      </c>
      <c r="F16" s="207">
        <f>+F17+F21+F22+F23+F24+F25</f>
        <v>231194306.51055121</v>
      </c>
      <c r="G16" s="249">
        <f t="shared" ref="G16:G60" si="0">+F16/$D$11*100</f>
        <v>5.021051287013818</v>
      </c>
      <c r="H16" s="207">
        <f>+D16-F16</f>
        <v>-7760494.1205511689</v>
      </c>
      <c r="I16" s="249">
        <f>+D16/F16*100-100</f>
        <v>-3.3566977654776196</v>
      </c>
      <c r="J16" s="207">
        <f>+J17+J21+J22+J23+J24+J25</f>
        <v>219122420.69000003</v>
      </c>
      <c r="K16" s="249">
        <f>+J16/$J$11*100</f>
        <v>5.0970556103745057</v>
      </c>
      <c r="L16" s="207">
        <f>+D16-J16</f>
        <v>4311391.7000000179</v>
      </c>
      <c r="M16" s="249">
        <f>+D16/J16*100-100</f>
        <v>1.9675721390918284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08">
        <f>+SUM(D18:D20)</f>
        <v>150875306.33000001</v>
      </c>
      <c r="E17" s="250">
        <f t="shared" ref="E17:E60" si="1">+D17/$D$11*100</f>
        <v>3.2766925036377459</v>
      </c>
      <c r="F17" s="208">
        <f>+SUM(F18:F20)</f>
        <v>138549835.36855122</v>
      </c>
      <c r="G17" s="250">
        <f t="shared" si="0"/>
        <v>3.0090093466945649</v>
      </c>
      <c r="H17" s="209">
        <f t="shared" ref="H17:H59" si="2">+D17-F17</f>
        <v>12325470.961448789</v>
      </c>
      <c r="I17" s="258">
        <f t="shared" ref="I17:I60" si="3">+D17/F17*100-100</f>
        <v>8.8960560138251026</v>
      </c>
      <c r="J17" s="208">
        <f>+J18+J19+J20</f>
        <v>133196468.59</v>
      </c>
      <c r="K17" s="250">
        <f t="shared" ref="K17:K60" si="4">+J17/$J$11*100</f>
        <v>3.0983128306582928</v>
      </c>
      <c r="L17" s="209">
        <f t="shared" ref="L17:L60" si="5">+D17-J17</f>
        <v>17678837.74000001</v>
      </c>
      <c r="M17" s="258">
        <f t="shared" ref="M17:M60" si="6">+D17/J17*100-100</f>
        <v>13.272752594078369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10">
        <v>38323205.640000001</v>
      </c>
      <c r="E18" s="251">
        <f t="shared" si="1"/>
        <v>0.83229896058203934</v>
      </c>
      <c r="F18" s="210">
        <v>34229648.303904183</v>
      </c>
      <c r="G18" s="251">
        <f t="shared" si="0"/>
        <v>0.74339555443379701</v>
      </c>
      <c r="H18" s="211">
        <f>+D18-F18</f>
        <v>4093557.3360958174</v>
      </c>
      <c r="I18" s="259">
        <f>+D18/F18*100-100</f>
        <v>11.959098439316747</v>
      </c>
      <c r="J18" s="210">
        <v>33638773.960000001</v>
      </c>
      <c r="K18" s="251">
        <f t="shared" si="4"/>
        <v>0.78247904070714125</v>
      </c>
      <c r="L18" s="211">
        <f>+D18-J18</f>
        <v>4684431.68</v>
      </c>
      <c r="M18" s="259">
        <f>+D18/J18*100-100</f>
        <v>13.925690887457051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10">
        <v>16516369.609999998</v>
      </c>
      <c r="E19" s="251">
        <f t="shared" si="1"/>
        <v>0.35870061048973828</v>
      </c>
      <c r="F19" s="210">
        <v>16694083.174847035</v>
      </c>
      <c r="G19" s="251">
        <f t="shared" si="0"/>
        <v>0.36256017319680822</v>
      </c>
      <c r="H19" s="211">
        <f>+D19-F19</f>
        <v>-177713.5648470372</v>
      </c>
      <c r="I19" s="259">
        <f>+D19/F19*100-100</f>
        <v>-1.0645302469488058</v>
      </c>
      <c r="J19" s="210">
        <v>13649749.639999997</v>
      </c>
      <c r="K19" s="251">
        <f t="shared" si="4"/>
        <v>0.31750987764596406</v>
      </c>
      <c r="L19" s="211">
        <f>+D19-J19</f>
        <v>2866619.9700000007</v>
      </c>
      <c r="M19" s="259">
        <f>+D19/J19*100-100</f>
        <v>21.001264093514905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1:82" ht="15" customHeight="1">
      <c r="B20" s="80">
        <v>7117</v>
      </c>
      <c r="C20" s="97" t="s">
        <v>11</v>
      </c>
      <c r="D20" s="210">
        <v>96035731.080000013</v>
      </c>
      <c r="E20" s="251">
        <f t="shared" si="1"/>
        <v>2.0856929325659683</v>
      </c>
      <c r="F20" s="210">
        <v>87626103.889800012</v>
      </c>
      <c r="G20" s="251">
        <f t="shared" si="0"/>
        <v>1.9030536190639595</v>
      </c>
      <c r="H20" s="211">
        <f>+D20-F20</f>
        <v>8409627.190200001</v>
      </c>
      <c r="I20" s="259">
        <f>+D20/F20*100-100</f>
        <v>9.5971711817474841</v>
      </c>
      <c r="J20" s="210">
        <v>85907944.99000001</v>
      </c>
      <c r="K20" s="251">
        <f t="shared" si="4"/>
        <v>1.9983239123051875</v>
      </c>
      <c r="L20" s="211">
        <f>+D20-J20</f>
        <v>10127786.090000004</v>
      </c>
      <c r="M20" s="259">
        <f>+D20/J20*100-100</f>
        <v>11.789114605382437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94">
        <v>5789035.5299999993</v>
      </c>
      <c r="E21" s="229">
        <f t="shared" si="1"/>
        <v>0.12572560603757191</v>
      </c>
      <c r="F21" s="94">
        <v>6688754.6316</v>
      </c>
      <c r="G21" s="229">
        <f t="shared" si="0"/>
        <v>0.14526560172874362</v>
      </c>
      <c r="H21" s="197">
        <f t="shared" si="2"/>
        <v>-899719.10160000063</v>
      </c>
      <c r="I21" s="242">
        <f t="shared" si="3"/>
        <v>-13.451220012607649</v>
      </c>
      <c r="J21" s="94">
        <v>6557602.5800000001</v>
      </c>
      <c r="K21" s="232">
        <f t="shared" si="4"/>
        <v>0.15253785950220983</v>
      </c>
      <c r="L21" s="197">
        <f t="shared" si="5"/>
        <v>-768567.05000000075</v>
      </c>
      <c r="M21" s="242">
        <f t="shared" si="6"/>
        <v>-11.720244412859813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94">
        <v>49284788.490000017</v>
      </c>
      <c r="E22" s="229">
        <f t="shared" si="1"/>
        <v>1.070361352807037</v>
      </c>
      <c r="F22" s="94">
        <v>67020267.843200006</v>
      </c>
      <c r="G22" s="229">
        <f>+F22/$D$11*100</f>
        <v>1.4555384481094582</v>
      </c>
      <c r="H22" s="197">
        <f>+D22-F22</f>
        <v>-17735479.353199989</v>
      </c>
      <c r="I22" s="242">
        <f>+D22/F22*100-100</f>
        <v>-26.462859555700007</v>
      </c>
      <c r="J22" s="94">
        <v>60804184.160000004</v>
      </c>
      <c r="K22" s="232">
        <f t="shared" si="4"/>
        <v>1.4143797199348687</v>
      </c>
      <c r="L22" s="197">
        <f t="shared" si="5"/>
        <v>-11519395.669999987</v>
      </c>
      <c r="M22" s="242">
        <f t="shared" si="6"/>
        <v>-18.945070687385382</v>
      </c>
      <c r="BY22" s="138"/>
      <c r="BZ22" s="138"/>
      <c r="CA22" s="138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12">
        <v>14603136.58</v>
      </c>
      <c r="E23" s="252">
        <f t="shared" si="1"/>
        <v>0.31714923618199586</v>
      </c>
      <c r="F23" s="212">
        <v>13646646.0042</v>
      </c>
      <c r="G23" s="252">
        <f t="shared" si="0"/>
        <v>0.2963762841611467</v>
      </c>
      <c r="H23" s="213">
        <f t="shared" si="2"/>
        <v>956490.57579999976</v>
      </c>
      <c r="I23" s="260">
        <f t="shared" si="3"/>
        <v>7.0089791697214281</v>
      </c>
      <c r="J23" s="212">
        <v>13379064.710000001</v>
      </c>
      <c r="K23" s="252">
        <f t="shared" si="4"/>
        <v>0.31121341498022798</v>
      </c>
      <c r="L23" s="213">
        <f t="shared" si="5"/>
        <v>1224071.8699999992</v>
      </c>
      <c r="M23" s="260">
        <f t="shared" si="6"/>
        <v>9.1491587531158558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12">
        <v>0</v>
      </c>
      <c r="E24" s="252">
        <f t="shared" si="1"/>
        <v>0</v>
      </c>
      <c r="F24" s="212">
        <v>0</v>
      </c>
      <c r="G24" s="252">
        <f t="shared" si="0"/>
        <v>0</v>
      </c>
      <c r="H24" s="213">
        <f t="shared" si="2"/>
        <v>0</v>
      </c>
      <c r="I24" s="259" t="e">
        <f t="shared" si="3"/>
        <v>#DIV/0!</v>
      </c>
      <c r="J24" s="212">
        <v>0</v>
      </c>
      <c r="K24" s="252">
        <f t="shared" si="4"/>
        <v>0</v>
      </c>
      <c r="L24" s="213">
        <f t="shared" si="5"/>
        <v>0</v>
      </c>
      <c r="M24" s="260" t="e">
        <f t="shared" si="6"/>
        <v>#DIV/0!</v>
      </c>
      <c r="BX24" s="100"/>
      <c r="BY24" s="100"/>
      <c r="BZ24" s="99"/>
      <c r="CA24" s="140"/>
      <c r="CB24" s="140"/>
      <c r="CC24" s="140"/>
      <c r="CD24" s="139"/>
    </row>
    <row r="25" spans="1:82" ht="13.5" customHeight="1" thickBot="1">
      <c r="B25" s="80">
        <v>74</v>
      </c>
      <c r="C25" s="93" t="s">
        <v>122</v>
      </c>
      <c r="D25" s="212">
        <v>2881545.46</v>
      </c>
      <c r="E25" s="252">
        <f t="shared" si="1"/>
        <v>6.2581071994787713E-2</v>
      </c>
      <c r="F25" s="212">
        <v>5288802.6630000006</v>
      </c>
      <c r="G25" s="252">
        <f t="shared" si="0"/>
        <v>0.11486160631990446</v>
      </c>
      <c r="H25" s="213">
        <f t="shared" si="2"/>
        <v>-2407257.2030000007</v>
      </c>
      <c r="I25" s="260">
        <f t="shared" si="3"/>
        <v>-45.516109342497515</v>
      </c>
      <c r="J25" s="212">
        <v>5185100.6500000004</v>
      </c>
      <c r="K25" s="252">
        <f t="shared" si="4"/>
        <v>0.12061178529890672</v>
      </c>
      <c r="L25" s="213">
        <f t="shared" si="5"/>
        <v>-2303555.1900000004</v>
      </c>
      <c r="M25" s="260">
        <f t="shared" si="6"/>
        <v>-44.426431529347468</v>
      </c>
      <c r="BY25" s="141"/>
      <c r="BZ25" s="141"/>
      <c r="CA25" s="140"/>
      <c r="CB25" s="140"/>
      <c r="CC25" s="140"/>
      <c r="CD25" s="139"/>
    </row>
    <row r="26" spans="1:82" ht="15" customHeight="1" thickTop="1" thickBot="1">
      <c r="B26" s="102"/>
      <c r="C26" s="148" t="str">
        <f>IF(MasterSheet!$A$1=1,MasterSheet!C104,MasterSheet!B104)</f>
        <v>Izdaci</v>
      </c>
      <c r="D26" s="214">
        <f>+D28+D37+D39+D40+D41+D42+D43+D44+D45</f>
        <v>237495978.12400001</v>
      </c>
      <c r="E26" s="253">
        <f t="shared" si="1"/>
        <v>5.1579102643935286</v>
      </c>
      <c r="F26" s="214">
        <f>+F28+F37+F39+F40+F41+F42+F43+F44+F45</f>
        <v>186406617.11379999</v>
      </c>
      <c r="G26" s="253">
        <f t="shared" si="0"/>
        <v>4.0483574136996419</v>
      </c>
      <c r="H26" s="214">
        <f t="shared" si="2"/>
        <v>51089361.010200024</v>
      </c>
      <c r="I26" s="253">
        <f t="shared" si="3"/>
        <v>27.407482524619994</v>
      </c>
      <c r="J26" s="214">
        <f>+J28+J37+J39+J40+J41+J42+J43+J44</f>
        <v>209326250.91999993</v>
      </c>
      <c r="K26" s="276">
        <f t="shared" si="4"/>
        <v>4.8691847155152344</v>
      </c>
      <c r="L26" s="214">
        <f t="shared" si="5"/>
        <v>28169727.204000086</v>
      </c>
      <c r="M26" s="253">
        <f t="shared" si="6"/>
        <v>13.457331357243845</v>
      </c>
      <c r="BY26" s="81"/>
      <c r="BZ26" s="81"/>
      <c r="CA26" s="140"/>
      <c r="CB26" s="140"/>
      <c r="CC26" s="140"/>
      <c r="CD26" s="139"/>
    </row>
    <row r="27" spans="1:82" ht="13.5" customHeight="1" thickTop="1" thickBot="1">
      <c r="C27" s="148" t="str">
        <f>IF(MasterSheet!$A$1=1,MasterSheet!C105,MasterSheet!B105)</f>
        <v>Tekuća budžetska potrošnja</v>
      </c>
      <c r="D27" s="214">
        <f>+D26-D40</f>
        <v>184153170.604</v>
      </c>
      <c r="E27" s="253">
        <f t="shared" si="1"/>
        <v>3.9994173222716909</v>
      </c>
      <c r="F27" s="214">
        <f>+F26-F40</f>
        <v>134360304.2816</v>
      </c>
      <c r="G27" s="253">
        <f t="shared" si="0"/>
        <v>2.9180215936931262</v>
      </c>
      <c r="H27" s="214">
        <f t="shared" si="2"/>
        <v>49792866.322400004</v>
      </c>
      <c r="I27" s="253">
        <f t="shared" si="3"/>
        <v>37.059209257253002</v>
      </c>
      <c r="J27" s="214">
        <f>+J26-J40</f>
        <v>163202414.80999994</v>
      </c>
      <c r="K27" s="276">
        <f t="shared" si="4"/>
        <v>3.7962878532216782</v>
      </c>
      <c r="L27" s="214">
        <f t="shared" si="5"/>
        <v>20950755.794000059</v>
      </c>
      <c r="M27" s="253">
        <f t="shared" si="6"/>
        <v>12.837282964465274</v>
      </c>
      <c r="BY27" s="141"/>
      <c r="BZ27" s="141"/>
      <c r="CA27" s="140"/>
      <c r="CB27" s="140"/>
      <c r="CC27" s="140"/>
      <c r="CD27" s="139"/>
    </row>
    <row r="28" spans="1:82" ht="13.5" customHeight="1" thickTop="1">
      <c r="A28" s="80">
        <v>41</v>
      </c>
      <c r="C28" s="93" t="str">
        <f>+'Cental Budget'!C37</f>
        <v>Tekući izdaci</v>
      </c>
      <c r="D28" s="94">
        <f>+SUM(D29:D36)</f>
        <v>81865991.943999991</v>
      </c>
      <c r="E28" s="229">
        <f t="shared" si="1"/>
        <v>1.7779561720925181</v>
      </c>
      <c r="F28" s="94">
        <f>+SUM(F29:F36)</f>
        <v>82309150.696999997</v>
      </c>
      <c r="G28" s="229">
        <f t="shared" si="0"/>
        <v>1.7875806427842329</v>
      </c>
      <c r="H28" s="197">
        <f t="shared" si="2"/>
        <v>-443158.75300000608</v>
      </c>
      <c r="I28" s="242">
        <f t="shared" si="3"/>
        <v>-0.53840763663251323</v>
      </c>
      <c r="J28" s="94">
        <f>+SUM(J29:J36)</f>
        <v>80236963.439999968</v>
      </c>
      <c r="K28" s="232">
        <f t="shared" si="4"/>
        <v>1.8664099427773893</v>
      </c>
      <c r="L28" s="197">
        <f t="shared" si="5"/>
        <v>1629028.504000023</v>
      </c>
      <c r="M28" s="242">
        <f t="shared" si="6"/>
        <v>2.0302718773974817</v>
      </c>
      <c r="BY28" s="141"/>
      <c r="BZ28" s="141"/>
      <c r="CA28" s="140"/>
      <c r="CB28" s="140"/>
      <c r="CC28" s="140"/>
      <c r="CD28" s="139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12">
        <v>47719620.219999999</v>
      </c>
      <c r="E29" s="252">
        <f t="shared" si="1"/>
        <v>1.036369208817461</v>
      </c>
      <c r="F29" s="212">
        <v>48147142.78459999</v>
      </c>
      <c r="G29" s="252">
        <f t="shared" si="0"/>
        <v>1.0456540945727004</v>
      </c>
      <c r="H29" s="213">
        <f t="shared" si="2"/>
        <v>-427522.56459999084</v>
      </c>
      <c r="I29" s="260">
        <f t="shared" si="3"/>
        <v>-0.88795002127672262</v>
      </c>
      <c r="J29" s="212">
        <v>46744798.819999985</v>
      </c>
      <c r="K29" s="252">
        <f t="shared" si="4"/>
        <v>1.087341214701093</v>
      </c>
      <c r="L29" s="213">
        <f t="shared" si="5"/>
        <v>974821.40000001341</v>
      </c>
      <c r="M29" s="260">
        <f t="shared" si="6"/>
        <v>2.0854114780849926</v>
      </c>
      <c r="BY29" s="141"/>
      <c r="BZ29" s="141"/>
      <c r="CA29" s="140"/>
      <c r="CB29" s="140"/>
      <c r="CC29" s="140"/>
      <c r="CD29" s="139"/>
    </row>
    <row r="30" spans="1:82" ht="13.5" customHeight="1">
      <c r="B30" s="80">
        <v>412</v>
      </c>
      <c r="C30" s="93" t="str">
        <f>+'Cental Budget'!C39</f>
        <v>Ostala lična primanja</v>
      </c>
      <c r="D30" s="212">
        <v>3542549.6899999995</v>
      </c>
      <c r="E30" s="252">
        <f t="shared" si="1"/>
        <v>7.6936685633619273E-2</v>
      </c>
      <c r="F30" s="212">
        <v>3292350.8592000003</v>
      </c>
      <c r="G30" s="252">
        <f t="shared" si="0"/>
        <v>7.1502896279726363E-2</v>
      </c>
      <c r="H30" s="213">
        <f t="shared" si="2"/>
        <v>250198.83079999918</v>
      </c>
      <c r="I30" s="260">
        <f t="shared" si="3"/>
        <v>7.5993975581567952</v>
      </c>
      <c r="J30" s="212">
        <v>3227794.9600000004</v>
      </c>
      <c r="K30" s="252">
        <f t="shared" si="4"/>
        <v>7.5082460107001633E-2</v>
      </c>
      <c r="L30" s="213">
        <f t="shared" si="5"/>
        <v>314754.72999999905</v>
      </c>
      <c r="M30" s="260">
        <f t="shared" si="6"/>
        <v>9.7513855093199311</v>
      </c>
      <c r="BY30" s="141"/>
      <c r="BZ30" s="141"/>
      <c r="CA30" s="140"/>
      <c r="CB30" s="140"/>
      <c r="CC30" s="140"/>
      <c r="CD30" s="139"/>
    </row>
    <row r="31" spans="1:82" ht="13.5" customHeight="1">
      <c r="B31" s="80">
        <v>413</v>
      </c>
      <c r="C31" s="93" t="str">
        <f>+'Cental Budget'!C40</f>
        <v>Rashodi za materijal i usluge</v>
      </c>
      <c r="D31" s="212">
        <v>15668020.629999999</v>
      </c>
      <c r="E31" s="252">
        <f t="shared" si="1"/>
        <v>0.34027626517537191</v>
      </c>
      <c r="F31" s="212">
        <v>15051614.465399999</v>
      </c>
      <c r="G31" s="252">
        <f t="shared" si="0"/>
        <v>0.32688922717776087</v>
      </c>
      <c r="H31" s="213">
        <f t="shared" si="2"/>
        <v>616406.16459999979</v>
      </c>
      <c r="I31" s="260">
        <f t="shared" si="3"/>
        <v>4.095282708821486</v>
      </c>
      <c r="J31" s="212">
        <v>14756484.77</v>
      </c>
      <c r="K31" s="252">
        <f t="shared" si="4"/>
        <v>0.34325389090486158</v>
      </c>
      <c r="L31" s="213">
        <f t="shared" si="5"/>
        <v>911535.8599999994</v>
      </c>
      <c r="M31" s="260">
        <f t="shared" si="6"/>
        <v>6.1771883629979243</v>
      </c>
      <c r="BY31" s="141"/>
      <c r="BZ31" s="141"/>
      <c r="CA31" s="140"/>
      <c r="CB31" s="140"/>
      <c r="CC31" s="140"/>
      <c r="CD31" s="139"/>
    </row>
    <row r="32" spans="1:82" ht="13.5" customHeight="1">
      <c r="B32" s="80">
        <v>415</v>
      </c>
      <c r="C32" s="93" t="str">
        <f>+'Cental Budget'!C41</f>
        <v>Rashodi za tekuće održavanje</v>
      </c>
      <c r="D32" s="212">
        <v>5293071.7440000009</v>
      </c>
      <c r="E32" s="252">
        <f t="shared" si="1"/>
        <v>0.11495432172874363</v>
      </c>
      <c r="F32" s="212">
        <v>6294691.6668000016</v>
      </c>
      <c r="G32" s="252">
        <f t="shared" si="0"/>
        <v>0.13670738770333374</v>
      </c>
      <c r="H32" s="213">
        <f t="shared" si="2"/>
        <v>-1001619.9228000008</v>
      </c>
      <c r="I32" s="260">
        <f t="shared" si="3"/>
        <v>-15.912136381243741</v>
      </c>
      <c r="J32" s="212">
        <v>6171266.3400000017</v>
      </c>
      <c r="K32" s="252">
        <f t="shared" si="4"/>
        <v>0.14355120586182837</v>
      </c>
      <c r="L32" s="213">
        <f t="shared" si="5"/>
        <v>-878194.59600000083</v>
      </c>
      <c r="M32" s="260">
        <f t="shared" si="6"/>
        <v>-14.230379108868604</v>
      </c>
      <c r="BY32" s="141"/>
      <c r="BZ32" s="141"/>
      <c r="CA32" s="140"/>
      <c r="CB32" s="140"/>
      <c r="CC32" s="140"/>
      <c r="CD32" s="139"/>
    </row>
    <row r="33" spans="1:82" ht="13.5" customHeight="1">
      <c r="B33" s="80">
        <v>416</v>
      </c>
      <c r="C33" s="93" t="str">
        <f>+'Cental Budget'!C42</f>
        <v>Kamate</v>
      </c>
      <c r="D33" s="212">
        <v>3332013.5500000003</v>
      </c>
      <c r="E33" s="252">
        <f t="shared" si="1"/>
        <v>7.2364286024541216E-2</v>
      </c>
      <c r="F33" s="212">
        <v>3884847.7554000006</v>
      </c>
      <c r="G33" s="252">
        <f t="shared" si="0"/>
        <v>8.4370675543490078E-2</v>
      </c>
      <c r="H33" s="213">
        <f t="shared" si="2"/>
        <v>-552834.20540000033</v>
      </c>
      <c r="I33" s="260">
        <f t="shared" si="3"/>
        <v>-14.230524339893421</v>
      </c>
      <c r="J33" s="212">
        <v>3808674.2700000005</v>
      </c>
      <c r="K33" s="252">
        <f t="shared" si="4"/>
        <v>8.8594423586880688E-2</v>
      </c>
      <c r="L33" s="213">
        <f t="shared" si="5"/>
        <v>-476660.7200000002</v>
      </c>
      <c r="M33" s="260">
        <f t="shared" si="6"/>
        <v>-12.515134826691281</v>
      </c>
      <c r="BY33" s="141"/>
      <c r="BZ33" s="141"/>
      <c r="CA33" s="140"/>
      <c r="CB33" s="140"/>
      <c r="CC33" s="140"/>
      <c r="CD33" s="139"/>
    </row>
    <row r="34" spans="1:82" ht="13.5" customHeight="1">
      <c r="B34" s="80">
        <v>417</v>
      </c>
      <c r="C34" s="93" t="str">
        <f>+'Cental Budget'!C43</f>
        <v>Renta</v>
      </c>
      <c r="D34" s="212">
        <v>623559.5</v>
      </c>
      <c r="E34" s="252">
        <f t="shared" si="1"/>
        <v>1.3542393310891519E-2</v>
      </c>
      <c r="F34" s="212">
        <v>595589.8014</v>
      </c>
      <c r="G34" s="252">
        <f t="shared" si="0"/>
        <v>1.2934950622217398E-2</v>
      </c>
      <c r="H34" s="213">
        <f t="shared" si="2"/>
        <v>27969.698600000003</v>
      </c>
      <c r="I34" s="260">
        <f t="shared" si="3"/>
        <v>4.696134576894039</v>
      </c>
      <c r="J34" s="212">
        <v>583911.56999999995</v>
      </c>
      <c r="K34" s="252">
        <f t="shared" si="4"/>
        <v>1.3582497557571528E-2</v>
      </c>
      <c r="L34" s="213">
        <f t="shared" si="5"/>
        <v>39647.930000000051</v>
      </c>
      <c r="M34" s="260">
        <f t="shared" si="6"/>
        <v>6.7900572684319371</v>
      </c>
      <c r="BY34" s="141"/>
      <c r="BZ34" s="141"/>
      <c r="CA34" s="140"/>
      <c r="CB34" s="140"/>
      <c r="CC34" s="140"/>
      <c r="CD34" s="139"/>
    </row>
    <row r="35" spans="1:82" ht="13.5" customHeight="1">
      <c r="B35" s="80">
        <v>418</v>
      </c>
      <c r="C35" s="93" t="str">
        <f>+'Cental Budget'!C44</f>
        <v>Subvencije</v>
      </c>
      <c r="D35" s="212">
        <v>1519123.88</v>
      </c>
      <c r="E35" s="252">
        <f t="shared" si="1"/>
        <v>3.2992157237485067E-2</v>
      </c>
      <c r="F35" s="212">
        <v>1237471.8437999999</v>
      </c>
      <c r="G35" s="252">
        <f t="shared" si="0"/>
        <v>2.6875270795960471E-2</v>
      </c>
      <c r="H35" s="213">
        <f t="shared" si="2"/>
        <v>281652.03619999997</v>
      </c>
      <c r="I35" s="260">
        <f t="shared" si="3"/>
        <v>22.760278353898485</v>
      </c>
      <c r="J35" s="212">
        <v>1213207.69</v>
      </c>
      <c r="K35" s="252">
        <f t="shared" si="4"/>
        <v>2.8220695277971618E-2</v>
      </c>
      <c r="L35" s="213">
        <f t="shared" si="5"/>
        <v>305916.18999999994</v>
      </c>
      <c r="M35" s="260">
        <f t="shared" si="6"/>
        <v>25.215483920976453</v>
      </c>
      <c r="BY35" s="141"/>
      <c r="BZ35" s="141"/>
      <c r="CA35" s="140"/>
      <c r="CB35" s="140"/>
      <c r="CC35" s="140"/>
      <c r="CD35" s="139"/>
    </row>
    <row r="36" spans="1:82" ht="13.5" customHeight="1">
      <c r="B36" s="80">
        <v>419</v>
      </c>
      <c r="C36" s="93" t="str">
        <f>+'Cental Budget'!C45</f>
        <v>Ostali izdaci</v>
      </c>
      <c r="D36" s="212">
        <v>4168032.7299999995</v>
      </c>
      <c r="E36" s="252">
        <f t="shared" si="1"/>
        <v>9.0520854164404377E-2</v>
      </c>
      <c r="F36" s="212">
        <v>3805441.5203999993</v>
      </c>
      <c r="G36" s="252">
        <f t="shared" si="0"/>
        <v>8.2646140089043321E-2</v>
      </c>
      <c r="H36" s="213">
        <f t="shared" si="2"/>
        <v>362591.20960000018</v>
      </c>
      <c r="I36" s="260">
        <f t="shared" si="3"/>
        <v>9.5282297114865884</v>
      </c>
      <c r="J36" s="212">
        <v>3730825.0199999991</v>
      </c>
      <c r="K36" s="252">
        <f t="shared" si="4"/>
        <v>8.6783554780181418E-2</v>
      </c>
      <c r="L36" s="213">
        <f t="shared" si="5"/>
        <v>437207.71000000043</v>
      </c>
      <c r="M36" s="260">
        <f t="shared" si="6"/>
        <v>11.718794305716344</v>
      </c>
      <c r="BY36" s="141"/>
      <c r="BZ36" s="141"/>
      <c r="CA36" s="140"/>
      <c r="CB36" s="140"/>
      <c r="CC36" s="140"/>
      <c r="CD36" s="139"/>
    </row>
    <row r="37" spans="1:82" ht="13.5" customHeight="1">
      <c r="A37" s="80">
        <v>42</v>
      </c>
      <c r="B37" s="80" t="s">
        <v>427</v>
      </c>
      <c r="C37" s="93" t="str">
        <f>+'Cental Budget'!C47</f>
        <v>Transferi za socijalnu zaštitu</v>
      </c>
      <c r="D37" s="212">
        <f>+D38</f>
        <v>410356.91</v>
      </c>
      <c r="E37" s="252">
        <f t="shared" si="1"/>
        <v>8.9120840482137045E-3</v>
      </c>
      <c r="F37" s="212">
        <f>+F38</f>
        <v>828772.19520000007</v>
      </c>
      <c r="G37" s="252">
        <f t="shared" si="0"/>
        <v>1.7999178959713327E-2</v>
      </c>
      <c r="H37" s="213">
        <f t="shared" si="2"/>
        <v>-418415.2852000001</v>
      </c>
      <c r="I37" s="260">
        <f t="shared" si="3"/>
        <v>-50.486163462449142</v>
      </c>
      <c r="J37" s="212">
        <f>+J38</f>
        <v>812521.76</v>
      </c>
      <c r="K37" s="252">
        <f t="shared" si="4"/>
        <v>1.8900250290765294E-2</v>
      </c>
      <c r="L37" s="213">
        <f t="shared" si="5"/>
        <v>-402164.85000000003</v>
      </c>
      <c r="M37" s="260">
        <f t="shared" si="6"/>
        <v>-49.495886731698114</v>
      </c>
      <c r="BY37" s="141"/>
      <c r="BZ37" s="141"/>
      <c r="CA37" s="140"/>
      <c r="CB37" s="140"/>
      <c r="CC37" s="140"/>
      <c r="CD37" s="139"/>
    </row>
    <row r="38" spans="1:82" ht="13.5" customHeight="1">
      <c r="B38" s="80">
        <v>421</v>
      </c>
      <c r="C38" s="97" t="s">
        <v>88</v>
      </c>
      <c r="D38" s="210">
        <v>410356.91</v>
      </c>
      <c r="E38" s="251">
        <f>+D38/$D$11*100</f>
        <v>8.9120840482137045E-3</v>
      </c>
      <c r="F38" s="210">
        <v>828772.19520000007</v>
      </c>
      <c r="G38" s="251">
        <f t="shared" si="0"/>
        <v>1.7999178959713327E-2</v>
      </c>
      <c r="H38" s="211">
        <f>+D38-F38</f>
        <v>-418415.2852000001</v>
      </c>
      <c r="I38" s="259">
        <f>+D38/F38*100-100</f>
        <v>-50.486163462449142</v>
      </c>
      <c r="J38" s="210">
        <v>812521.76</v>
      </c>
      <c r="K38" s="251">
        <f t="shared" si="4"/>
        <v>1.8900250290765294E-2</v>
      </c>
      <c r="L38" s="211">
        <f>+D38-J38</f>
        <v>-402164.85000000003</v>
      </c>
      <c r="M38" s="259">
        <f>+D38/J38*100-100</f>
        <v>-49.495886731698114</v>
      </c>
      <c r="BY38" s="141"/>
      <c r="BZ38" s="141"/>
      <c r="CA38" s="140"/>
      <c r="CB38" s="140"/>
      <c r="CC38" s="140"/>
      <c r="CD38" s="139"/>
    </row>
    <row r="39" spans="1:82" ht="13.5" customHeight="1" thickBot="1">
      <c r="A39" s="80">
        <v>43</v>
      </c>
      <c r="C39" s="93" t="str">
        <f>+'Cental Budget'!C53</f>
        <v xml:space="preserve">Transferi institucijama, pojedincima, nevladinom i javnom sektoru </v>
      </c>
      <c r="D39" s="94">
        <v>52633005.979999997</v>
      </c>
      <c r="E39" s="229">
        <f t="shared" si="1"/>
        <v>1.1430775541318277</v>
      </c>
      <c r="F39" s="94">
        <v>46796920.986000001</v>
      </c>
      <c r="G39" s="229">
        <f t="shared" si="0"/>
        <v>1.0163301332609405</v>
      </c>
      <c r="H39" s="197">
        <f t="shared" si="2"/>
        <v>5836084.9939999953</v>
      </c>
      <c r="I39" s="242">
        <f t="shared" si="3"/>
        <v>12.471087565239486</v>
      </c>
      <c r="J39" s="149">
        <v>45879334.299999997</v>
      </c>
      <c r="K39" s="232">
        <f t="shared" si="4"/>
        <v>1.0672094510351244</v>
      </c>
      <c r="L39" s="197">
        <f t="shared" si="5"/>
        <v>6753671.6799999997</v>
      </c>
      <c r="M39" s="242">
        <f t="shared" si="6"/>
        <v>14.720509316544295</v>
      </c>
      <c r="BY39" s="141"/>
      <c r="BZ39" s="141"/>
      <c r="CA39" s="140"/>
      <c r="CB39" s="140"/>
      <c r="CC39" s="140"/>
      <c r="CD39" s="139"/>
    </row>
    <row r="40" spans="1:82" ht="13.5" customHeight="1" thickTop="1" thickBot="1">
      <c r="B40" s="80">
        <v>44</v>
      </c>
      <c r="C40" s="148" t="str">
        <f>+'Cental Budget'!C56</f>
        <v>Kapitalni budžet</v>
      </c>
      <c r="D40" s="214">
        <v>53342807.520000011</v>
      </c>
      <c r="E40" s="253">
        <f t="shared" si="1"/>
        <v>1.1584929421218375</v>
      </c>
      <c r="F40" s="215">
        <v>52046312.832199998</v>
      </c>
      <c r="G40" s="253">
        <f t="shared" si="0"/>
        <v>1.1303358200065152</v>
      </c>
      <c r="H40" s="214">
        <f t="shared" si="2"/>
        <v>1296494.6878000125</v>
      </c>
      <c r="I40" s="253">
        <f t="shared" si="3"/>
        <v>2.4910404162154123</v>
      </c>
      <c r="J40" s="215">
        <v>46123836.109999999</v>
      </c>
      <c r="K40" s="276">
        <f t="shared" si="4"/>
        <v>1.0728968622935566</v>
      </c>
      <c r="L40" s="214">
        <f t="shared" si="5"/>
        <v>7218971.4100000113</v>
      </c>
      <c r="M40" s="253">
        <f t="shared" si="6"/>
        <v>15.651281460595783</v>
      </c>
      <c r="BY40" s="141"/>
      <c r="BZ40" s="141"/>
      <c r="CA40" s="140"/>
      <c r="CB40" s="140"/>
      <c r="CC40" s="140"/>
      <c r="CD40" s="139"/>
    </row>
    <row r="41" spans="1:82" ht="13.5" customHeight="1" thickTop="1">
      <c r="B41" s="80">
        <v>451</v>
      </c>
      <c r="C41" s="93" t="str">
        <f>+'Cental Budget'!C57</f>
        <v>Pozajmice i krediti</v>
      </c>
      <c r="D41" s="212">
        <v>1554090.59</v>
      </c>
      <c r="E41" s="252">
        <f t="shared" si="1"/>
        <v>3.375156021283527E-2</v>
      </c>
      <c r="F41" s="212">
        <v>2389329.804</v>
      </c>
      <c r="G41" s="252">
        <f t="shared" si="0"/>
        <v>5.1891189141057656E-2</v>
      </c>
      <c r="H41" s="213">
        <f t="shared" si="2"/>
        <v>-835239.21399999992</v>
      </c>
      <c r="I41" s="260">
        <f t="shared" si="3"/>
        <v>-34.957049989571047</v>
      </c>
      <c r="J41" s="212">
        <v>2342480.2000000002</v>
      </c>
      <c r="K41" s="252">
        <f t="shared" si="4"/>
        <v>5.4488955571063043E-2</v>
      </c>
      <c r="L41" s="213">
        <f t="shared" si="5"/>
        <v>-788389.6100000001</v>
      </c>
      <c r="M41" s="260">
        <f t="shared" si="6"/>
        <v>-33.656190989362472</v>
      </c>
      <c r="BY41" s="141"/>
      <c r="BZ41" s="141"/>
      <c r="CA41" s="140"/>
      <c r="CB41" s="140"/>
      <c r="CC41" s="140"/>
      <c r="CD41" s="139"/>
    </row>
    <row r="42" spans="1:82" ht="13.5" customHeight="1" thickBot="1">
      <c r="B42" s="80">
        <v>47</v>
      </c>
      <c r="C42" s="93" t="str">
        <f>+'Cental Budget'!C58</f>
        <v>Rezerve</v>
      </c>
      <c r="D42" s="216">
        <v>3287121.29</v>
      </c>
      <c r="E42" s="254">
        <f t="shared" si="1"/>
        <v>7.1389321098924971E-2</v>
      </c>
      <c r="F42" s="216">
        <v>2036130.5993999997</v>
      </c>
      <c r="G42" s="254">
        <f t="shared" si="0"/>
        <v>4.42204495471821E-2</v>
      </c>
      <c r="H42" s="217">
        <f t="shared" si="2"/>
        <v>1250990.6906000003</v>
      </c>
      <c r="I42" s="261">
        <f t="shared" si="3"/>
        <v>61.439609569672882</v>
      </c>
      <c r="J42" s="216">
        <v>1996206.4699999997</v>
      </c>
      <c r="K42" s="254">
        <f t="shared" si="4"/>
        <v>4.6434204931379383E-2</v>
      </c>
      <c r="L42" s="217">
        <f t="shared" si="5"/>
        <v>1290914.8200000003</v>
      </c>
      <c r="M42" s="261">
        <f t="shared" si="6"/>
        <v>64.668401761066377</v>
      </c>
      <c r="BY42" s="141"/>
      <c r="BZ42" s="141"/>
      <c r="CA42" s="140"/>
      <c r="CB42" s="140"/>
      <c r="CC42" s="140"/>
      <c r="CD42" s="139"/>
    </row>
    <row r="43" spans="1:82" ht="13.5" customHeight="1" thickTop="1" thickBot="1">
      <c r="B43" s="80">
        <v>462</v>
      </c>
      <c r="C43" s="190" t="s">
        <v>112</v>
      </c>
      <c r="D43" s="218">
        <v>0</v>
      </c>
      <c r="E43" s="255">
        <f t="shared" si="1"/>
        <v>0</v>
      </c>
      <c r="F43" s="218">
        <v>0</v>
      </c>
      <c r="G43" s="255">
        <f t="shared" si="0"/>
        <v>0</v>
      </c>
      <c r="H43" s="219">
        <f t="shared" si="2"/>
        <v>0</v>
      </c>
      <c r="I43" s="261" t="e">
        <f t="shared" si="3"/>
        <v>#DIV/0!</v>
      </c>
      <c r="J43" s="218">
        <v>0</v>
      </c>
      <c r="K43" s="255">
        <f t="shared" si="4"/>
        <v>0</v>
      </c>
      <c r="L43" s="219">
        <f t="shared" si="5"/>
        <v>0</v>
      </c>
      <c r="M43" s="262" t="e">
        <f t="shared" si="6"/>
        <v>#DIV/0!</v>
      </c>
      <c r="BY43" s="141"/>
      <c r="BZ43" s="141"/>
      <c r="CA43" s="140"/>
      <c r="CB43" s="140"/>
      <c r="CC43" s="140"/>
      <c r="CD43" s="139"/>
    </row>
    <row r="44" spans="1:82" ht="13.5" customHeight="1" thickTop="1" thickBot="1">
      <c r="B44" s="80" t="s">
        <v>448</v>
      </c>
      <c r="C44" s="190" t="s">
        <v>446</v>
      </c>
      <c r="D44" s="212">
        <v>44402603.890000008</v>
      </c>
      <c r="E44" s="255">
        <f t="shared" si="1"/>
        <v>0.96433063068737135</v>
      </c>
      <c r="F44" s="224">
        <v>0</v>
      </c>
      <c r="G44" s="255">
        <f t="shared" si="0"/>
        <v>0</v>
      </c>
      <c r="H44" s="219">
        <f t="shared" si="2"/>
        <v>44402603.890000008</v>
      </c>
      <c r="I44" s="261" t="e">
        <f t="shared" si="3"/>
        <v>#DIV/0!</v>
      </c>
      <c r="J44" s="212">
        <v>31934908.639999997</v>
      </c>
      <c r="K44" s="255">
        <f t="shared" si="4"/>
        <v>0.74284504861595713</v>
      </c>
      <c r="L44" s="219">
        <f t="shared" si="5"/>
        <v>12467695.250000011</v>
      </c>
      <c r="M44" s="262">
        <f t="shared" si="6"/>
        <v>39.04096107036807</v>
      </c>
      <c r="BY44" s="141"/>
      <c r="BZ44" s="141"/>
      <c r="CA44" s="140"/>
      <c r="CB44" s="140"/>
      <c r="CC44" s="140"/>
      <c r="CD44" s="139"/>
    </row>
    <row r="45" spans="1:82" ht="13.5" customHeight="1" thickTop="1" thickBot="1">
      <c r="B45" s="80">
        <v>990</v>
      </c>
      <c r="C45" s="191" t="s">
        <v>151</v>
      </c>
      <c r="D45" s="220">
        <v>0</v>
      </c>
      <c r="E45" s="256">
        <f t="shared" si="1"/>
        <v>0</v>
      </c>
      <c r="F45" s="220">
        <v>0</v>
      </c>
      <c r="G45" s="256">
        <f t="shared" si="0"/>
        <v>0</v>
      </c>
      <c r="H45" s="221">
        <f t="shared" si="2"/>
        <v>0</v>
      </c>
      <c r="I45" s="261" t="e">
        <f t="shared" si="3"/>
        <v>#DIV/0!</v>
      </c>
      <c r="J45" s="220">
        <v>1949003.23</v>
      </c>
      <c r="K45" s="256">
        <f t="shared" si="4"/>
        <v>4.5336199813910211E-2</v>
      </c>
      <c r="L45" s="221">
        <f t="shared" si="5"/>
        <v>-1949003.23</v>
      </c>
      <c r="M45" s="262">
        <f t="shared" si="6"/>
        <v>-100</v>
      </c>
      <c r="BY45" s="141"/>
      <c r="BZ45" s="141"/>
      <c r="CA45" s="140"/>
      <c r="CB45" s="140"/>
      <c r="CC45" s="140"/>
      <c r="CD45" s="139"/>
    </row>
    <row r="46" spans="1:82" ht="13.5" customHeight="1" thickTop="1" thickBot="1">
      <c r="C46" s="148" t="str">
        <f>+'Cental Budget'!C62</f>
        <v>Suficit / deficit</v>
      </c>
      <c r="D46" s="214">
        <f>+D16-D26</f>
        <v>-14062165.733999968</v>
      </c>
      <c r="E46" s="253">
        <f t="shared" si="1"/>
        <v>-0.30540049373438954</v>
      </c>
      <c r="F46" s="214">
        <f>+F16-F26</f>
        <v>44787689.396751225</v>
      </c>
      <c r="G46" s="253">
        <f t="shared" si="0"/>
        <v>0.97269387331417578</v>
      </c>
      <c r="H46" s="214">
        <f>+D46-F46</f>
        <v>-58849855.130751193</v>
      </c>
      <c r="I46" s="253">
        <f t="shared" si="3"/>
        <v>-131.39739049592498</v>
      </c>
      <c r="J46" s="214">
        <f>+J16-J26</f>
        <v>9796169.7700001001</v>
      </c>
      <c r="K46" s="276">
        <f t="shared" si="4"/>
        <v>0.22787089485927192</v>
      </c>
      <c r="L46" s="214">
        <f t="shared" si="5"/>
        <v>-23858335.504000068</v>
      </c>
      <c r="M46" s="253">
        <f t="shared" si="6"/>
        <v>-243.54759119287726</v>
      </c>
      <c r="BY46" s="141"/>
      <c r="BZ46" s="141"/>
      <c r="CA46" s="140"/>
      <c r="CB46" s="140"/>
      <c r="CC46" s="140"/>
      <c r="CD46" s="139"/>
    </row>
    <row r="47" spans="1:82" ht="13.5" customHeight="1" thickTop="1" thickBot="1">
      <c r="C47" s="148" t="s">
        <v>471</v>
      </c>
      <c r="D47" s="214">
        <f>D46-D45</f>
        <v>-14062165.733999968</v>
      </c>
      <c r="E47" s="253">
        <f t="shared" si="1"/>
        <v>-0.30540049373438954</v>
      </c>
      <c r="F47" s="214">
        <f>F46-F45</f>
        <v>44787689.396751225</v>
      </c>
      <c r="G47" s="253">
        <f t="shared" si="0"/>
        <v>0.97269387331417578</v>
      </c>
      <c r="H47" s="214">
        <f>+D47-F47</f>
        <v>-58849855.130751193</v>
      </c>
      <c r="I47" s="253">
        <f t="shared" si="3"/>
        <v>-131.39739049592498</v>
      </c>
      <c r="J47" s="214">
        <f>J46-J45</f>
        <v>7847166.5400000997</v>
      </c>
      <c r="K47" s="276">
        <f t="shared" si="4"/>
        <v>0.18253469504536171</v>
      </c>
      <c r="L47" s="214">
        <f t="shared" ref="L47" si="7">+D47-J47</f>
        <v>-21909332.274000067</v>
      </c>
      <c r="M47" s="253">
        <f t="shared" ref="M47" si="8">+D47/J47*100-100</f>
        <v>-279.20055171914055</v>
      </c>
      <c r="BY47" s="141"/>
      <c r="BZ47" s="141"/>
      <c r="CA47" s="140"/>
      <c r="CB47" s="140"/>
      <c r="CC47" s="140"/>
      <c r="CD47" s="139"/>
    </row>
    <row r="48" spans="1:82" ht="13.5" customHeight="1" thickTop="1" thickBot="1">
      <c r="C48" s="148" t="str">
        <f>+'Cental Budget'!C64</f>
        <v>Primarni suficit/deficit</v>
      </c>
      <c r="D48" s="214">
        <f>+D46+D33</f>
        <v>-10730152.183999967</v>
      </c>
      <c r="E48" s="253">
        <f t="shared" si="1"/>
        <v>-0.23303620770984834</v>
      </c>
      <c r="F48" s="214">
        <f>+F46+F33</f>
        <v>48672537.152151227</v>
      </c>
      <c r="G48" s="253">
        <f t="shared" si="0"/>
        <v>1.0570645488576658</v>
      </c>
      <c r="H48" s="214">
        <f t="shared" si="2"/>
        <v>-59402689.336151198</v>
      </c>
      <c r="I48" s="253">
        <f t="shared" si="3"/>
        <v>-122.04559863081991</v>
      </c>
      <c r="J48" s="214">
        <f>+J47+J33</f>
        <v>11655840.810000099</v>
      </c>
      <c r="K48" s="276">
        <f t="shared" si="4"/>
        <v>0.27112911863224237</v>
      </c>
      <c r="L48" s="214">
        <f t="shared" si="5"/>
        <v>-22385992.994000066</v>
      </c>
      <c r="M48" s="253">
        <f t="shared" si="6"/>
        <v>-192.05815658355647</v>
      </c>
      <c r="BY48" s="141"/>
      <c r="BZ48" s="141"/>
      <c r="CA48" s="140"/>
      <c r="CB48" s="140"/>
      <c r="CC48" s="140"/>
      <c r="CD48" s="139"/>
    </row>
    <row r="49" spans="2:82" ht="13.5" customHeight="1" thickTop="1" thickBot="1">
      <c r="C49" s="148" t="str">
        <f>+'Cental Budget'!C65</f>
        <v>Otplata dugova</v>
      </c>
      <c r="D49" s="214">
        <f>+SUM(D50:D51)</f>
        <v>16319516.270000001</v>
      </c>
      <c r="E49" s="253">
        <f t="shared" si="1"/>
        <v>0.35442537235313282</v>
      </c>
      <c r="F49" s="214">
        <f>+SUM(F50:F52)</f>
        <v>49000000</v>
      </c>
      <c r="G49" s="253">
        <f t="shared" si="0"/>
        <v>1.0641763492235856</v>
      </c>
      <c r="H49" s="214">
        <f t="shared" si="2"/>
        <v>-32680483.729999997</v>
      </c>
      <c r="I49" s="253">
        <f t="shared" si="3"/>
        <v>-66.694864755102031</v>
      </c>
      <c r="J49" s="214">
        <f>+SUM(J50:J51)</f>
        <v>13189279.220000003</v>
      </c>
      <c r="K49" s="276">
        <f t="shared" si="4"/>
        <v>0.30679877227262159</v>
      </c>
      <c r="L49" s="214">
        <f t="shared" si="5"/>
        <v>3130237.0499999989</v>
      </c>
      <c r="M49" s="253">
        <f t="shared" si="6"/>
        <v>23.733192677074882</v>
      </c>
      <c r="BY49" s="141"/>
      <c r="BZ49" s="141"/>
      <c r="CA49" s="140"/>
      <c r="CB49" s="140"/>
      <c r="CC49" s="140"/>
      <c r="CD49" s="139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22">
        <v>13871931.370000001</v>
      </c>
      <c r="E50" s="257">
        <f t="shared" si="1"/>
        <v>0.30126900575523946</v>
      </c>
      <c r="F50" s="222">
        <v>12000000</v>
      </c>
      <c r="G50" s="257">
        <f t="shared" si="0"/>
        <v>0.26061461613638831</v>
      </c>
      <c r="H50" s="223">
        <f t="shared" si="2"/>
        <v>1871931.370000001</v>
      </c>
      <c r="I50" s="263">
        <f t="shared" si="3"/>
        <v>15.599428083333351</v>
      </c>
      <c r="J50" s="222">
        <v>10275112.940000001</v>
      </c>
      <c r="K50" s="257">
        <f t="shared" si="4"/>
        <v>0.23901169899976743</v>
      </c>
      <c r="L50" s="223">
        <f t="shared" si="5"/>
        <v>3596818.4299999997</v>
      </c>
      <c r="M50" s="263">
        <f t="shared" si="6"/>
        <v>35.005147398409036</v>
      </c>
      <c r="BY50" s="141"/>
      <c r="BZ50" s="141"/>
      <c r="CA50" s="140"/>
      <c r="CB50" s="140"/>
      <c r="CC50" s="140"/>
      <c r="CD50" s="139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24">
        <v>2447584.9</v>
      </c>
      <c r="E51" s="251">
        <f t="shared" si="1"/>
        <v>5.3156366597893363E-2</v>
      </c>
      <c r="F51" s="224">
        <v>4000000</v>
      </c>
      <c r="G51" s="251">
        <f t="shared" si="0"/>
        <v>8.6871538712129437E-2</v>
      </c>
      <c r="H51" s="211">
        <f t="shared" si="2"/>
        <v>-1552415.1</v>
      </c>
      <c r="I51" s="259">
        <f t="shared" si="3"/>
        <v>-38.810377500000001</v>
      </c>
      <c r="J51" s="224">
        <v>2914166.2800000003</v>
      </c>
      <c r="K51" s="251">
        <f t="shared" si="4"/>
        <v>6.7787073272854159E-2</v>
      </c>
      <c r="L51" s="211">
        <f t="shared" si="5"/>
        <v>-466581.38000000035</v>
      </c>
      <c r="M51" s="259">
        <f t="shared" si="6"/>
        <v>-16.010801552476977</v>
      </c>
      <c r="BY51" s="141"/>
      <c r="BZ51" s="141"/>
      <c r="CA51" s="140"/>
      <c r="CB51" s="140"/>
      <c r="CC51" s="140"/>
      <c r="CD51" s="139"/>
    </row>
    <row r="52" spans="2:82" ht="13.5" customHeight="1" thickBot="1">
      <c r="B52" s="80" t="s">
        <v>448</v>
      </c>
      <c r="C52" s="97" t="s">
        <v>446</v>
      </c>
      <c r="D52" s="224">
        <v>0</v>
      </c>
      <c r="E52" s="251">
        <f t="shared" si="1"/>
        <v>0</v>
      </c>
      <c r="F52" s="224">
        <v>33000000</v>
      </c>
      <c r="G52" s="251">
        <f t="shared" si="0"/>
        <v>0.71669019437506787</v>
      </c>
      <c r="H52" s="211">
        <f t="shared" si="2"/>
        <v>-33000000</v>
      </c>
      <c r="I52" s="259">
        <f t="shared" si="3"/>
        <v>-100</v>
      </c>
      <c r="J52" s="224">
        <v>0</v>
      </c>
      <c r="K52" s="251">
        <f t="shared" si="4"/>
        <v>0</v>
      </c>
      <c r="L52" s="211">
        <f t="shared" si="5"/>
        <v>0</v>
      </c>
      <c r="M52" s="259" t="e">
        <f t="shared" si="6"/>
        <v>#DIV/0!</v>
      </c>
      <c r="BY52" s="141"/>
      <c r="BZ52" s="141"/>
      <c r="CA52" s="140"/>
      <c r="CB52" s="140"/>
      <c r="CC52" s="140"/>
      <c r="CD52" s="139"/>
    </row>
    <row r="53" spans="2:82" ht="13.5" customHeight="1" thickTop="1" thickBot="1">
      <c r="C53" s="148" t="s">
        <v>468</v>
      </c>
      <c r="D53" s="214">
        <v>0</v>
      </c>
      <c r="E53" s="253">
        <f t="shared" si="1"/>
        <v>0</v>
      </c>
      <c r="F53" s="214">
        <v>0</v>
      </c>
      <c r="G53" s="253">
        <f t="shared" si="0"/>
        <v>0</v>
      </c>
      <c r="H53" s="214">
        <f t="shared" si="2"/>
        <v>0</v>
      </c>
      <c r="I53" s="253" t="e">
        <f t="shared" si="3"/>
        <v>#DIV/0!</v>
      </c>
      <c r="J53" s="214">
        <v>0</v>
      </c>
      <c r="K53" s="276">
        <f t="shared" si="4"/>
        <v>0</v>
      </c>
      <c r="L53" s="214">
        <f t="shared" si="5"/>
        <v>0</v>
      </c>
      <c r="M53" s="253" t="e">
        <f t="shared" si="6"/>
        <v>#DIV/0!</v>
      </c>
      <c r="BY53" s="141"/>
      <c r="BZ53" s="141"/>
      <c r="CA53" s="140"/>
      <c r="CB53" s="140"/>
      <c r="CC53" s="140"/>
      <c r="CD53" s="139"/>
    </row>
    <row r="54" spans="2:82" ht="13.5" customHeight="1" thickTop="1" thickBot="1">
      <c r="C54" s="148" t="str">
        <f>+'Cental Budget'!C70</f>
        <v>Nedostajuća sredstva</v>
      </c>
      <c r="D54" s="214">
        <f>+D46-D49-D53</f>
        <v>-30381682.003999971</v>
      </c>
      <c r="E54" s="253">
        <f t="shared" si="1"/>
        <v>-0.65982586608752247</v>
      </c>
      <c r="F54" s="214">
        <f>+F46-F49-F53</f>
        <v>-4212310.603248775</v>
      </c>
      <c r="G54" s="253">
        <f t="shared" si="0"/>
        <v>-9.1482475909409819E-2</v>
      </c>
      <c r="H54" s="214">
        <f t="shared" si="2"/>
        <v>-26169371.400751196</v>
      </c>
      <c r="I54" s="253">
        <f t="shared" si="3"/>
        <v>621.25930078774059</v>
      </c>
      <c r="J54" s="214">
        <f>+J47-J49-J53</f>
        <v>-5342112.6799999028</v>
      </c>
      <c r="K54" s="276">
        <f t="shared" si="4"/>
        <v>-0.12426407722725989</v>
      </c>
      <c r="L54" s="214">
        <f t="shared" si="5"/>
        <v>-25039569.324000068</v>
      </c>
      <c r="M54" s="253">
        <f t="shared" si="6"/>
        <v>468.7203513648185</v>
      </c>
      <c r="BY54" s="141"/>
      <c r="BZ54" s="141"/>
      <c r="CA54" s="140"/>
      <c r="CB54" s="140"/>
      <c r="CC54" s="140"/>
      <c r="CD54" s="139"/>
    </row>
    <row r="55" spans="2:82" ht="13.5" customHeight="1" thickTop="1" thickBot="1">
      <c r="C55" s="148" t="str">
        <f>+'Cental Budget'!C71</f>
        <v>Finansiranje</v>
      </c>
      <c r="D55" s="214">
        <f>+SUM(D56:D60)</f>
        <v>30381682.003999971</v>
      </c>
      <c r="E55" s="253">
        <f t="shared" si="1"/>
        <v>0.65982586608752247</v>
      </c>
      <c r="F55" s="214">
        <f>+SUM(F56:F60)</f>
        <v>4212310.603248775</v>
      </c>
      <c r="G55" s="253">
        <f t="shared" si="0"/>
        <v>9.1482475909409819E-2</v>
      </c>
      <c r="H55" s="214">
        <f t="shared" si="2"/>
        <v>26169371.400751196</v>
      </c>
      <c r="I55" s="253">
        <f t="shared" si="3"/>
        <v>621.25930078774059</v>
      </c>
      <c r="J55" s="214">
        <f>+SUM(J56:J60)+J45</f>
        <v>5342112.6799999028</v>
      </c>
      <c r="K55" s="276">
        <f t="shared" si="4"/>
        <v>0.12426407722725989</v>
      </c>
      <c r="L55" s="214">
        <f t="shared" si="5"/>
        <v>25039569.324000068</v>
      </c>
      <c r="M55" s="253">
        <f t="shared" si="6"/>
        <v>468.7203513648185</v>
      </c>
      <c r="BY55" s="141"/>
      <c r="BZ55" s="141"/>
      <c r="CA55" s="140"/>
      <c r="CB55" s="140"/>
      <c r="CC55" s="140"/>
      <c r="CD55" s="139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22">
        <v>8774382.1899999995</v>
      </c>
      <c r="E56" s="257">
        <f t="shared" si="1"/>
        <v>0.19056102052340101</v>
      </c>
      <c r="F56" s="222">
        <v>10000000</v>
      </c>
      <c r="G56" s="257">
        <f t="shared" si="0"/>
        <v>0.21717884678032359</v>
      </c>
      <c r="H56" s="223">
        <f t="shared" si="2"/>
        <v>-1225617.8100000005</v>
      </c>
      <c r="I56" s="263">
        <f t="shared" si="3"/>
        <v>-12.2561781</v>
      </c>
      <c r="J56" s="222">
        <v>4315187.05</v>
      </c>
      <c r="K56" s="257">
        <f t="shared" si="4"/>
        <v>0.10037653058850896</v>
      </c>
      <c r="L56" s="223">
        <f t="shared" si="5"/>
        <v>4459195.1399999997</v>
      </c>
      <c r="M56" s="263">
        <f t="shared" si="6"/>
        <v>103.33723864878581</v>
      </c>
      <c r="BY56" s="141"/>
      <c r="BZ56" s="141"/>
      <c r="CA56" s="140"/>
      <c r="CB56" s="140"/>
      <c r="CC56" s="140"/>
      <c r="CD56" s="139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24">
        <v>3364200.89</v>
      </c>
      <c r="E57" s="251">
        <f t="shared" si="1"/>
        <v>7.3063326962753833E-2</v>
      </c>
      <c r="F57" s="224">
        <v>6000000</v>
      </c>
      <c r="G57" s="251">
        <f t="shared" si="0"/>
        <v>0.13030730806819416</v>
      </c>
      <c r="H57" s="211">
        <f t="shared" si="2"/>
        <v>-2635799.11</v>
      </c>
      <c r="I57" s="259">
        <f t="shared" si="3"/>
        <v>-43.929985166666661</v>
      </c>
      <c r="J57" s="224">
        <v>572822.44999999995</v>
      </c>
      <c r="K57" s="251">
        <f t="shared" si="4"/>
        <v>1.332455105838567E-2</v>
      </c>
      <c r="L57" s="211">
        <f t="shared" si="5"/>
        <v>2791378.4400000004</v>
      </c>
      <c r="M57" s="278">
        <f t="shared" si="6"/>
        <v>487.30255596651284</v>
      </c>
      <c r="BY57" s="141"/>
      <c r="BZ57" s="141"/>
      <c r="CA57" s="140"/>
      <c r="CB57" s="140"/>
      <c r="CC57" s="140"/>
      <c r="CD57" s="139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24">
        <v>8168667.8499999996</v>
      </c>
      <c r="E58" s="251">
        <f t="shared" si="1"/>
        <v>0.17740618633945054</v>
      </c>
      <c r="F58" s="224">
        <v>5000000</v>
      </c>
      <c r="G58" s="251">
        <f t="shared" si="0"/>
        <v>0.1085894233901618</v>
      </c>
      <c r="H58" s="211">
        <f t="shared" si="2"/>
        <v>3168667.8499999996</v>
      </c>
      <c r="I58" s="259">
        <f t="shared" si="3"/>
        <v>63.373356999999999</v>
      </c>
      <c r="J58" s="224">
        <v>3081682.36</v>
      </c>
      <c r="K58" s="251">
        <f t="shared" si="4"/>
        <v>7.1683702256338688E-2</v>
      </c>
      <c r="L58" s="211">
        <f t="shared" si="5"/>
        <v>5086985.49</v>
      </c>
      <c r="M58" s="259">
        <f t="shared" si="6"/>
        <v>165.07170096531303</v>
      </c>
      <c r="BY58" s="141"/>
      <c r="BZ58" s="141"/>
      <c r="CA58" s="140"/>
      <c r="CB58" s="140"/>
      <c r="CC58" s="140"/>
      <c r="CD58" s="139"/>
    </row>
    <row r="59" spans="2:82" ht="13.5" customHeight="1" thickTop="1" thickBot="1">
      <c r="C59" s="143" t="str">
        <f>+'Cental Budget'!C75</f>
        <v>Povećanje / smanjenje depozita</v>
      </c>
      <c r="D59" s="144">
        <f>-D54-SUM(D56:D58)-D60</f>
        <v>1451764.1039999705</v>
      </c>
      <c r="E59" s="233">
        <f t="shared" si="1"/>
        <v>3.1529245390378338E-2</v>
      </c>
      <c r="F59" s="144">
        <f>-F54-SUM(F56:F58)-F60</f>
        <v>-20787689.396751225</v>
      </c>
      <c r="G59" s="233">
        <f t="shared" si="0"/>
        <v>-0.45146464104139916</v>
      </c>
      <c r="H59" s="198">
        <f t="shared" si="2"/>
        <v>22239453.500751197</v>
      </c>
      <c r="I59" s="248">
        <f t="shared" si="3"/>
        <v>-106.98376850015306</v>
      </c>
      <c r="J59" s="144">
        <f>-J54-SUM(J56:J58)-J60-J45</f>
        <v>-8210690.7700000964</v>
      </c>
      <c r="K59" s="277">
        <f t="shared" si="4"/>
        <v>-0.19099071342172821</v>
      </c>
      <c r="L59" s="198">
        <f t="shared" si="5"/>
        <v>9662454.8740000669</v>
      </c>
      <c r="M59" s="248">
        <f t="shared" si="6"/>
        <v>-117.68138813976979</v>
      </c>
      <c r="BY59" s="141"/>
      <c r="BZ59" s="141"/>
      <c r="CA59" s="140"/>
      <c r="CB59" s="140"/>
      <c r="CC59" s="140"/>
      <c r="CD59" s="139"/>
    </row>
    <row r="60" spans="2:82" ht="13.5" customHeight="1" thickTop="1" thickBot="1">
      <c r="B60" s="80">
        <v>999</v>
      </c>
      <c r="C60" s="148" t="s">
        <v>455</v>
      </c>
      <c r="D60" s="215">
        <v>8622666.9700000007</v>
      </c>
      <c r="E60" s="253">
        <f t="shared" si="1"/>
        <v>0.18726608687153873</v>
      </c>
      <c r="F60" s="215">
        <v>4000000</v>
      </c>
      <c r="G60" s="253">
        <f t="shared" si="0"/>
        <v>8.6871538712129437E-2</v>
      </c>
      <c r="H60" s="214">
        <f>+D60-F60</f>
        <v>4622666.9700000007</v>
      </c>
      <c r="I60" s="253">
        <f t="shared" si="3"/>
        <v>115.56667425000003</v>
      </c>
      <c r="J60" s="215">
        <v>3634108.3600000003</v>
      </c>
      <c r="K60" s="276">
        <f t="shared" si="4"/>
        <v>8.4533806931844618E-2</v>
      </c>
      <c r="L60" s="214">
        <f t="shared" si="5"/>
        <v>4988558.6100000003</v>
      </c>
      <c r="M60" s="253">
        <f t="shared" si="6"/>
        <v>137.27049707455615</v>
      </c>
      <c r="N60" s="202"/>
      <c r="BY60" s="141"/>
      <c r="BZ60" s="141"/>
      <c r="CA60" s="140"/>
      <c r="CB60" s="140"/>
      <c r="CC60" s="140"/>
      <c r="CD60" s="139"/>
    </row>
    <row r="61" spans="2:82" ht="13.5" thickTop="1">
      <c r="C61" s="106" t="str">
        <f>IF(MasterSheet!$A$1=1,MasterSheet!C151,MasterSheet!B151)</f>
        <v>Izvor: Ministarstvo finansija Crne Gore</v>
      </c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O61" s="81"/>
    </row>
    <row r="62" spans="2:82">
      <c r="C62" s="105"/>
      <c r="D62" s="105"/>
      <c r="E62" s="105"/>
      <c r="F62" s="105"/>
      <c r="G62" s="105"/>
      <c r="H62" s="105"/>
      <c r="I62" s="105"/>
      <c r="J62" s="105"/>
      <c r="K62" s="288"/>
      <c r="L62" s="105"/>
      <c r="M62" s="105"/>
      <c r="O62" s="81"/>
    </row>
    <row r="63" spans="2:82">
      <c r="D63" s="133"/>
      <c r="E63" s="134"/>
      <c r="F63" s="134"/>
      <c r="G63" s="134"/>
      <c r="H63" s="134"/>
      <c r="I63" s="134"/>
      <c r="J63" s="134"/>
      <c r="K63" s="134"/>
      <c r="L63" s="134"/>
      <c r="M63" s="284"/>
    </row>
    <row r="64" spans="2:82">
      <c r="D64" s="133"/>
      <c r="E64" s="134"/>
      <c r="F64" s="134"/>
      <c r="G64" s="134"/>
      <c r="H64" s="134"/>
      <c r="I64" s="134"/>
      <c r="J64" s="134"/>
      <c r="K64" s="134"/>
      <c r="L64" s="134"/>
      <c r="M64" s="134"/>
    </row>
    <row r="65" spans="3:13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</row>
    <row r="66" spans="3:13" ht="15">
      <c r="E66" s="134"/>
      <c r="F66" s="134"/>
      <c r="G66" s="134"/>
      <c r="H66" s="134"/>
      <c r="I66" s="134"/>
      <c r="J66" s="134"/>
      <c r="K66" s="285"/>
      <c r="L66" s="134"/>
      <c r="M66" s="134"/>
    </row>
    <row r="67" spans="3:13">
      <c r="E67" s="134"/>
      <c r="F67" s="134"/>
      <c r="G67" s="134"/>
      <c r="H67" s="134"/>
      <c r="I67" s="134"/>
      <c r="J67" s="134"/>
      <c r="K67" s="134"/>
      <c r="L67" s="134"/>
      <c r="M67" s="134"/>
    </row>
    <row r="68" spans="3:13">
      <c r="E68" s="134"/>
      <c r="F68" s="134"/>
      <c r="G68" s="134"/>
      <c r="H68" s="134"/>
      <c r="I68" s="134"/>
      <c r="J68" s="134"/>
      <c r="K68" s="134"/>
      <c r="L68" s="134"/>
      <c r="M68" s="134"/>
    </row>
    <row r="69" spans="3:13">
      <c r="E69" s="134"/>
      <c r="F69" s="134"/>
      <c r="G69" s="134"/>
      <c r="H69" s="134"/>
      <c r="I69" s="134"/>
      <c r="J69" s="134"/>
      <c r="K69" s="134"/>
      <c r="L69" s="134"/>
      <c r="M69" s="134"/>
    </row>
    <row r="70" spans="3:13">
      <c r="E70" s="134"/>
      <c r="F70" s="134"/>
      <c r="G70" s="134"/>
      <c r="H70" s="134"/>
      <c r="I70" s="134"/>
      <c r="J70" s="134"/>
      <c r="K70" s="134"/>
      <c r="L70" s="134"/>
      <c r="M70" s="134"/>
    </row>
    <row r="71" spans="3:13">
      <c r="E71" s="134"/>
      <c r="F71" s="134"/>
      <c r="G71" s="134"/>
      <c r="H71" s="134"/>
      <c r="I71" s="134"/>
      <c r="J71" s="134"/>
      <c r="K71" s="134"/>
      <c r="L71" s="134"/>
      <c r="M71" s="134"/>
    </row>
    <row r="72" spans="3:13">
      <c r="E72" s="134"/>
      <c r="F72" s="134"/>
      <c r="G72" s="134"/>
      <c r="H72" s="134"/>
      <c r="I72" s="134"/>
      <c r="J72" s="134"/>
      <c r="K72" s="134"/>
      <c r="L72" s="134"/>
      <c r="M72" s="134"/>
    </row>
    <row r="73" spans="3:13">
      <c r="E73" s="134"/>
      <c r="F73" s="134"/>
      <c r="G73" s="134"/>
      <c r="H73" s="134"/>
      <c r="I73" s="134"/>
      <c r="J73" s="134"/>
      <c r="K73" s="134"/>
      <c r="L73" s="134"/>
      <c r="M73" s="134"/>
    </row>
    <row r="74" spans="3:13">
      <c r="E74" s="134"/>
      <c r="F74" s="134"/>
      <c r="G74" s="134"/>
      <c r="H74" s="134"/>
      <c r="I74" s="134"/>
      <c r="J74" s="134"/>
      <c r="K74" s="134"/>
      <c r="L74" s="134"/>
      <c r="M74" s="134"/>
    </row>
    <row r="75" spans="3:13">
      <c r="E75" s="134"/>
      <c r="F75" s="134"/>
      <c r="G75" s="134"/>
      <c r="H75" s="134"/>
      <c r="I75" s="134"/>
      <c r="J75" s="134"/>
      <c r="K75" s="134"/>
      <c r="L75" s="134"/>
      <c r="M75" s="134"/>
    </row>
    <row r="76" spans="3:13">
      <c r="E76" s="134"/>
      <c r="F76" s="134"/>
      <c r="G76" s="134"/>
      <c r="H76" s="134"/>
      <c r="I76" s="134"/>
      <c r="J76" s="134"/>
      <c r="K76" s="134"/>
      <c r="L76" s="134"/>
      <c r="M76" s="134"/>
    </row>
    <row r="77" spans="3:13">
      <c r="E77" s="134"/>
      <c r="F77" s="134"/>
      <c r="G77" s="134"/>
      <c r="H77" s="134"/>
      <c r="I77" s="134"/>
      <c r="J77" s="134"/>
      <c r="K77" s="134"/>
      <c r="L77" s="134"/>
      <c r="M77" s="134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K81"/>
  <sheetViews>
    <sheetView topLeftCell="B1" zoomScaleNormal="100" workbookViewId="0">
      <selection activeCell="D63" sqref="D63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14" width="9.140625" style="80" customWidth="1"/>
    <col min="15" max="15" width="15.42578125" style="80" customWidth="1"/>
    <col min="16" max="55" width="9.140625" style="80" customWidth="1"/>
    <col min="56" max="56" width="9.140625" style="80"/>
    <col min="57" max="57" width="15.42578125" style="80" customWidth="1"/>
    <col min="58" max="58" width="12.7109375" style="80" customWidth="1"/>
    <col min="59" max="59" width="11.85546875" style="80" customWidth="1"/>
    <col min="60" max="16384" width="9.140625" style="80"/>
  </cols>
  <sheetData>
    <row r="1" spans="2:55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</row>
    <row r="2" spans="2:55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</row>
    <row r="3" spans="2:55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</row>
    <row r="4" spans="2:55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</row>
    <row r="5" spans="2:55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</row>
    <row r="6" spans="2:55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</row>
    <row r="7" spans="2:55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</row>
    <row r="8" spans="2:55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</row>
    <row r="9" spans="2:55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</row>
    <row r="10" spans="2:55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</row>
    <row r="11" spans="2:55" ht="18.75" customHeight="1" thickTop="1" thickBot="1">
      <c r="C11" s="160" t="str">
        <f>IF(MasterSheet!$A$1=1,MasterSheet!B67,MasterSheet!B66)</f>
        <v>BDP (u mil. €)</v>
      </c>
      <c r="D11" s="328">
        <f>+'Cental Budget'!D11:G11</f>
        <v>4604500000</v>
      </c>
      <c r="E11" s="329"/>
      <c r="F11" s="329"/>
      <c r="G11" s="330"/>
      <c r="H11" s="317"/>
      <c r="I11" s="318"/>
      <c r="J11" s="326">
        <f>+'Cental Budget'!J11:K11</f>
        <v>4299000000</v>
      </c>
      <c r="K11" s="327"/>
      <c r="L11" s="317"/>
      <c r="M11" s="32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</row>
    <row r="12" spans="2:55" ht="19.5" customHeight="1" thickTop="1">
      <c r="C12" s="167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</row>
    <row r="13" spans="2:55" ht="27" customHeight="1" thickBot="1">
      <c r="B13" s="85"/>
      <c r="C13" s="168"/>
      <c r="D13" s="325"/>
      <c r="E13" s="325"/>
      <c r="F13" s="86"/>
      <c r="G13" s="86"/>
      <c r="H13" s="86"/>
      <c r="I13" s="86"/>
      <c r="J13" s="335"/>
      <c r="K13" s="335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</row>
    <row r="14" spans="2:55" ht="15.75" customHeight="1" thickTop="1">
      <c r="B14" s="87"/>
      <c r="C14" s="331" t="s">
        <v>234</v>
      </c>
      <c r="D14" s="333" t="s">
        <v>465</v>
      </c>
      <c r="E14" s="334"/>
      <c r="F14" s="333" t="s">
        <v>466</v>
      </c>
      <c r="G14" s="334"/>
      <c r="H14" s="333" t="str">
        <f>+'Cental Budget'!H14:I14</f>
        <v>Odstupanje</v>
      </c>
      <c r="I14" s="334"/>
      <c r="J14" s="333" t="s">
        <v>463</v>
      </c>
      <c r="K14" s="334"/>
      <c r="L14" s="333" t="str">
        <f>+H14</f>
        <v>Odstupanje</v>
      </c>
      <c r="M14" s="334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</row>
    <row r="15" spans="2:55" ht="15" customHeight="1" thickBot="1">
      <c r="C15" s="332" t="str">
        <f>IF(MasterSheet!$A$1=1,MasterSheet!B71,MasterSheet!B70)</f>
        <v>Budžet Crne Gore</v>
      </c>
      <c r="D15" s="161" t="str">
        <f>IF(MasterSheet!$A$1=1,MasterSheet!C71,MasterSheet!C70)</f>
        <v>mil. €</v>
      </c>
      <c r="E15" s="162" t="str">
        <f>IF(MasterSheet!$A$1=1,MasterSheet!D71,MasterSheet!D70)</f>
        <v>% BDP</v>
      </c>
      <c r="F15" s="163" t="str">
        <f>IF(MasterSheet!$A$1=1,MasterSheet!E71,MasterSheet!E70)</f>
        <v>mil. €</v>
      </c>
      <c r="G15" s="164" t="str">
        <f>IF(MasterSheet!$A$1=1,MasterSheet!F71,MasterSheet!F70)</f>
        <v>% BDP</v>
      </c>
      <c r="H15" s="165" t="str">
        <f>IF(MasterSheet!$A$1=1,MasterSheet!G71,MasterSheet!G70)</f>
        <v>mil. €</v>
      </c>
      <c r="I15" s="164" t="s">
        <v>439</v>
      </c>
      <c r="J15" s="161" t="str">
        <f>IF(MasterSheet!$A$1=1,MasterSheet!I71,MasterSheet!I70)</f>
        <v>mil. €</v>
      </c>
      <c r="K15" s="163" t="str">
        <f>IF(MasterSheet!$A$1=1,MasterSheet!J71,MasterSheet!J70)</f>
        <v>% BDP</v>
      </c>
      <c r="L15" s="161" t="str">
        <f>IF(MasterSheet!$A$1=1,MasterSheet!K71,MasterSheet!K70)</f>
        <v>mil. €</v>
      </c>
      <c r="M15" s="162" t="s">
        <v>439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</row>
    <row r="16" spans="2:55" ht="15" customHeight="1" thickTop="1" thickBot="1">
      <c r="C16" s="171" t="str">
        <f>IF(MasterSheet!$A$1=1,MasterSheet!C72,MasterSheet!B72)</f>
        <v>Izvorni prihodi</v>
      </c>
      <c r="D16" s="169">
        <f>D17+D26+D31+D32+D33+D34+D35</f>
        <v>1969787924.05</v>
      </c>
      <c r="E16" s="264">
        <f t="shared" ref="E16:E75" si="0">D16/D$11*100</f>
        <v>42.779626974698665</v>
      </c>
      <c r="F16" s="169">
        <f>F17+F26+F31+F32+F33+F34+F35</f>
        <v>1988197527.6447635</v>
      </c>
      <c r="G16" s="264">
        <f>F16/D$11*100</f>
        <v>43.179444622538028</v>
      </c>
      <c r="H16" s="169">
        <f>+D16-F16</f>
        <v>-18409603.594763517</v>
      </c>
      <c r="I16" s="264">
        <f>+D16/F16*100-100</f>
        <v>-0.92594439630812531</v>
      </c>
      <c r="J16" s="169">
        <f>J17+J26+J31+J32+J33+J34+J35</f>
        <v>1785392407.1100001</v>
      </c>
      <c r="K16" s="264">
        <f t="shared" ref="K16:K75" si="1">J16/J$11*100</f>
        <v>41.530411889043968</v>
      </c>
      <c r="L16" s="169">
        <f>+D16-J16</f>
        <v>184395516.93999982</v>
      </c>
      <c r="M16" s="264">
        <f>+D16/J16*100-100</f>
        <v>10.328010593395504</v>
      </c>
      <c r="O16" s="294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</row>
    <row r="17" spans="2:60" ht="15" customHeight="1" thickTop="1">
      <c r="B17" s="80">
        <v>711</v>
      </c>
      <c r="C17" s="93" t="str">
        <f>IF(MasterSheet!$A$1=1,MasterSheet!C73,MasterSheet!B73)</f>
        <v>Porezi</v>
      </c>
      <c r="D17" s="149">
        <f>SUM(D18:D25)</f>
        <v>1219822507.6300001</v>
      </c>
      <c r="E17" s="265">
        <f t="shared" si="0"/>
        <v>26.49196454837659</v>
      </c>
      <c r="F17" s="149">
        <f>SUM(F18:F25)</f>
        <v>1216947024.7657394</v>
      </c>
      <c r="G17" s="265">
        <f t="shared" ref="G17:G75" si="2">F17/D$11*100</f>
        <v>26.429515143136918</v>
      </c>
      <c r="H17" s="199">
        <f t="shared" ref="H17:H75" si="3">+D17-F17</f>
        <v>2875482.8642606735</v>
      </c>
      <c r="I17" s="271">
        <f t="shared" ref="I17:I75" si="4">+D17/F17*100-100</f>
        <v>0.23628660950252822</v>
      </c>
      <c r="J17" s="149">
        <f>SUM(J18:J25)</f>
        <v>1104352042.8699999</v>
      </c>
      <c r="K17" s="265">
        <f t="shared" si="1"/>
        <v>25.688579736450336</v>
      </c>
      <c r="L17" s="199">
        <f t="shared" ref="L17:L75" si="5">+D17-J17</f>
        <v>115470464.76000023</v>
      </c>
      <c r="M17" s="273">
        <f t="shared" ref="M17:M74" si="6">+D17/J17*100-100</f>
        <v>10.455947042024263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</row>
    <row r="18" spans="2:60" ht="15" customHeight="1">
      <c r="B18" s="80">
        <v>7111</v>
      </c>
      <c r="C18" s="97" t="str">
        <f>IF(MasterSheet!$A$1=1,MasterSheet!C74,MasterSheet!B74)</f>
        <v>Porez na dohodak fizičkih lica</v>
      </c>
      <c r="D18" s="151">
        <f>'Cental Budget'!D18+'Local Government'!D18</f>
        <v>163221587.70000002</v>
      </c>
      <c r="E18" s="266">
        <f t="shared" si="0"/>
        <v>3.5448276186339451</v>
      </c>
      <c r="F18" s="151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155589310.47229174</v>
      </c>
      <c r="G18" s="266">
        <f t="shared" si="2"/>
        <v>3.3790707019718043</v>
      </c>
      <c r="H18" s="200">
        <f t="shared" si="3"/>
        <v>7632277.2277082801</v>
      </c>
      <c r="I18" s="272">
        <f t="shared" si="4"/>
        <v>4.9053994805558858</v>
      </c>
      <c r="J18" s="151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145621214.5</v>
      </c>
      <c r="K18" s="266">
        <f t="shared" si="1"/>
        <v>3.3873276227029541</v>
      </c>
      <c r="L18" s="200">
        <f t="shared" si="5"/>
        <v>17600373.200000018</v>
      </c>
      <c r="M18" s="272">
        <f t="shared" si="6"/>
        <v>12.086407368893376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</row>
    <row r="19" spans="2:60" ht="15" customHeight="1">
      <c r="B19" s="80">
        <v>7112</v>
      </c>
      <c r="C19" s="97" t="str">
        <f>IF(MasterSheet!$A$1=1,MasterSheet!C75,MasterSheet!B75)</f>
        <v>Porez na dobit pravnih lica</v>
      </c>
      <c r="D19" s="151">
        <f>'Cental Budget'!D19</f>
        <v>68172478.429999992</v>
      </c>
      <c r="E19" s="266">
        <f t="shared" si="0"/>
        <v>1.4805620247583884</v>
      </c>
      <c r="F19" s="151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61678365.370406665</v>
      </c>
      <c r="G19" s="266">
        <f t="shared" si="2"/>
        <v>1.3395236262440366</v>
      </c>
      <c r="H19" s="200">
        <f t="shared" si="3"/>
        <v>6494113.0595933273</v>
      </c>
      <c r="I19" s="272">
        <f t="shared" si="4"/>
        <v>10.528996708316157</v>
      </c>
      <c r="J19" s="151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49228502.210000001</v>
      </c>
      <c r="K19" s="266">
        <f t="shared" si="1"/>
        <v>1.1451151944638287</v>
      </c>
      <c r="L19" s="200">
        <f t="shared" si="5"/>
        <v>18943976.219999991</v>
      </c>
      <c r="M19" s="272">
        <f t="shared" si="6"/>
        <v>38.481723736359839</v>
      </c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E19" s="81"/>
    </row>
    <row r="20" spans="2:60" ht="15" customHeight="1">
      <c r="B20" s="80">
        <v>7113</v>
      </c>
      <c r="C20" s="97" t="str">
        <f>IF(MasterSheet!$A$1=1,MasterSheet!C76,MasterSheet!B76)</f>
        <v>Porez na promet nepokretnosti</v>
      </c>
      <c r="D20" s="151">
        <f>'Cental Budget'!D20+'Local Government'!D19</f>
        <v>18352464.129999999</v>
      </c>
      <c r="E20" s="266">
        <f t="shared" si="0"/>
        <v>0.39857669953306546</v>
      </c>
      <c r="F20" s="151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18548981.305385593</v>
      </c>
      <c r="G20" s="266">
        <f t="shared" si="2"/>
        <v>0.40284463688534239</v>
      </c>
      <c r="H20" s="200">
        <f t="shared" si="3"/>
        <v>-196517.17538559437</v>
      </c>
      <c r="I20" s="272">
        <f t="shared" si="4"/>
        <v>-1.0594499619692783</v>
      </c>
      <c r="J20" s="151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15174414.339999996</v>
      </c>
      <c r="K20" s="266">
        <f t="shared" si="1"/>
        <v>0.35297544405675729</v>
      </c>
      <c r="L20" s="200">
        <f t="shared" si="5"/>
        <v>3178049.7900000028</v>
      </c>
      <c r="M20" s="272">
        <f t="shared" si="6"/>
        <v>20.943475766459159</v>
      </c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</row>
    <row r="21" spans="2:60" ht="15" customHeight="1">
      <c r="B21" s="80">
        <v>7114</v>
      </c>
      <c r="C21" s="97" t="str">
        <f>IF(MasterSheet!$A$1=1,MasterSheet!C77,MasterSheet!B77)</f>
        <v>Porez na dodatu vrijednost</v>
      </c>
      <c r="D21" s="151">
        <f>'Cental Budget'!D21</f>
        <v>616913678.91000009</v>
      </c>
      <c r="E21" s="266">
        <f t="shared" si="0"/>
        <v>13.398060134868064</v>
      </c>
      <c r="F21" s="151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624391782.02119482</v>
      </c>
      <c r="G21" s="266">
        <f t="shared" si="2"/>
        <v>13.56046871584743</v>
      </c>
      <c r="H21" s="200">
        <f t="shared" si="3"/>
        <v>-7478103.1111947298</v>
      </c>
      <c r="I21" s="272">
        <f t="shared" si="4"/>
        <v>-1.1976620010897108</v>
      </c>
      <c r="J21" s="151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548710516.46000004</v>
      </c>
      <c r="K21" s="266">
        <f t="shared" si="1"/>
        <v>12.76367798232147</v>
      </c>
      <c r="L21" s="200">
        <f t="shared" si="5"/>
        <v>68203162.450000048</v>
      </c>
      <c r="M21" s="272">
        <f t="shared" si="6"/>
        <v>12.429716654605414</v>
      </c>
    </row>
    <row r="22" spans="2:60" ht="15" customHeight="1">
      <c r="B22" s="80">
        <v>7115</v>
      </c>
      <c r="C22" s="97" t="str">
        <f>IF(MasterSheet!$A$1=1,MasterSheet!C78,MasterSheet!B78)</f>
        <v>Akcize</v>
      </c>
      <c r="D22" s="151">
        <f>'Cental Budget'!D22</f>
        <v>221178044.41</v>
      </c>
      <c r="E22" s="266">
        <f t="shared" si="0"/>
        <v>4.8035192618091003</v>
      </c>
      <c r="F22" s="151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232697830.94442701</v>
      </c>
      <c r="G22" s="266">
        <f t="shared" si="2"/>
        <v>5.0537046572793356</v>
      </c>
      <c r="H22" s="200">
        <f t="shared" si="3"/>
        <v>-11519786.534427017</v>
      </c>
      <c r="I22" s="272">
        <f t="shared" si="4"/>
        <v>-4.9505345570574661</v>
      </c>
      <c r="J22" s="151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225084910.21999997</v>
      </c>
      <c r="K22" s="266">
        <f t="shared" si="1"/>
        <v>5.2357504121888807</v>
      </c>
      <c r="L22" s="200">
        <f t="shared" si="5"/>
        <v>-3906865.8099999726</v>
      </c>
      <c r="M22" s="272">
        <f t="shared" si="6"/>
        <v>-1.7357297769012376</v>
      </c>
    </row>
    <row r="23" spans="2:60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f>'Cental Budget'!D23</f>
        <v>26634891.989999998</v>
      </c>
      <c r="E23" s="266">
        <f t="shared" si="0"/>
        <v>0.5784535126506678</v>
      </c>
      <c r="F23" s="151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26860004.877748117</v>
      </c>
      <c r="G23" s="266">
        <f t="shared" si="2"/>
        <v>0.5833424883863203</v>
      </c>
      <c r="H23" s="200">
        <f t="shared" si="3"/>
        <v>-225112.88774811849</v>
      </c>
      <c r="I23" s="272">
        <f t="shared" si="4"/>
        <v>-0.83809697270238814</v>
      </c>
      <c r="J23" s="151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25424800.799999997</v>
      </c>
      <c r="K23" s="266">
        <f t="shared" si="1"/>
        <v>0.59141197487787855</v>
      </c>
      <c r="L23" s="200">
        <f t="shared" si="5"/>
        <v>1210091.1900000013</v>
      </c>
      <c r="M23" s="272">
        <f t="shared" si="6"/>
        <v>4.7594913309999356</v>
      </c>
      <c r="BF23" s="138"/>
      <c r="BG23" s="138"/>
      <c r="BH23" s="81"/>
    </row>
    <row r="24" spans="2:60" ht="15" customHeight="1">
      <c r="B24" s="80">
        <v>7117</v>
      </c>
      <c r="C24" s="97" t="s">
        <v>11</v>
      </c>
      <c r="D24" s="151">
        <f>'Local Government'!D20</f>
        <v>96035731.080000013</v>
      </c>
      <c r="E24" s="266">
        <f t="shared" si="0"/>
        <v>2.0856929325659683</v>
      </c>
      <c r="F24" s="151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87626103.889800012</v>
      </c>
      <c r="G24" s="266">
        <f t="shared" si="2"/>
        <v>1.9030536190639595</v>
      </c>
      <c r="H24" s="200">
        <f t="shared" si="3"/>
        <v>8409627.190200001</v>
      </c>
      <c r="I24" s="272">
        <f t="shared" si="4"/>
        <v>9.5971711817474841</v>
      </c>
      <c r="J24" s="151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85907944.99000001</v>
      </c>
      <c r="K24" s="266">
        <f t="shared" si="1"/>
        <v>1.9983239123051875</v>
      </c>
      <c r="L24" s="200">
        <f t="shared" si="5"/>
        <v>10127786.090000004</v>
      </c>
      <c r="M24" s="272">
        <f t="shared" si="6"/>
        <v>11.789114605382437</v>
      </c>
      <c r="BF24" s="138"/>
      <c r="BG24" s="138"/>
      <c r="BH24" s="81"/>
    </row>
    <row r="25" spans="2:60" ht="15" customHeight="1">
      <c r="B25" s="80">
        <v>7118</v>
      </c>
      <c r="C25" s="97" t="s">
        <v>457</v>
      </c>
      <c r="D25" s="151">
        <f>'Cental Budget'!D24</f>
        <v>9313630.9799999986</v>
      </c>
      <c r="E25" s="266">
        <f t="shared" si="0"/>
        <v>0.20227236355738948</v>
      </c>
      <c r="F25" s="151">
        <f>+IF(ISNUMBER(VLOOKUP($B25,'Cental Budget'!$B$16:$K$77,'Public Expenditure'!F$1,FALSE)),VLOOKUP($B25,'Cental Budget'!$B$16:$K$77,'Public Expenditure'!F$1,FALSE),0)+IF(ISNUMBER(VLOOKUP('Public Expenditure'!$B25,'Local Government'!$B$16:$M$60,'Public Expenditure'!F$1,FALSE)),VLOOKUP('Public Expenditure'!$B25,'Local Government'!$B$16:$M$60,'Public Expenditure'!F$1,FALSE),0)</f>
        <v>9554645.8844855782</v>
      </c>
      <c r="G25" s="266">
        <f t="shared" si="2"/>
        <v>0.20750669745869427</v>
      </c>
      <c r="H25" s="200">
        <f t="shared" si="3"/>
        <v>-241014.90448557958</v>
      </c>
      <c r="I25" s="272">
        <f t="shared" si="4"/>
        <v>-2.5224891366924425</v>
      </c>
      <c r="J25" s="151">
        <f>+IF(ISNUMBER(VLOOKUP($B25,'Cental Budget'!$B$16:$K$77,'Public Expenditure'!J$1,FALSE)),VLOOKUP($B25,'Cental Budget'!$B$16:$K$77,'Public Expenditure'!J$1,FALSE),0)+IF(ISNUMBER(VLOOKUP('Public Expenditure'!$B25,'Local Government'!$B$16:$M$60,'Public Expenditure'!J$1,FALSE)),VLOOKUP('Public Expenditure'!$B25,'Local Government'!$B$16:$M$60,'Public Expenditure'!J$1,FALSE),0)</f>
        <v>9199739.3499999996</v>
      </c>
      <c r="K25" s="266">
        <f t="shared" si="1"/>
        <v>0.21399719353337984</v>
      </c>
      <c r="L25" s="200">
        <f t="shared" si="5"/>
        <v>113891.62999999896</v>
      </c>
      <c r="M25" s="272">
        <f t="shared" si="6"/>
        <v>1.2379875740718518</v>
      </c>
      <c r="BF25" s="138"/>
      <c r="BG25" s="138"/>
      <c r="BH25" s="81"/>
    </row>
    <row r="26" spans="2:60" ht="15" customHeight="1">
      <c r="B26" s="80">
        <v>712</v>
      </c>
      <c r="C26" s="93" t="str">
        <f>IF(MasterSheet!$A$1=1,MasterSheet!C81,MasterSheet!B81)</f>
        <v>Doprinosi</v>
      </c>
      <c r="D26" s="149">
        <f>'Cental Budget'!D25</f>
        <v>524440114.39999998</v>
      </c>
      <c r="E26" s="267">
        <f t="shared" si="0"/>
        <v>11.389729925073297</v>
      </c>
      <c r="F26" s="149">
        <f>SUM(F27:F30)</f>
        <v>522253828.92039472</v>
      </c>
      <c r="G26" s="267">
        <f t="shared" si="2"/>
        <v>11.342248429153974</v>
      </c>
      <c r="H26" s="199">
        <f t="shared" si="3"/>
        <v>2186285.4796052575</v>
      </c>
      <c r="I26" s="273">
        <f t="shared" si="4"/>
        <v>0.41862507434838392</v>
      </c>
      <c r="J26" s="149">
        <f>SUM(J27:J30)</f>
        <v>494952632.42000002</v>
      </c>
      <c r="K26" s="267">
        <f t="shared" si="1"/>
        <v>11.513203824610375</v>
      </c>
      <c r="L26" s="199">
        <f t="shared" si="5"/>
        <v>29487481.979999959</v>
      </c>
      <c r="M26" s="273">
        <f t="shared" si="6"/>
        <v>5.9576371653637068</v>
      </c>
      <c r="BF26" s="138"/>
      <c r="BG26" s="138"/>
      <c r="BH26" s="81"/>
    </row>
    <row r="27" spans="2:60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1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316982958.28000003</v>
      </c>
      <c r="E27" s="266">
        <f t="shared" si="0"/>
        <v>6.8841993328265838</v>
      </c>
      <c r="F27" s="151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314496114.9625507</v>
      </c>
      <c r="G27" s="266">
        <f t="shared" si="2"/>
        <v>6.8301903564458835</v>
      </c>
      <c r="H27" s="200">
        <f t="shared" si="3"/>
        <v>2486843.3174493313</v>
      </c>
      <c r="I27" s="272">
        <f t="shared" si="4"/>
        <v>0.79073896278352152</v>
      </c>
      <c r="J27" s="151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303042063.35000002</v>
      </c>
      <c r="K27" s="266">
        <f t="shared" si="1"/>
        <v>7.0491291777157485</v>
      </c>
      <c r="L27" s="200">
        <f t="shared" si="5"/>
        <v>13940894.930000007</v>
      </c>
      <c r="M27" s="272">
        <f t="shared" si="6"/>
        <v>4.6003167929525688</v>
      </c>
      <c r="BF27" s="138"/>
      <c r="BG27" s="138"/>
      <c r="BH27" s="81"/>
    </row>
    <row r="28" spans="2:60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1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182045765.34999999</v>
      </c>
      <c r="E28" s="266">
        <f t="shared" si="0"/>
        <v>3.9536489379954389</v>
      </c>
      <c r="F28" s="151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180896074.44659218</v>
      </c>
      <c r="G28" s="266">
        <f t="shared" si="2"/>
        <v>3.9286800835398457</v>
      </c>
      <c r="H28" s="200">
        <f t="shared" si="3"/>
        <v>1149690.9034078121</v>
      </c>
      <c r="I28" s="272">
        <f t="shared" si="4"/>
        <v>0.63555326279191604</v>
      </c>
      <c r="J28" s="151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167400672.64999998</v>
      </c>
      <c r="K28" s="266">
        <f t="shared" si="1"/>
        <v>3.8939444673179806</v>
      </c>
      <c r="L28" s="200">
        <f t="shared" si="5"/>
        <v>14645092.700000018</v>
      </c>
      <c r="M28" s="272">
        <f t="shared" si="6"/>
        <v>8.7485267939274394</v>
      </c>
      <c r="BF28" s="138"/>
      <c r="BG28" s="138"/>
      <c r="BH28" s="81"/>
    </row>
    <row r="29" spans="2:60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1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13590597.370000001</v>
      </c>
      <c r="E29" s="266">
        <f t="shared" si="0"/>
        <v>0.29515902638722991</v>
      </c>
      <c r="F29" s="151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14149151.623339836</v>
      </c>
      <c r="G29" s="266">
        <f t="shared" si="2"/>
        <v>0.30728964324768893</v>
      </c>
      <c r="H29" s="200">
        <f t="shared" si="3"/>
        <v>-558554.25333983451</v>
      </c>
      <c r="I29" s="272">
        <f t="shared" si="4"/>
        <v>-3.9476165653527033</v>
      </c>
      <c r="J29" s="151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12595344.189999998</v>
      </c>
      <c r="K29" s="266">
        <f t="shared" si="1"/>
        <v>0.29298311677134214</v>
      </c>
      <c r="L29" s="200">
        <f t="shared" si="5"/>
        <v>995253.18000000343</v>
      </c>
      <c r="M29" s="272">
        <f t="shared" si="6"/>
        <v>7.9017545291868885</v>
      </c>
      <c r="BF29" s="138"/>
      <c r="BG29" s="138"/>
      <c r="BH29" s="81"/>
    </row>
    <row r="30" spans="2:60" ht="15" hidden="1" customHeight="1">
      <c r="B30" s="80">
        <v>7124</v>
      </c>
      <c r="C30" s="97" t="str">
        <f>IF(MasterSheet!$A$1=1,MasterSheet!C85,MasterSheet!B85)</f>
        <v>Ostali doprinosi</v>
      </c>
      <c r="D30" s="151">
        <f>+IF(ISNUMBER(VLOOKUP($B30,'Cental Budget'!$B$16:$K$77,'Public Expenditure'!D$1,FALSE)),VLOOKUP($B30,'Cental Budget'!$B$16:$K$77,'Public Expenditure'!D$1,FALSE),0)+IF(ISNUMBER(VLOOKUP('Public Expenditure'!$B30,'Local Government'!$B$16:$M$60,'Public Expenditure'!D$1,FALSE)),VLOOKUP('Public Expenditure'!$B30,'Local Government'!$B$16:$M$60,'Public Expenditure'!D$1,FALSE),0)</f>
        <v>11820793.4</v>
      </c>
      <c r="E30" s="266">
        <f t="shared" si="0"/>
        <v>0.25672262786404609</v>
      </c>
      <c r="F30" s="151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12712487.887912013</v>
      </c>
      <c r="G30" s="266">
        <f t="shared" si="2"/>
        <v>0.27608834592055626</v>
      </c>
      <c r="H30" s="200">
        <f t="shared" si="3"/>
        <v>-891694.48791201226</v>
      </c>
      <c r="I30" s="272">
        <f t="shared" si="4"/>
        <v>-7.0143192723109848</v>
      </c>
      <c r="J30" s="151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11914552.229999999</v>
      </c>
      <c r="K30" s="266">
        <f t="shared" si="1"/>
        <v>0.27714706280530355</v>
      </c>
      <c r="L30" s="200">
        <f t="shared" si="5"/>
        <v>-93758.829999998212</v>
      </c>
      <c r="M30" s="272">
        <f t="shared" si="6"/>
        <v>-0.78692701320257186</v>
      </c>
      <c r="BF30" s="81"/>
      <c r="BG30" s="81"/>
      <c r="BH30" s="81"/>
    </row>
    <row r="31" spans="2:60" ht="15" customHeight="1">
      <c r="B31" s="80">
        <v>713</v>
      </c>
      <c r="C31" s="93" t="str">
        <f>IF(MasterSheet!$A$1=1,MasterSheet!C86,MasterSheet!B86)</f>
        <v>Takse</v>
      </c>
      <c r="D31" s="149">
        <f>'Cental Budget'!D30+'Local Government'!D21</f>
        <v>22533027.849999998</v>
      </c>
      <c r="E31" s="267">
        <f t="shared" si="0"/>
        <v>0.48936970029319138</v>
      </c>
      <c r="F31" s="149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24389223.019823864</v>
      </c>
      <c r="G31" s="267">
        <f t="shared" si="2"/>
        <v>0.52968233293134681</v>
      </c>
      <c r="H31" s="199">
        <f t="shared" si="3"/>
        <v>-1856195.1698238663</v>
      </c>
      <c r="I31" s="273">
        <f t="shared" si="4"/>
        <v>-7.6107187519468198</v>
      </c>
      <c r="J31" s="149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20170607.259999998</v>
      </c>
      <c r="K31" s="267">
        <f t="shared" si="1"/>
        <v>0.46919300441963241</v>
      </c>
      <c r="L31" s="199">
        <f t="shared" si="5"/>
        <v>2362420.59</v>
      </c>
      <c r="M31" s="273">
        <f t="shared" si="6"/>
        <v>11.7121936863293</v>
      </c>
      <c r="BF31" s="81"/>
      <c r="BG31" s="81"/>
      <c r="BH31" s="81"/>
    </row>
    <row r="32" spans="2:60" ht="15" customHeight="1">
      <c r="B32" s="80">
        <v>714</v>
      </c>
      <c r="C32" s="93" t="str">
        <f>IF(MasterSheet!$A$1=1,MasterSheet!C91,MasterSheet!B91)</f>
        <v>Naknade</v>
      </c>
      <c r="D32" s="149">
        <f>'Cental Budget'!D31+'Local Government'!D22</f>
        <v>75704327.570000023</v>
      </c>
      <c r="E32" s="267">
        <f t="shared" si="0"/>
        <v>1.6441378557932464</v>
      </c>
      <c r="F32" s="149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95148393.940335304</v>
      </c>
      <c r="G32" s="267">
        <f t="shared" si="2"/>
        <v>2.066421846896195</v>
      </c>
      <c r="H32" s="199">
        <f t="shared" si="3"/>
        <v>-19444066.370335281</v>
      </c>
      <c r="I32" s="273">
        <f t="shared" si="4"/>
        <v>-20.435517159152553</v>
      </c>
      <c r="J32" s="149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79771959.290000007</v>
      </c>
      <c r="K32" s="267">
        <f t="shared" si="1"/>
        <v>1.8555933772970459</v>
      </c>
      <c r="L32" s="199">
        <f t="shared" si="5"/>
        <v>-4067631.7199999839</v>
      </c>
      <c r="M32" s="273">
        <f t="shared" si="6"/>
        <v>-5.0990746074227218</v>
      </c>
      <c r="BF32" s="138"/>
      <c r="BG32" s="138"/>
      <c r="BH32" s="138"/>
    </row>
    <row r="33" spans="1:63" ht="15" customHeight="1">
      <c r="B33" s="80">
        <v>715</v>
      </c>
      <c r="C33" s="93" t="str">
        <f>IF(MasterSheet!$A$1=1,MasterSheet!C98,MasterSheet!B98)</f>
        <v>Ostali prihodi</v>
      </c>
      <c r="D33" s="149">
        <f>'Cental Budget'!D32+'Local Government'!D23</f>
        <v>85930236.109999999</v>
      </c>
      <c r="E33" s="267">
        <f t="shared" si="0"/>
        <v>1.866222958193072</v>
      </c>
      <c r="F33" s="149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85379550.673980638</v>
      </c>
      <c r="G33" s="267">
        <f t="shared" si="2"/>
        <v>1.8542632353997315</v>
      </c>
      <c r="H33" s="199">
        <f t="shared" si="3"/>
        <v>550685.43601936102</v>
      </c>
      <c r="I33" s="273">
        <f t="shared" si="4"/>
        <v>0.6449851652676557</v>
      </c>
      <c r="J33" s="149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49102073.960000001</v>
      </c>
      <c r="K33" s="267">
        <f t="shared" si="1"/>
        <v>1.1421743186787625</v>
      </c>
      <c r="L33" s="199">
        <f t="shared" si="5"/>
        <v>36828162.149999999</v>
      </c>
      <c r="M33" s="273">
        <f t="shared" si="6"/>
        <v>75.003272122479615</v>
      </c>
      <c r="BF33" s="81"/>
      <c r="BG33" s="81"/>
      <c r="BH33" s="81"/>
      <c r="BI33" s="81"/>
      <c r="BJ33" s="81"/>
    </row>
    <row r="34" spans="1:63">
      <c r="B34" s="80">
        <v>73</v>
      </c>
      <c r="C34" s="101" t="str">
        <f>IF(MasterSheet!$A$1=1,MasterSheet!C103,MasterSheet!B103)</f>
        <v xml:space="preserve">Primici od otplate kredita </v>
      </c>
      <c r="D34" s="149">
        <f>'Cental Budget'!D33+'Local Government'!D24</f>
        <v>11124362.879999999</v>
      </c>
      <c r="E34" s="267">
        <f t="shared" si="0"/>
        <v>0.24159763014442392</v>
      </c>
      <c r="F34" s="149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7262314.2406375092</v>
      </c>
      <c r="G34" s="267">
        <f t="shared" si="2"/>
        <v>0.15772210317379756</v>
      </c>
      <c r="H34" s="199">
        <f t="shared" si="3"/>
        <v>3862048.6393624898</v>
      </c>
      <c r="I34" s="273">
        <f t="shared" si="4"/>
        <v>53.179310497909086</v>
      </c>
      <c r="J34" s="149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6580211.8799999999</v>
      </c>
      <c r="K34" s="267">
        <f t="shared" si="1"/>
        <v>0.15306377948360084</v>
      </c>
      <c r="L34" s="199">
        <f t="shared" si="5"/>
        <v>4544150.9999999991</v>
      </c>
      <c r="M34" s="273">
        <f t="shared" si="6"/>
        <v>69.057821888859905</v>
      </c>
      <c r="BE34" s="100"/>
      <c r="BF34" s="100"/>
      <c r="BG34" s="99"/>
      <c r="BH34" s="140"/>
      <c r="BI34" s="140"/>
      <c r="BJ34" s="140"/>
      <c r="BK34" s="139"/>
    </row>
    <row r="35" spans="1:63" ht="13.5" customHeight="1" thickBot="1">
      <c r="B35" s="80">
        <v>74</v>
      </c>
      <c r="C35" s="93" t="s">
        <v>122</v>
      </c>
      <c r="D35" s="149">
        <f>'Cental Budget'!D34+'Local Government'!D25</f>
        <v>30233347.610000003</v>
      </c>
      <c r="E35" s="267">
        <f>D35/D$11*100</f>
        <v>0.6566043568248453</v>
      </c>
      <c r="F35" s="149">
        <f>+IF(ISNUMBER(VLOOKUP($B35,'Cental Budget'!$B$16:$K$77,'Public Expenditure'!F$1,FALSE)),VLOOKUP($B35,'Cental Budget'!$B$16:$K$77,'Public Expenditure'!F$1,FALSE),0)+IF(ISNUMBER(VLOOKUP('Public Expenditure'!$B35,'Local Government'!$B$16:$M$60,'Public Expenditure'!F$1,FALSE)),VLOOKUP('Public Expenditure'!$B35,'Local Government'!$B$16:$M$60,'Public Expenditure'!F$1,FALSE),0)</f>
        <v>36817192.083852097</v>
      </c>
      <c r="G35" s="267">
        <f t="shared" si="2"/>
        <v>0.7995915318460658</v>
      </c>
      <c r="H35" s="199">
        <f t="shared" si="3"/>
        <v>-6583844.4738520943</v>
      </c>
      <c r="I35" s="273">
        <f t="shared" si="4"/>
        <v>-17.882527431362021</v>
      </c>
      <c r="J35" s="149">
        <f>+IF(ISNUMBER(VLOOKUP($B35,'Cental Budget'!$B$16:$K$77,'Public Expenditure'!J$1,FALSE)),VLOOKUP($B35,'Cental Budget'!$B$16:$K$77,'Public Expenditure'!J$1,FALSE),0)+IF(ISNUMBER(VLOOKUP('Public Expenditure'!$B35,'Local Government'!$B$16:$M$60,'Public Expenditure'!J$1,FALSE)),VLOOKUP('Public Expenditure'!$B35,'Local Government'!$B$16:$M$60,'Public Expenditure'!J$1,FALSE),0)</f>
        <v>30462879.43</v>
      </c>
      <c r="K35" s="267">
        <f>J35/J$11*100</f>
        <v>0.70860384810421029</v>
      </c>
      <c r="L35" s="199">
        <f t="shared" si="5"/>
        <v>-229531.81999999657</v>
      </c>
      <c r="M35" s="273">
        <f t="shared" si="6"/>
        <v>-0.75348038102383441</v>
      </c>
      <c r="BF35" s="154"/>
      <c r="BG35" s="154"/>
      <c r="BH35" s="140"/>
      <c r="BI35" s="140"/>
      <c r="BJ35" s="140"/>
      <c r="BK35" s="139"/>
    </row>
    <row r="36" spans="1:63" ht="15" customHeight="1" thickTop="1" thickBot="1">
      <c r="B36" s="102"/>
      <c r="C36" s="171" t="s">
        <v>234</v>
      </c>
      <c r="D36" s="166">
        <f>+D38+D48+D54+SUM(D55:D60)</f>
        <v>2143082214.7839999</v>
      </c>
      <c r="E36" s="264">
        <f t="shared" si="0"/>
        <v>46.543212396221087</v>
      </c>
      <c r="F36" s="166">
        <f>+F38+F48+F54+SUM(F55:F60)</f>
        <v>2086249691.8104668</v>
      </c>
      <c r="G36" s="264">
        <f t="shared" si="2"/>
        <v>45.30893021632027</v>
      </c>
      <c r="H36" s="166">
        <f t="shared" si="3"/>
        <v>56832522.973533154</v>
      </c>
      <c r="I36" s="264">
        <f t="shared" si="4"/>
        <v>2.7241476989369175</v>
      </c>
      <c r="J36" s="166">
        <f>+J38+J48+J54+SUM(J55:J59)</f>
        <v>2012462329.75</v>
      </c>
      <c r="K36" s="264">
        <f t="shared" si="1"/>
        <v>46.812336118864849</v>
      </c>
      <c r="L36" s="166">
        <f t="shared" si="5"/>
        <v>130619885.03399992</v>
      </c>
      <c r="M36" s="264">
        <f t="shared" si="6"/>
        <v>6.4905505610247189</v>
      </c>
      <c r="O36" s="206"/>
      <c r="BF36" s="81"/>
      <c r="BG36" s="81"/>
      <c r="BH36" s="140"/>
      <c r="BI36" s="140"/>
      <c r="BJ36" s="140"/>
      <c r="BK36" s="139"/>
    </row>
    <row r="37" spans="1:63" ht="13.5" customHeight="1" thickTop="1" thickBot="1">
      <c r="C37" s="171" t="s">
        <v>279</v>
      </c>
      <c r="D37" s="166">
        <f>+D36-D55</f>
        <v>1825039979.9639997</v>
      </c>
      <c r="E37" s="264">
        <f t="shared" si="0"/>
        <v>39.636007817656633</v>
      </c>
      <c r="F37" s="166">
        <f>+F36-F55</f>
        <v>1745128378.9816</v>
      </c>
      <c r="G37" s="264">
        <f t="shared" si="2"/>
        <v>37.900496883083939</v>
      </c>
      <c r="H37" s="166">
        <f t="shared" si="3"/>
        <v>79911600.982399702</v>
      </c>
      <c r="I37" s="264">
        <f t="shared" si="4"/>
        <v>4.579124489914804</v>
      </c>
      <c r="J37" s="166">
        <f>+J36-J55</f>
        <v>1714461926.6700001</v>
      </c>
      <c r="K37" s="264">
        <f t="shared" si="1"/>
        <v>39.88048212770412</v>
      </c>
      <c r="L37" s="166">
        <f t="shared" si="5"/>
        <v>110578053.29399967</v>
      </c>
      <c r="M37" s="264">
        <f t="shared" si="6"/>
        <v>6.4497234714786345</v>
      </c>
      <c r="BF37" s="154"/>
      <c r="BG37" s="154"/>
      <c r="BH37" s="140"/>
      <c r="BI37" s="140"/>
      <c r="BJ37" s="140"/>
      <c r="BK37" s="139"/>
    </row>
    <row r="38" spans="1:63" ht="13.5" customHeight="1" thickTop="1">
      <c r="A38" s="80">
        <v>41</v>
      </c>
      <c r="B38" s="80">
        <v>41</v>
      </c>
      <c r="C38" s="93" t="s">
        <v>62</v>
      </c>
      <c r="D38" s="94">
        <f>+SUM(D39:D47)</f>
        <v>918166413.324</v>
      </c>
      <c r="E38" s="267">
        <f t="shared" si="0"/>
        <v>19.940632279813226</v>
      </c>
      <c r="F38" s="94">
        <f>+SUM(F39:F47)</f>
        <v>894939723.60699987</v>
      </c>
      <c r="G38" s="267">
        <f t="shared" si="2"/>
        <v>19.436197711086976</v>
      </c>
      <c r="H38" s="197">
        <f t="shared" si="3"/>
        <v>23226689.717000127</v>
      </c>
      <c r="I38" s="273">
        <f t="shared" si="4"/>
        <v>2.5953356527059128</v>
      </c>
      <c r="J38" s="94">
        <f>+SUM(J39:J47)</f>
        <v>862062389.0200001</v>
      </c>
      <c r="K38" s="267">
        <f t="shared" si="1"/>
        <v>20.052625936729473</v>
      </c>
      <c r="L38" s="197">
        <f t="shared" si="5"/>
        <v>56104024.303999901</v>
      </c>
      <c r="M38" s="273">
        <f t="shared" si="6"/>
        <v>6.5081164679715755</v>
      </c>
      <c r="BF38" s="154"/>
      <c r="BG38" s="154"/>
      <c r="BH38" s="140"/>
      <c r="BI38" s="140"/>
      <c r="BJ38" s="140"/>
      <c r="BK38" s="139"/>
    </row>
    <row r="39" spans="1:63" ht="13.5" customHeight="1">
      <c r="B39" s="80">
        <v>411</v>
      </c>
      <c r="C39" s="93" t="s">
        <v>63</v>
      </c>
      <c r="D39" s="149">
        <f>'Cental Budget'!D38+'Local Government'!D29</f>
        <v>507515854.76999998</v>
      </c>
      <c r="E39" s="267">
        <f t="shared" si="0"/>
        <v>11.022170806167878</v>
      </c>
      <c r="F39" s="149">
        <f>'Cental Budget'!F38+'Local Government'!F29</f>
        <v>510120939.25459981</v>
      </c>
      <c r="G39" s="267">
        <f t="shared" si="2"/>
        <v>11.07874773058095</v>
      </c>
      <c r="H39" s="199">
        <f t="shared" si="3"/>
        <v>-2605084.4845998287</v>
      </c>
      <c r="I39" s="273">
        <f t="shared" si="4"/>
        <v>-0.51067977887879579</v>
      </c>
      <c r="J39" s="149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492108492.49000001</v>
      </c>
      <c r="K39" s="267">
        <f t="shared" si="1"/>
        <v>11.447045649918586</v>
      </c>
      <c r="L39" s="199">
        <f t="shared" si="5"/>
        <v>15407362.279999971</v>
      </c>
      <c r="M39" s="273">
        <f t="shared" si="6"/>
        <v>3.1308872972382318</v>
      </c>
      <c r="BF39" s="154"/>
      <c r="BG39" s="154"/>
      <c r="BH39" s="140"/>
      <c r="BI39" s="140"/>
      <c r="BJ39" s="140"/>
      <c r="BK39" s="139"/>
    </row>
    <row r="40" spans="1:63" ht="13.5" customHeight="1">
      <c r="B40" s="80">
        <v>412</v>
      </c>
      <c r="C40" s="93" t="s">
        <v>74</v>
      </c>
      <c r="D40" s="149">
        <f>'Cental Budget'!D39+'Local Government'!D30</f>
        <v>16755489.899999999</v>
      </c>
      <c r="E40" s="267">
        <f t="shared" si="0"/>
        <v>0.36389379737213595</v>
      </c>
      <c r="F40" s="149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16554974.039199997</v>
      </c>
      <c r="G40" s="267">
        <f t="shared" si="2"/>
        <v>0.35953901703116509</v>
      </c>
      <c r="H40" s="199">
        <f t="shared" si="3"/>
        <v>200515.86080000177</v>
      </c>
      <c r="I40" s="273">
        <f t="shared" si="4"/>
        <v>1.2112121730013286</v>
      </c>
      <c r="J40" s="149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13876533.689999999</v>
      </c>
      <c r="K40" s="267">
        <f t="shared" si="1"/>
        <v>0.32278515212840192</v>
      </c>
      <c r="L40" s="199">
        <f>+D40-J40</f>
        <v>2878956.209999999</v>
      </c>
      <c r="M40" s="273">
        <f t="shared" si="6"/>
        <v>20.74694065762759</v>
      </c>
      <c r="BF40" s="154"/>
      <c r="BG40" s="154"/>
      <c r="BH40" s="140"/>
      <c r="BI40" s="140"/>
      <c r="BJ40" s="140"/>
      <c r="BK40" s="139"/>
    </row>
    <row r="41" spans="1:63" ht="13.5" customHeight="1">
      <c r="B41" s="80">
        <v>413</v>
      </c>
      <c r="C41" s="93" t="s">
        <v>428</v>
      </c>
      <c r="D41" s="149">
        <f>'Cental Budget'!D40+'Local Government'!D31</f>
        <v>127706970.50999999</v>
      </c>
      <c r="E41" s="267">
        <f t="shared" si="0"/>
        <v>2.7735252581170591</v>
      </c>
      <c r="F41" s="149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113475760.90539999</v>
      </c>
      <c r="G41" s="267">
        <f t="shared" si="2"/>
        <v>2.4644534890954501</v>
      </c>
      <c r="H41" s="199">
        <f t="shared" si="3"/>
        <v>14231209.604599997</v>
      </c>
      <c r="I41" s="273">
        <f t="shared" si="4"/>
        <v>12.5411889649843</v>
      </c>
      <c r="J41" s="149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110661795.23999999</v>
      </c>
      <c r="K41" s="267">
        <f t="shared" si="1"/>
        <v>2.5741287564549893</v>
      </c>
      <c r="L41" s="199">
        <f t="shared" si="5"/>
        <v>17045175.269999996</v>
      </c>
      <c r="M41" s="273">
        <f t="shared" si="6"/>
        <v>15.402944831170444</v>
      </c>
      <c r="BF41" s="154"/>
      <c r="BG41" s="154"/>
      <c r="BH41" s="140"/>
      <c r="BI41" s="140"/>
      <c r="BJ41" s="140"/>
      <c r="BK41" s="139"/>
    </row>
    <row r="42" spans="1:63" ht="13.5" customHeight="1">
      <c r="B42" s="80">
        <v>415</v>
      </c>
      <c r="C42" s="93" t="s">
        <v>430</v>
      </c>
      <c r="D42" s="149">
        <f>'Cental Budget'!D41+'Local Government'!D32</f>
        <v>26284861.653999999</v>
      </c>
      <c r="E42" s="267">
        <f t="shared" si="0"/>
        <v>0.57085159417960685</v>
      </c>
      <c r="F42" s="149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28580178.476800002</v>
      </c>
      <c r="G42" s="267">
        <f t="shared" si="2"/>
        <v>0.62070102023672491</v>
      </c>
      <c r="H42" s="199">
        <f t="shared" si="3"/>
        <v>-2295316.822800003</v>
      </c>
      <c r="I42" s="273">
        <f t="shared" si="4"/>
        <v>-8.0311493669055665</v>
      </c>
      <c r="J42" s="149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26374593.260000005</v>
      </c>
      <c r="K42" s="267">
        <f t="shared" si="1"/>
        <v>0.61350530960688543</v>
      </c>
      <c r="L42" s="199">
        <f t="shared" si="5"/>
        <v>-89731.606000006199</v>
      </c>
      <c r="M42" s="273">
        <f t="shared" si="6"/>
        <v>-0.3402198665793037</v>
      </c>
      <c r="BF42" s="154"/>
      <c r="BG42" s="154"/>
      <c r="BH42" s="140"/>
      <c r="BI42" s="140"/>
      <c r="BJ42" s="140"/>
      <c r="BK42" s="139"/>
    </row>
    <row r="43" spans="1:63" ht="13.5" customHeight="1">
      <c r="B43" s="80">
        <v>416</v>
      </c>
      <c r="C43" s="93" t="s">
        <v>79</v>
      </c>
      <c r="D43" s="149">
        <f>'Cental Budget'!D42+'Local Government'!D33</f>
        <v>91978620.75</v>
      </c>
      <c r="E43" s="267">
        <f t="shared" si="0"/>
        <v>1.9975810782929742</v>
      </c>
      <c r="F43" s="149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91327547.755400002</v>
      </c>
      <c r="G43" s="267">
        <f t="shared" si="2"/>
        <v>1.9834411500792701</v>
      </c>
      <c r="H43" s="199">
        <f t="shared" si="3"/>
        <v>651072.994599998</v>
      </c>
      <c r="I43" s="273">
        <f t="shared" si="4"/>
        <v>0.7128988028275387</v>
      </c>
      <c r="J43" s="149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102514052.85000001</v>
      </c>
      <c r="K43" s="267">
        <f t="shared" si="1"/>
        <v>2.3846022993719473</v>
      </c>
      <c r="L43" s="199">
        <f t="shared" si="5"/>
        <v>-10535432.100000009</v>
      </c>
      <c r="M43" s="273">
        <f t="shared" si="6"/>
        <v>-10.277061346326448</v>
      </c>
      <c r="BF43" s="154"/>
      <c r="BG43" s="154"/>
      <c r="BH43" s="140"/>
      <c r="BI43" s="140"/>
      <c r="BJ43" s="140"/>
      <c r="BK43" s="139"/>
    </row>
    <row r="44" spans="1:63" ht="13.5" customHeight="1">
      <c r="B44" s="80">
        <v>417</v>
      </c>
      <c r="C44" s="93" t="s">
        <v>81</v>
      </c>
      <c r="D44" s="149">
        <f>'Cental Budget'!D43+'Local Government'!D34</f>
        <v>11742766.469999999</v>
      </c>
      <c r="E44" s="267">
        <f t="shared" si="0"/>
        <v>0.25502804799652512</v>
      </c>
      <c r="F44" s="149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10940114.4614</v>
      </c>
      <c r="G44" s="267">
        <f t="shared" si="2"/>
        <v>0.2375961442371593</v>
      </c>
      <c r="H44" s="199">
        <f t="shared" si="3"/>
        <v>802652.00859999843</v>
      </c>
      <c r="I44" s="273">
        <f t="shared" si="4"/>
        <v>7.3367788923232524</v>
      </c>
      <c r="J44" s="149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9524858.9400000013</v>
      </c>
      <c r="K44" s="267">
        <f t="shared" si="1"/>
        <v>0.22155987299371949</v>
      </c>
      <c r="L44" s="199">
        <f t="shared" si="5"/>
        <v>2217907.5299999975</v>
      </c>
      <c r="M44" s="273">
        <f t="shared" si="6"/>
        <v>23.28546327007335</v>
      </c>
      <c r="BF44" s="154"/>
      <c r="BG44" s="154"/>
      <c r="BH44" s="140"/>
      <c r="BI44" s="140"/>
      <c r="BJ44" s="140"/>
      <c r="BK44" s="139"/>
    </row>
    <row r="45" spans="1:63" ht="13.5" customHeight="1">
      <c r="B45" s="80">
        <v>418</v>
      </c>
      <c r="C45" s="93" t="s">
        <v>83</v>
      </c>
      <c r="D45" s="149">
        <f>'Cental Budget'!D44+'Local Government'!D35</f>
        <v>32080008.849999998</v>
      </c>
      <c r="E45" s="267">
        <f t="shared" si="0"/>
        <v>0.69670993267455739</v>
      </c>
      <c r="F45" s="149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27969271.843800012</v>
      </c>
      <c r="G45" s="267">
        <f t="shared" si="2"/>
        <v>0.60743342043218618</v>
      </c>
      <c r="H45" s="199">
        <f t="shared" si="3"/>
        <v>4110737.0061999857</v>
      </c>
      <c r="I45" s="273">
        <f t="shared" si="4"/>
        <v>14.69733294866316</v>
      </c>
      <c r="J45" s="149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29017033.960000005</v>
      </c>
      <c r="K45" s="267">
        <f t="shared" si="1"/>
        <v>0.67497171342172613</v>
      </c>
      <c r="L45" s="199">
        <f t="shared" si="5"/>
        <v>3062974.8899999931</v>
      </c>
      <c r="M45" s="273">
        <f t="shared" si="6"/>
        <v>10.555782145833064</v>
      </c>
      <c r="BF45" s="154"/>
      <c r="BG45" s="154"/>
      <c r="BH45" s="140"/>
      <c r="BI45" s="140"/>
      <c r="BJ45" s="140"/>
      <c r="BK45" s="139"/>
    </row>
    <row r="46" spans="1:63" ht="13.5" customHeight="1">
      <c r="B46" s="80">
        <v>419</v>
      </c>
      <c r="C46" s="93" t="s">
        <v>85</v>
      </c>
      <c r="D46" s="149">
        <f>'Cental Budget'!D45+'Local Government'!D36</f>
        <v>47779628.799999997</v>
      </c>
      <c r="E46" s="267">
        <f t="shared" si="0"/>
        <v>1.0376724682375935</v>
      </c>
      <c r="F46" s="149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43123371.450400002</v>
      </c>
      <c r="G46" s="267">
        <f t="shared" si="2"/>
        <v>0.9365484080877402</v>
      </c>
      <c r="H46" s="199">
        <f t="shared" si="3"/>
        <v>4656257.3495999947</v>
      </c>
      <c r="I46" s="273">
        <f t="shared" si="4"/>
        <v>10.797526243873506</v>
      </c>
      <c r="J46" s="149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41973270.079999998</v>
      </c>
      <c r="K46" s="267">
        <f t="shared" si="1"/>
        <v>0.97634961805070941</v>
      </c>
      <c r="L46" s="199">
        <f t="shared" si="5"/>
        <v>5806358.7199999988</v>
      </c>
      <c r="M46" s="273">
        <f t="shared" si="6"/>
        <v>13.833467606725009</v>
      </c>
      <c r="BF46" s="154"/>
      <c r="BG46" s="154"/>
      <c r="BH46" s="140"/>
      <c r="BI46" s="140"/>
      <c r="BJ46" s="140"/>
      <c r="BK46" s="139"/>
    </row>
    <row r="47" spans="1:63" ht="13.5" customHeight="1">
      <c r="B47" s="80">
        <v>441</v>
      </c>
      <c r="C47" s="93" t="s">
        <v>129</v>
      </c>
      <c r="D47" s="149">
        <f>'Cental Budget'!D46</f>
        <v>56322211.620000005</v>
      </c>
      <c r="E47" s="267">
        <f t="shared" si="0"/>
        <v>1.2231992967748941</v>
      </c>
      <c r="F47" s="149">
        <f>+IF(ISNUMBER(VLOOKUP($B47,'Cental Budget'!$B$16:$K$77,'Public Expenditure'!F$1,FALSE)),VLOOKUP($B47,'Cental Budget'!$B$16:$K$77,'Public Expenditure'!F$1,FALSE),0)+IF(ISNUMBER(VLOOKUP('Public Expenditure'!$B47,'Local Government'!$B$16:$M$60,'Public Expenditure'!F$1,FALSE)),VLOOKUP('Public Expenditure'!$B47,'Local Government'!$B$16:$M$60,'Public Expenditure'!F$1,FALSE),0)</f>
        <v>52847565.419999987</v>
      </c>
      <c r="G47" s="267">
        <f t="shared" si="2"/>
        <v>1.1477373313063306</v>
      </c>
      <c r="H47" s="199">
        <f>+D47-F47</f>
        <v>3474646.2000000179</v>
      </c>
      <c r="I47" s="273">
        <f t="shared" si="4"/>
        <v>6.5748463006491704</v>
      </c>
      <c r="J47" s="149">
        <f>+IF(ISNUMBER(VLOOKUP($B47,'Cental Budget'!$B$16:$K$77,'Public Expenditure'!J$1,FALSE)),VLOOKUP($B47,'Cental Budget'!$B$16:$K$77,'Public Expenditure'!J$1,FALSE),0)+IF(ISNUMBER(VLOOKUP('Public Expenditure'!$B47,'Local Government'!$B$16:$M$60,'Public Expenditure'!J$1,FALSE)),VLOOKUP('Public Expenditure'!$B47,'Local Government'!$B$16:$M$60,'Public Expenditure'!J$1,FALSE),0)</f>
        <v>36011758.509999998</v>
      </c>
      <c r="K47" s="267">
        <f t="shared" si="1"/>
        <v>0.83767756478250743</v>
      </c>
      <c r="L47" s="199">
        <f t="shared" si="5"/>
        <v>20310453.110000007</v>
      </c>
      <c r="M47" s="273">
        <f t="shared" si="6"/>
        <v>56.399503801959725</v>
      </c>
      <c r="BF47" s="154"/>
      <c r="BG47" s="154"/>
      <c r="BH47" s="140"/>
      <c r="BI47" s="140"/>
      <c r="BJ47" s="140"/>
      <c r="BK47" s="139"/>
    </row>
    <row r="48" spans="1:63" ht="13.5" customHeight="1">
      <c r="A48" s="80">
        <v>42</v>
      </c>
      <c r="B48" s="80">
        <v>42</v>
      </c>
      <c r="C48" s="93" t="s">
        <v>86</v>
      </c>
      <c r="D48" s="94">
        <f>'Cental Budget'!D47+'Local Government'!D37</f>
        <v>544895928.38999999</v>
      </c>
      <c r="E48" s="267">
        <f t="shared" si="0"/>
        <v>11.833986934303399</v>
      </c>
      <c r="F48" s="94">
        <f>SUM(F49:F53)</f>
        <v>559761546.0552001</v>
      </c>
      <c r="G48" s="267">
        <f t="shared" si="2"/>
        <v>12.156836704423936</v>
      </c>
      <c r="H48" s="197">
        <f t="shared" si="3"/>
        <v>-14865617.665200114</v>
      </c>
      <c r="I48" s="273">
        <f t="shared" si="4"/>
        <v>-2.6557054106275046</v>
      </c>
      <c r="J48" s="94">
        <f>SUM(J49:J53)</f>
        <v>538863417.93999994</v>
      </c>
      <c r="K48" s="267">
        <f t="shared" si="1"/>
        <v>12.534622422423819</v>
      </c>
      <c r="L48" s="197">
        <f t="shared" si="5"/>
        <v>6032510.4500000477</v>
      </c>
      <c r="M48" s="273">
        <f t="shared" si="6"/>
        <v>1.1194878422182484</v>
      </c>
      <c r="BF48" s="154"/>
      <c r="BG48" s="154"/>
      <c r="BH48" s="140"/>
      <c r="BI48" s="140"/>
      <c r="BJ48" s="140"/>
      <c r="BK48" s="139"/>
    </row>
    <row r="49" spans="1:63" ht="13.5" customHeight="1">
      <c r="B49" s="80">
        <v>421</v>
      </c>
      <c r="C49" s="97" t="s">
        <v>88</v>
      </c>
      <c r="D49" s="151">
        <f>'Cental Budget'!D48+'Local Government'!D38</f>
        <v>82705141.390000001</v>
      </c>
      <c r="E49" s="266">
        <f t="shared" si="0"/>
        <v>1.7961807229883811</v>
      </c>
      <c r="F49" s="151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83614856.105199993</v>
      </c>
      <c r="G49" s="266">
        <f t="shared" si="2"/>
        <v>1.8159378022630033</v>
      </c>
      <c r="H49" s="200">
        <f t="shared" si="3"/>
        <v>-909714.71519999206</v>
      </c>
      <c r="I49" s="272">
        <f t="shared" si="4"/>
        <v>-1.0879821572083159</v>
      </c>
      <c r="J49" s="151">
        <f>'Cental Budget'!J48+'Local Government'!J38</f>
        <v>99517402.480000004</v>
      </c>
      <c r="K49" s="266">
        <f t="shared" si="1"/>
        <v>2.3148965452430796</v>
      </c>
      <c r="L49" s="200">
        <f t="shared" si="5"/>
        <v>-16812261.090000004</v>
      </c>
      <c r="M49" s="272">
        <f t="shared" si="6"/>
        <v>-16.893790102066589</v>
      </c>
      <c r="BF49" s="154"/>
      <c r="BG49" s="154"/>
      <c r="BH49" s="140"/>
      <c r="BI49" s="140"/>
      <c r="BJ49" s="140"/>
      <c r="BK49" s="139"/>
    </row>
    <row r="50" spans="1:63" ht="13.5" customHeight="1">
      <c r="B50" s="80">
        <v>422</v>
      </c>
      <c r="C50" s="97" t="s">
        <v>90</v>
      </c>
      <c r="D50" s="151">
        <f>'Cental Budget'!D49</f>
        <v>14196791.939999998</v>
      </c>
      <c r="E50" s="266">
        <f t="shared" si="0"/>
        <v>0.30832429015093926</v>
      </c>
      <c r="F50" s="151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17298799.519999992</v>
      </c>
      <c r="G50" s="266">
        <f t="shared" si="2"/>
        <v>0.37569333304376135</v>
      </c>
      <c r="H50" s="200">
        <f t="shared" si="3"/>
        <v>-3102007.5799999945</v>
      </c>
      <c r="I50" s="272">
        <f t="shared" si="4"/>
        <v>-17.931923983589797</v>
      </c>
      <c r="J50" s="151">
        <f>'Cental Budget'!J49</f>
        <v>12968450.790000001</v>
      </c>
      <c r="K50" s="266">
        <f t="shared" si="1"/>
        <v>0.30166203279832521</v>
      </c>
      <c r="L50" s="200">
        <f t="shared" si="5"/>
        <v>1228341.1499999966</v>
      </c>
      <c r="M50" s="272">
        <f t="shared" si="6"/>
        <v>9.4717647457718925</v>
      </c>
      <c r="BF50" s="154"/>
      <c r="BG50" s="154"/>
      <c r="BH50" s="140"/>
      <c r="BI50" s="140"/>
      <c r="BJ50" s="140"/>
      <c r="BK50" s="139"/>
    </row>
    <row r="51" spans="1:63" ht="13.5" customHeight="1">
      <c r="B51" s="80">
        <v>423</v>
      </c>
      <c r="C51" s="97" t="s">
        <v>92</v>
      </c>
      <c r="D51" s="151">
        <f>+'Cental Budget'!D50</f>
        <v>414750265.80000001</v>
      </c>
      <c r="E51" s="266">
        <f t="shared" si="0"/>
        <v>9.0074984428276696</v>
      </c>
      <c r="F51" s="151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425672790.43000013</v>
      </c>
      <c r="G51" s="266">
        <f t="shared" si="2"/>
        <v>9.2447125731349793</v>
      </c>
      <c r="H51" s="200">
        <f t="shared" si="3"/>
        <v>-10922524.630000114</v>
      </c>
      <c r="I51" s="272">
        <f t="shared" si="4"/>
        <v>-2.565943813079187</v>
      </c>
      <c r="J51" s="151">
        <f>'Cental Budget'!J50</f>
        <v>401263898.76999998</v>
      </c>
      <c r="K51" s="266">
        <f t="shared" si="1"/>
        <v>9.3338892479646418</v>
      </c>
      <c r="L51" s="200">
        <f t="shared" si="5"/>
        <v>13486367.030000031</v>
      </c>
      <c r="M51" s="272">
        <f t="shared" si="6"/>
        <v>3.3609719367578208</v>
      </c>
      <c r="BF51" s="154"/>
      <c r="BG51" s="154"/>
      <c r="BH51" s="140"/>
      <c r="BI51" s="140"/>
      <c r="BJ51" s="140"/>
      <c r="BK51" s="139"/>
    </row>
    <row r="52" spans="1:63" ht="13.5" customHeight="1">
      <c r="B52" s="80">
        <v>424</v>
      </c>
      <c r="C52" s="97" t="s">
        <v>94</v>
      </c>
      <c r="D52" s="151">
        <f>+'Cental Budget'!D51</f>
        <v>20004829.280000001</v>
      </c>
      <c r="E52" s="266">
        <f t="shared" si="0"/>
        <v>0.43446257530676513</v>
      </c>
      <c r="F52" s="151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19000099.999999996</v>
      </c>
      <c r="G52" s="266">
        <f t="shared" si="2"/>
        <v>0.4126419806710826</v>
      </c>
      <c r="H52" s="200">
        <f t="shared" si="3"/>
        <v>1004729.2800000049</v>
      </c>
      <c r="I52" s="272">
        <f t="shared" si="4"/>
        <v>5.2880210104157612</v>
      </c>
      <c r="J52" s="151">
        <f>'Cental Budget'!J51</f>
        <v>16489379.109999999</v>
      </c>
      <c r="K52" s="266">
        <f t="shared" si="1"/>
        <v>0.38356313351942312</v>
      </c>
      <c r="L52" s="200">
        <f t="shared" si="5"/>
        <v>3515450.1700000018</v>
      </c>
      <c r="M52" s="272">
        <f t="shared" si="6"/>
        <v>21.319481749728553</v>
      </c>
      <c r="BF52" s="154"/>
      <c r="BG52" s="154"/>
      <c r="BH52" s="140"/>
      <c r="BI52" s="140"/>
      <c r="BJ52" s="140"/>
      <c r="BK52" s="139"/>
    </row>
    <row r="53" spans="1:63" ht="13.5" customHeight="1">
      <c r="B53" s="80">
        <v>425</v>
      </c>
      <c r="C53" s="97" t="s">
        <v>431</v>
      </c>
      <c r="D53" s="151">
        <f>+'Cental Budget'!D52</f>
        <v>13238899.98</v>
      </c>
      <c r="E53" s="266">
        <f t="shared" si="0"/>
        <v>0.28752090302964489</v>
      </c>
      <c r="F53" s="151">
        <f>+IF(ISNUMBER(VLOOKUP($B53,'Cental Budget'!$B$16:$K$77,'Public Expenditure'!F$1,FALSE)),VLOOKUP($B53,'Cental Budget'!$B$16:$K$77,'Public Expenditure'!F$1,FALSE),0)+IF(ISNUMBER(VLOOKUP('Public Expenditure'!$B53,'Local Government'!$B$16:$M$60,'Public Expenditure'!F$1,FALSE)),VLOOKUP('Public Expenditure'!$B53,'Local Government'!$B$16:$M$60,'Public Expenditure'!F$1,FALSE),0)</f>
        <v>14175000.000000002</v>
      </c>
      <c r="G53" s="266">
        <f t="shared" si="2"/>
        <v>0.3078510153111087</v>
      </c>
      <c r="H53" s="200">
        <f t="shared" si="3"/>
        <v>-936100.02000000142</v>
      </c>
      <c r="I53" s="272">
        <f t="shared" si="4"/>
        <v>-6.6038802116402167</v>
      </c>
      <c r="J53" s="151">
        <f>'Cental Budget'!J52</f>
        <v>8624286.790000001</v>
      </c>
      <c r="K53" s="266">
        <f t="shared" si="1"/>
        <v>0.2006114628983485</v>
      </c>
      <c r="L53" s="200">
        <f t="shared" si="5"/>
        <v>4614613.1899999995</v>
      </c>
      <c r="M53" s="272">
        <f t="shared" si="6"/>
        <v>53.507186186696828</v>
      </c>
      <c r="BF53" s="154"/>
      <c r="BG53" s="154"/>
      <c r="BH53" s="140"/>
      <c r="BI53" s="140"/>
      <c r="BJ53" s="140"/>
      <c r="BK53" s="139"/>
    </row>
    <row r="54" spans="1:63" ht="13.5" customHeight="1" thickBot="1">
      <c r="A54" s="80">
        <v>43</v>
      </c>
      <c r="B54" s="80">
        <v>43</v>
      </c>
      <c r="C54" s="93" t="s">
        <v>432</v>
      </c>
      <c r="D54" s="94">
        <f>+'Cental Budget'!D53+'Local Government'!D39</f>
        <v>261362626.19999999</v>
      </c>
      <c r="E54" s="267">
        <f t="shared" si="0"/>
        <v>5.6762433749592782</v>
      </c>
      <c r="F54" s="94">
        <f>+'Cental Budget'!F53+'Local Government'!F39</f>
        <v>253481159.676</v>
      </c>
      <c r="G54" s="267">
        <f t="shared" si="2"/>
        <v>5.5050745938972749</v>
      </c>
      <c r="H54" s="197">
        <f t="shared" si="3"/>
        <v>7881466.523999989</v>
      </c>
      <c r="I54" s="273">
        <f t="shared" si="4"/>
        <v>3.1092908577797544</v>
      </c>
      <c r="J54" s="94">
        <f>+'Cental Budget'!J53+'Local Government'!J39</f>
        <v>212760459.06</v>
      </c>
      <c r="K54" s="267">
        <f t="shared" si="1"/>
        <v>4.949068598743894</v>
      </c>
      <c r="L54" s="197">
        <f t="shared" si="5"/>
        <v>48602167.139999986</v>
      </c>
      <c r="M54" s="273">
        <f t="shared" si="6"/>
        <v>22.843608889889538</v>
      </c>
      <c r="BF54" s="154"/>
      <c r="BG54" s="154"/>
      <c r="BH54" s="140"/>
      <c r="BI54" s="140"/>
      <c r="BJ54" s="140"/>
      <c r="BK54" s="139"/>
    </row>
    <row r="55" spans="1:63" ht="13.5" customHeight="1" thickTop="1" thickBot="1">
      <c r="B55" s="80">
        <v>44</v>
      </c>
      <c r="C55" s="171" t="s">
        <v>130</v>
      </c>
      <c r="D55" s="170">
        <f>'Cental Budget'!D56+'Local Government'!D40</f>
        <v>318042234.82000005</v>
      </c>
      <c r="E55" s="264">
        <f t="shared" si="0"/>
        <v>6.9072045785644489</v>
      </c>
      <c r="F55" s="170">
        <f>+IF(ISNUMBER(VLOOKUP($B55,'Cental Budget'!$B$16:$K$77,'Public Expenditure'!F$1,FALSE)),VLOOKUP($B55,'Cental Budget'!$B$16:$K$77,'Public Expenditure'!F$1,FALSE),0)+IF(ISNUMBER(VLOOKUP('Public Expenditure'!$B55,'Local Government'!$B$16:$M$60,'Public Expenditure'!F$1,FALSE)),VLOOKUP('Public Expenditure'!$B55,'Local Government'!$B$16:$M$60,'Public Expenditure'!F$1,FALSE),0)</f>
        <v>341121312.82886672</v>
      </c>
      <c r="G55" s="264">
        <f t="shared" si="2"/>
        <v>7.4084333332363279</v>
      </c>
      <c r="H55" s="170">
        <f t="shared" si="3"/>
        <v>-23079078.008866668</v>
      </c>
      <c r="I55" s="264">
        <f t="shared" si="4"/>
        <v>-6.7656511454753172</v>
      </c>
      <c r="J55" s="170">
        <f>+IF(ISNUMBER(VLOOKUP($B55,'Cental Budget'!$B$16:$K$77,'Public Expenditure'!J$1,FALSE)),VLOOKUP($B55,'Cental Budget'!$B$16:$K$77,'Public Expenditure'!J$1,FALSE),0)+IF(ISNUMBER(VLOOKUP('Public Expenditure'!$B55,'Local Government'!$B$16:$M$60,'Public Expenditure'!J$1,FALSE)),VLOOKUP('Public Expenditure'!$B55,'Local Government'!$B$16:$M$60,'Public Expenditure'!J$1,FALSE),0)</f>
        <v>298000403.08000004</v>
      </c>
      <c r="K55" s="264">
        <f t="shared" si="1"/>
        <v>6.931853991160736</v>
      </c>
      <c r="L55" s="170">
        <f t="shared" si="5"/>
        <v>20041831.74000001</v>
      </c>
      <c r="M55" s="264">
        <f t="shared" si="6"/>
        <v>6.7254377956729456</v>
      </c>
      <c r="BF55" s="154"/>
      <c r="BG55" s="154"/>
      <c r="BH55" s="140"/>
      <c r="BI55" s="140"/>
      <c r="BJ55" s="140"/>
      <c r="BK55" s="139"/>
    </row>
    <row r="56" spans="1:63" ht="13.5" customHeight="1" thickTop="1">
      <c r="B56" s="80">
        <v>451</v>
      </c>
      <c r="C56" s="93" t="s">
        <v>110</v>
      </c>
      <c r="D56" s="149">
        <f>'Cental Budget'!D57+'Local Government'!D41</f>
        <v>6150459.5899999999</v>
      </c>
      <c r="E56" s="267">
        <f t="shared" si="0"/>
        <v>0.13357497209251817</v>
      </c>
      <c r="F56" s="149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5264330.8039999995</v>
      </c>
      <c r="G56" s="267">
        <f t="shared" si="2"/>
        <v>0.11433012930828536</v>
      </c>
      <c r="H56" s="199">
        <f t="shared" si="3"/>
        <v>886128.78600000031</v>
      </c>
      <c r="I56" s="273">
        <f t="shared" si="4"/>
        <v>16.832695721300283</v>
      </c>
      <c r="J56" s="149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7199890.96</v>
      </c>
      <c r="K56" s="267">
        <f t="shared" si="1"/>
        <v>0.16747827308676436</v>
      </c>
      <c r="L56" s="199">
        <f t="shared" si="5"/>
        <v>-1049431.3700000001</v>
      </c>
      <c r="M56" s="273">
        <f t="shared" si="6"/>
        <v>-14.575656434663557</v>
      </c>
      <c r="BF56" s="154"/>
      <c r="BG56" s="154"/>
      <c r="BH56" s="140"/>
      <c r="BI56" s="140"/>
      <c r="BJ56" s="140"/>
      <c r="BK56" s="139"/>
    </row>
    <row r="57" spans="1:63" ht="13.5" customHeight="1" thickBot="1">
      <c r="B57" s="80">
        <v>47</v>
      </c>
      <c r="C57" s="93" t="s">
        <v>117</v>
      </c>
      <c r="D57" s="149">
        <f>'Cental Budget'!D58+'Local Government'!D42</f>
        <v>27174621.34</v>
      </c>
      <c r="E57" s="267">
        <f t="shared" si="0"/>
        <v>0.59017529243131717</v>
      </c>
      <c r="F57" s="149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31681618.839400001</v>
      </c>
      <c r="G57" s="267">
        <f t="shared" si="2"/>
        <v>0.68805774436746658</v>
      </c>
      <c r="H57" s="199">
        <f t="shared" si="3"/>
        <v>-4506997.499400001</v>
      </c>
      <c r="I57" s="273">
        <f t="shared" si="4"/>
        <v>-14.22590658086888</v>
      </c>
      <c r="J57" s="149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21680036.399999999</v>
      </c>
      <c r="K57" s="267">
        <f t="shared" si="1"/>
        <v>0.50430417306350317</v>
      </c>
      <c r="L57" s="199">
        <f t="shared" si="5"/>
        <v>5494584.9400000013</v>
      </c>
      <c r="M57" s="273">
        <f t="shared" si="6"/>
        <v>25.343983924307437</v>
      </c>
      <c r="BF57" s="154"/>
      <c r="BG57" s="154"/>
      <c r="BH57" s="140"/>
      <c r="BI57" s="140"/>
      <c r="BJ57" s="140"/>
      <c r="BK57" s="139"/>
    </row>
    <row r="58" spans="1:63" ht="13.5" customHeight="1" thickTop="1" thickBot="1">
      <c r="B58" s="80">
        <v>462</v>
      </c>
      <c r="C58" s="143" t="s">
        <v>112</v>
      </c>
      <c r="D58" s="156">
        <f>'Cental Budget'!D59+'Local Government'!D43</f>
        <v>0</v>
      </c>
      <c r="E58" s="268">
        <f t="shared" si="0"/>
        <v>0</v>
      </c>
      <c r="F58" s="156">
        <f>+IF(ISNUMBER(VLOOKUP($B58,'Cental Budget'!$B$16:$K$77,'Public Expenditure'!F$1,FALSE)),VLOOKUP($B58,'Cental Budget'!$B$16:$K$77,'Public Expenditure'!F$1,FALSE),0)+IF(ISNUMBER(VLOOKUP('Public Expenditure'!$B58,'Local Government'!$B$16:$M$60,'Public Expenditure'!F$1,FALSE)),VLOOKUP('Public Expenditure'!$B58,'Local Government'!$B$16:$M$60,'Public Expenditure'!F$1,FALSE),0)</f>
        <v>0</v>
      </c>
      <c r="G58" s="268">
        <f t="shared" si="2"/>
        <v>0</v>
      </c>
      <c r="H58" s="201">
        <f t="shared" si="3"/>
        <v>0</v>
      </c>
      <c r="I58" s="248" t="e">
        <f t="shared" si="4"/>
        <v>#DIV/0!</v>
      </c>
      <c r="J58" s="156">
        <f>+IF(ISNUMBER(VLOOKUP($B58,'Cental Budget'!$B$16:$K$77,'Public Expenditure'!J$1,FALSE)),VLOOKUP($B58,'Cental Budget'!$B$16:$K$77,'Public Expenditure'!J$1,FALSE),0)+IF(ISNUMBER(VLOOKUP('Public Expenditure'!$B58,'Local Government'!$B$16:$M$60,'Public Expenditure'!J$1,FALSE)),VLOOKUP('Public Expenditure'!$B58,'Local Government'!$B$16:$M$60,'Public Expenditure'!J$1,FALSE),0)</f>
        <v>0</v>
      </c>
      <c r="K58" s="268">
        <f t="shared" si="1"/>
        <v>0</v>
      </c>
      <c r="L58" s="201">
        <f t="shared" si="5"/>
        <v>0</v>
      </c>
      <c r="M58" s="274" t="e">
        <f t="shared" si="6"/>
        <v>#DIV/0!</v>
      </c>
      <c r="BF58" s="154"/>
      <c r="BG58" s="154"/>
      <c r="BH58" s="140"/>
      <c r="BI58" s="140"/>
      <c r="BJ58" s="140"/>
      <c r="BK58" s="139"/>
    </row>
    <row r="59" spans="1:63" ht="13.5" customHeight="1" thickTop="1" thickBot="1">
      <c r="B59" s="282" t="s">
        <v>447</v>
      </c>
      <c r="C59" s="203" t="s">
        <v>115</v>
      </c>
      <c r="D59" s="204">
        <f>'Cental Budget'!D60+'Local Government'!D44</f>
        <v>67289931.120000005</v>
      </c>
      <c r="E59" s="269">
        <f>D59/D$11*100</f>
        <v>1.4613949640569011</v>
      </c>
      <c r="F59" s="204">
        <f>'Cental Budget'!F60+'Local Government'!F44</f>
        <v>0</v>
      </c>
      <c r="G59" s="269">
        <f>F59/D$11*100</f>
        <v>0</v>
      </c>
      <c r="H59" s="205">
        <f>+D59-F59</f>
        <v>67289931.120000005</v>
      </c>
      <c r="I59" s="248" t="e">
        <f t="shared" si="4"/>
        <v>#DIV/0!</v>
      </c>
      <c r="J59" s="204">
        <f>'Cental Budget'!J60+'Local Government'!J44</f>
        <v>71895733.290000007</v>
      </c>
      <c r="K59" s="269">
        <f>J59/J$11*100</f>
        <v>1.6723827236566644</v>
      </c>
      <c r="L59" s="205">
        <f>+D59-J59</f>
        <v>-4605802.1700000018</v>
      </c>
      <c r="M59" s="275">
        <f>+D59/J59*100-100</f>
        <v>-6.406224624515545</v>
      </c>
      <c r="BF59" s="154"/>
      <c r="BG59" s="154"/>
      <c r="BH59" s="140"/>
      <c r="BI59" s="140"/>
      <c r="BJ59" s="140"/>
      <c r="BK59" s="139"/>
    </row>
    <row r="60" spans="1:63" ht="13.5" customHeight="1" thickTop="1" thickBot="1">
      <c r="B60" s="80">
        <v>990</v>
      </c>
      <c r="C60" s="142" t="s">
        <v>151</v>
      </c>
      <c r="D60" s="149">
        <f>'Cental Budget'!D61+'Local Government'!D45</f>
        <v>0</v>
      </c>
      <c r="E60" s="267">
        <f t="shared" si="0"/>
        <v>0</v>
      </c>
      <c r="F60" s="149">
        <f>+IF(ISNUMBER(VLOOKUP($B60,'Cental Budget'!$B$16:$K$77,'Public Expenditure'!F$1,FALSE)),VLOOKUP($B60,'Cental Budget'!$B$16:$K$77,'Public Expenditure'!F$1,FALSE),0)+IF(ISNUMBER(VLOOKUP('Public Expenditure'!$B60,'Local Government'!$B$16:$M$60,'Public Expenditure'!F$1,FALSE)),VLOOKUP('Public Expenditure'!$B60,'Local Government'!$B$16:$M$60,'Public Expenditure'!F$1,FALSE),0)</f>
        <v>0</v>
      </c>
      <c r="G60" s="267">
        <f t="shared" si="2"/>
        <v>0</v>
      </c>
      <c r="H60" s="199">
        <f t="shared" si="3"/>
        <v>0</v>
      </c>
      <c r="I60" s="248" t="e">
        <f t="shared" si="4"/>
        <v>#DIV/0!</v>
      </c>
      <c r="J60" s="149">
        <f>+IF(ISNUMBER(VLOOKUP($B60,'Cental Budget'!$B$16:$K$77,'Public Expenditure'!J$1,FALSE)),VLOOKUP($B60,'Cental Budget'!$B$16:$K$77,'Public Expenditure'!J$1,FALSE),0)+IF(ISNUMBER(VLOOKUP('Public Expenditure'!$B60,'Local Government'!$B$16:$M$60,'Public Expenditure'!J$1,FALSE)),VLOOKUP('Public Expenditure'!$B60,'Local Government'!$B$16:$M$60,'Public Expenditure'!J$1,FALSE),0)</f>
        <v>15942231.74</v>
      </c>
      <c r="K60" s="267">
        <f t="shared" si="1"/>
        <v>0.37083581623633405</v>
      </c>
      <c r="L60" s="199">
        <f t="shared" si="5"/>
        <v>-15942231.74</v>
      </c>
      <c r="M60" s="273">
        <f t="shared" si="6"/>
        <v>-100</v>
      </c>
      <c r="BF60" s="154"/>
      <c r="BG60" s="154"/>
      <c r="BH60" s="140"/>
      <c r="BI60" s="140"/>
      <c r="BJ60" s="140"/>
      <c r="BK60" s="139"/>
    </row>
    <row r="61" spans="1:63" ht="13.5" customHeight="1" thickTop="1" thickBot="1">
      <c r="C61" s="171" t="s">
        <v>131</v>
      </c>
      <c r="D61" s="166">
        <f>+D16-D36</f>
        <v>-173294290.73399997</v>
      </c>
      <c r="E61" s="264">
        <f t="shared" si="0"/>
        <v>-3.7635854215224231</v>
      </c>
      <c r="F61" s="166">
        <f>+F16-F36</f>
        <v>-98052164.165703297</v>
      </c>
      <c r="G61" s="264">
        <f t="shared" si="2"/>
        <v>-2.129485593782241</v>
      </c>
      <c r="H61" s="166">
        <f>+D61-F61</f>
        <v>-75242126.568296671</v>
      </c>
      <c r="I61" s="264">
        <f t="shared" si="4"/>
        <v>76.736834121418468</v>
      </c>
      <c r="J61" s="166">
        <f>+J16-J36</f>
        <v>-227069922.63999987</v>
      </c>
      <c r="K61" s="264">
        <f>J61/J$11*100</f>
        <v>-5.2819242298208859</v>
      </c>
      <c r="L61" s="166">
        <f t="shared" si="5"/>
        <v>53775631.905999899</v>
      </c>
      <c r="M61" s="264">
        <f t="shared" si="6"/>
        <v>-23.682410810196387</v>
      </c>
      <c r="O61" s="206"/>
      <c r="BF61" s="154"/>
      <c r="BG61" s="154"/>
      <c r="BH61" s="140"/>
      <c r="BI61" s="140"/>
      <c r="BJ61" s="140"/>
      <c r="BK61" s="139"/>
    </row>
    <row r="62" spans="1:63" ht="13.5" customHeight="1" thickTop="1" thickBot="1">
      <c r="C62" s="171" t="s">
        <v>471</v>
      </c>
      <c r="D62" s="166">
        <f>D61-D60</f>
        <v>-173294290.73399997</v>
      </c>
      <c r="E62" s="264">
        <f t="shared" si="0"/>
        <v>-3.7635854215224231</v>
      </c>
      <c r="F62" s="166">
        <f>F61-F60</f>
        <v>-98052164.165703297</v>
      </c>
      <c r="G62" s="264">
        <f t="shared" si="2"/>
        <v>-2.129485593782241</v>
      </c>
      <c r="H62" s="166">
        <f>+D62-F62</f>
        <v>-75242126.568296671</v>
      </c>
      <c r="I62" s="264">
        <f t="shared" si="4"/>
        <v>76.736834121418468</v>
      </c>
      <c r="J62" s="166">
        <f>J61-J60</f>
        <v>-243012154.37999988</v>
      </c>
      <c r="K62" s="264">
        <f>J62/J$11*100</f>
        <v>-5.6527600460572192</v>
      </c>
      <c r="L62" s="166">
        <f t="shared" ref="L62" si="7">+D62-J62</f>
        <v>69717863.645999908</v>
      </c>
      <c r="M62" s="264">
        <f t="shared" ref="M62" si="8">+D62/J62*100-100</f>
        <v>-28.689043897360605</v>
      </c>
      <c r="O62" s="206"/>
      <c r="BF62" s="154"/>
      <c r="BG62" s="154"/>
      <c r="BH62" s="140"/>
      <c r="BI62" s="140"/>
      <c r="BJ62" s="140"/>
      <c r="BK62" s="139"/>
    </row>
    <row r="63" spans="1:63" ht="13.5" customHeight="1" thickTop="1" thickBot="1">
      <c r="C63" s="171" t="s">
        <v>470</v>
      </c>
      <c r="D63" s="166">
        <f>+D61+D43</f>
        <v>-81315669.983999968</v>
      </c>
      <c r="E63" s="264">
        <f t="shared" si="0"/>
        <v>-1.7660043432294488</v>
      </c>
      <c r="F63" s="166">
        <f>+F61+F43</f>
        <v>-6724616.4103032947</v>
      </c>
      <c r="G63" s="264">
        <f t="shared" si="2"/>
        <v>-0.14604444370297087</v>
      </c>
      <c r="H63" s="166">
        <f t="shared" si="3"/>
        <v>-74591053.573696673</v>
      </c>
      <c r="I63" s="264" t="s">
        <v>469</v>
      </c>
      <c r="J63" s="166">
        <f>+J62+J43</f>
        <v>-140498101.52999985</v>
      </c>
      <c r="K63" s="264">
        <f t="shared" si="1"/>
        <v>-3.2681577466852718</v>
      </c>
      <c r="L63" s="166">
        <f t="shared" si="5"/>
        <v>59182431.545999885</v>
      </c>
      <c r="M63" s="264" t="s">
        <v>469</v>
      </c>
      <c r="BF63" s="154"/>
      <c r="BG63" s="154"/>
      <c r="BH63" s="140"/>
      <c r="BI63" s="140"/>
      <c r="BJ63" s="140"/>
      <c r="BK63" s="139"/>
    </row>
    <row r="64" spans="1:63" ht="13.5" customHeight="1" thickTop="1" thickBot="1">
      <c r="C64" s="171" t="s">
        <v>0</v>
      </c>
      <c r="D64" s="166">
        <f>+SUM(D65:D66)</f>
        <v>712600976.18000007</v>
      </c>
      <c r="E64" s="264">
        <f t="shared" si="0"/>
        <v>15.476185822130525</v>
      </c>
      <c r="F64" s="166">
        <f>+SUM(F65:F67)</f>
        <v>591424495</v>
      </c>
      <c r="G64" s="264">
        <f t="shared" si="2"/>
        <v>12.844488978173526</v>
      </c>
      <c r="H64" s="166">
        <v>0</v>
      </c>
      <c r="I64" s="264">
        <f t="shared" si="4"/>
        <v>20.488918231227473</v>
      </c>
      <c r="J64" s="166">
        <f>+SUM(J65:J66)</f>
        <v>371789848.07000005</v>
      </c>
      <c r="K64" s="264">
        <f t="shared" si="1"/>
        <v>8.6482867659920934</v>
      </c>
      <c r="L64" s="166">
        <f t="shared" si="5"/>
        <v>340811128.11000001</v>
      </c>
      <c r="M64" s="264">
        <f t="shared" si="6"/>
        <v>91.66767997544477</v>
      </c>
      <c r="BF64" s="154"/>
      <c r="BG64" s="154"/>
      <c r="BH64" s="140"/>
      <c r="BI64" s="140"/>
      <c r="BJ64" s="140"/>
      <c r="BK64" s="139"/>
    </row>
    <row r="65" spans="2:63" ht="13.5" customHeight="1" thickTop="1">
      <c r="B65" s="80">
        <v>4611</v>
      </c>
      <c r="C65" s="97" t="s">
        <v>134</v>
      </c>
      <c r="D65" s="151">
        <f>'Cental Budget'!D66+'Local Government'!D50</f>
        <v>248695524.47000003</v>
      </c>
      <c r="E65" s="266">
        <f t="shared" si="0"/>
        <v>5.4011407203822355</v>
      </c>
      <c r="F65" s="151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62680000</v>
      </c>
      <c r="G65" s="266">
        <f t="shared" si="2"/>
        <v>1.3612770116190684</v>
      </c>
      <c r="H65" s="200">
        <f t="shared" si="3"/>
        <v>186015524.47000003</v>
      </c>
      <c r="I65" s="272">
        <f t="shared" si="4"/>
        <v>296.77014114550099</v>
      </c>
      <c r="J65" s="151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236287768.77000001</v>
      </c>
      <c r="K65" s="266">
        <f t="shared" si="1"/>
        <v>5.4963426092114451</v>
      </c>
      <c r="L65" s="200">
        <f t="shared" si="5"/>
        <v>12407755.700000018</v>
      </c>
      <c r="M65" s="272">
        <f t="shared" si="6"/>
        <v>5.2511205995082975</v>
      </c>
      <c r="BF65" s="154"/>
      <c r="BG65" s="154"/>
      <c r="BH65" s="140"/>
      <c r="BI65" s="140"/>
      <c r="BJ65" s="140"/>
      <c r="BK65" s="139"/>
    </row>
    <row r="66" spans="2:63" ht="13.5" customHeight="1">
      <c r="B66" s="80">
        <v>4612</v>
      </c>
      <c r="C66" s="97" t="s">
        <v>136</v>
      </c>
      <c r="D66" s="151">
        <f>'Cental Budget'!D67+'Local Government'!D51</f>
        <v>463905451.70999998</v>
      </c>
      <c r="E66" s="266">
        <f t="shared" si="0"/>
        <v>10.075045101748289</v>
      </c>
      <c r="F66" s="151">
        <f>+IF(ISNUMBER(VLOOKUP($B66,'Cental Budget'!$B$16:$K$77,'Public Expenditure'!F$1,FALSE)),VLOOKUP($B66,'Cental Budget'!$B$16:$K$77,'Public Expenditure'!F$1,FALSE),0)+IF(ISNUMBER(VLOOKUP('Public Expenditure'!$B66,'Local Government'!$B$16:$M$60,'Public Expenditure'!F$1,FALSE)),VLOOKUP('Public Expenditure'!$B66,'Local Government'!$B$16:$M$60,'Public Expenditure'!F$1,FALSE),0)</f>
        <v>465500000</v>
      </c>
      <c r="G66" s="266">
        <f t="shared" si="2"/>
        <v>10.109675317624063</v>
      </c>
      <c r="H66" s="200">
        <f t="shared" si="3"/>
        <v>-1594548.2900000215</v>
      </c>
      <c r="I66" s="272">
        <f t="shared" si="4"/>
        <v>-0.34254528249194038</v>
      </c>
      <c r="J66" s="151">
        <f>+IF(ISNUMBER(VLOOKUP($B66,'Cental Budget'!$B$16:$K$77,'Public Expenditure'!J$1,FALSE)),VLOOKUP($B66,'Cental Budget'!$B$16:$K$77,'Public Expenditure'!J$1,FALSE),0)+IF(ISNUMBER(VLOOKUP('Public Expenditure'!$B66,'Local Government'!$B$16:$M$60,'Public Expenditure'!J$1,FALSE)),VLOOKUP('Public Expenditure'!$B66,'Local Government'!$B$16:$M$60,'Public Expenditure'!J$1,FALSE),0)</f>
        <v>135502079.30000004</v>
      </c>
      <c r="K66" s="266">
        <f t="shared" si="1"/>
        <v>3.1519441567806479</v>
      </c>
      <c r="L66" s="200">
        <f t="shared" si="5"/>
        <v>328403372.40999997</v>
      </c>
      <c r="M66" s="272">
        <f t="shared" si="6"/>
        <v>242.36039336556502</v>
      </c>
      <c r="BF66" s="154"/>
      <c r="BG66" s="154"/>
      <c r="BH66" s="140"/>
      <c r="BI66" s="140"/>
      <c r="BJ66" s="140"/>
      <c r="BK66" s="139"/>
    </row>
    <row r="67" spans="2:63" ht="13.5" customHeight="1" thickBot="1">
      <c r="B67" s="282" t="s">
        <v>447</v>
      </c>
      <c r="C67" s="289" t="s">
        <v>115</v>
      </c>
      <c r="D67" s="151">
        <f>'Cental Budget'!D68+'Local Government'!D52</f>
        <v>0</v>
      </c>
      <c r="E67" s="266">
        <f t="shared" si="0"/>
        <v>0</v>
      </c>
      <c r="F67" s="151">
        <f>'Cental Budget'!F68+'Local Government'!F52</f>
        <v>63244495.000000015</v>
      </c>
      <c r="G67" s="266">
        <f t="shared" si="2"/>
        <v>1.3735366489303946</v>
      </c>
      <c r="H67" s="200">
        <f t="shared" si="3"/>
        <v>-63244495.000000015</v>
      </c>
      <c r="I67" s="272">
        <f t="shared" si="4"/>
        <v>-100</v>
      </c>
      <c r="J67" s="151">
        <f>'Cental Budget'!J68+'Local Government'!J52</f>
        <v>0</v>
      </c>
      <c r="K67" s="266">
        <f t="shared" si="1"/>
        <v>0</v>
      </c>
      <c r="L67" s="200">
        <f t="shared" si="5"/>
        <v>0</v>
      </c>
      <c r="M67" s="272" t="e">
        <f t="shared" si="6"/>
        <v>#DIV/0!</v>
      </c>
      <c r="BF67" s="154"/>
      <c r="BG67" s="154"/>
      <c r="BH67" s="140"/>
      <c r="BI67" s="140"/>
      <c r="BJ67" s="140"/>
      <c r="BK67" s="139"/>
    </row>
    <row r="68" spans="2:63" ht="13.5" customHeight="1" thickTop="1" thickBot="1">
      <c r="C68" s="171" t="s">
        <v>468</v>
      </c>
      <c r="D68" s="166">
        <f>+'Cental Budget'!D69+'Local Government'!D53</f>
        <v>69245296.659999996</v>
      </c>
      <c r="E68" s="264">
        <f t="shared" si="0"/>
        <v>1.5038613673580192</v>
      </c>
      <c r="F68" s="166">
        <f>+'Cental Budget'!F69+'Local Government'!F53</f>
        <v>70000000</v>
      </c>
      <c r="G68" s="264">
        <f t="shared" si="2"/>
        <v>1.5202519274622652</v>
      </c>
      <c r="H68" s="166">
        <f t="shared" si="3"/>
        <v>-754703.34000000358</v>
      </c>
      <c r="I68" s="264">
        <f t="shared" si="4"/>
        <v>-1.0781476285714291</v>
      </c>
      <c r="J68" s="166">
        <f>+'Cental Budget'!J69+'Local Government'!J53</f>
        <v>0</v>
      </c>
      <c r="K68" s="264">
        <f t="shared" si="1"/>
        <v>0</v>
      </c>
      <c r="L68" s="166">
        <f t="shared" si="5"/>
        <v>69245296.659999996</v>
      </c>
      <c r="M68" s="264" t="e">
        <f t="shared" si="6"/>
        <v>#DIV/0!</v>
      </c>
      <c r="O68" s="206"/>
      <c r="BF68" s="154"/>
      <c r="BG68" s="154"/>
      <c r="BH68" s="140"/>
      <c r="BI68" s="140"/>
      <c r="BJ68" s="140"/>
      <c r="BK68" s="139"/>
    </row>
    <row r="69" spans="2:63" ht="13.5" customHeight="1" thickTop="1" thickBot="1">
      <c r="C69" s="171" t="s">
        <v>140</v>
      </c>
      <c r="D69" s="166">
        <f>+D61-D64-D68</f>
        <v>-955140563.574</v>
      </c>
      <c r="E69" s="264">
        <f t="shared" si="0"/>
        <v>-20.743632611010966</v>
      </c>
      <c r="F69" s="166">
        <f>+F61-F64-F68</f>
        <v>-759476659.1657033</v>
      </c>
      <c r="G69" s="264">
        <f t="shared" si="2"/>
        <v>-16.494226499418033</v>
      </c>
      <c r="H69" s="166">
        <f t="shared" si="3"/>
        <v>-195663904.4082967</v>
      </c>
      <c r="I69" s="264">
        <f t="shared" si="4"/>
        <v>25.762991139614016</v>
      </c>
      <c r="J69" s="166">
        <f>+J61-J64-J68</f>
        <v>-598859770.70999992</v>
      </c>
      <c r="K69" s="264">
        <f t="shared" si="1"/>
        <v>-13.930210995812978</v>
      </c>
      <c r="L69" s="166">
        <f t="shared" si="5"/>
        <v>-356280792.86400008</v>
      </c>
      <c r="M69" s="264">
        <f t="shared" si="6"/>
        <v>59.493191944016957</v>
      </c>
      <c r="O69" s="206"/>
      <c r="BF69" s="154"/>
      <c r="BG69" s="154"/>
      <c r="BH69" s="140"/>
      <c r="BI69" s="140"/>
      <c r="BJ69" s="140"/>
      <c r="BK69" s="139"/>
    </row>
    <row r="70" spans="2:63" ht="13.5" customHeight="1" thickTop="1" thickBot="1">
      <c r="C70" s="171" t="s">
        <v>120</v>
      </c>
      <c r="D70" s="166">
        <f>+SUM(D71:D75)</f>
        <v>955140563.574</v>
      </c>
      <c r="E70" s="264">
        <f t="shared" si="0"/>
        <v>20.743632611010966</v>
      </c>
      <c r="F70" s="166">
        <f>+SUM(F71:F75)</f>
        <v>759476659.1657033</v>
      </c>
      <c r="G70" s="264">
        <f t="shared" si="2"/>
        <v>16.494226499418033</v>
      </c>
      <c r="H70" s="166">
        <f t="shared" si="3"/>
        <v>195663904.4082967</v>
      </c>
      <c r="I70" s="264">
        <f t="shared" si="4"/>
        <v>25.762991139614016</v>
      </c>
      <c r="J70" s="166">
        <f>+SUM(J71:J75)</f>
        <v>598859770.70999992</v>
      </c>
      <c r="K70" s="264">
        <f t="shared" si="1"/>
        <v>13.930210995812978</v>
      </c>
      <c r="L70" s="166">
        <f t="shared" si="5"/>
        <v>356280792.86400008</v>
      </c>
      <c r="M70" s="264">
        <f t="shared" si="6"/>
        <v>59.493191944016957</v>
      </c>
      <c r="O70" s="206"/>
      <c r="BF70" s="154"/>
      <c r="BG70" s="154"/>
      <c r="BH70" s="140"/>
      <c r="BI70" s="140"/>
      <c r="BJ70" s="140"/>
      <c r="BK70" s="139"/>
    </row>
    <row r="71" spans="2:63" ht="13.5" customHeight="1" thickTop="1">
      <c r="B71" s="80">
        <v>7511</v>
      </c>
      <c r="C71" s="97" t="s">
        <v>143</v>
      </c>
      <c r="D71" s="151">
        <f>'Cental Budget'!D72+'Local Government'!D56</f>
        <v>222374382.19</v>
      </c>
      <c r="E71" s="266">
        <f t="shared" si="0"/>
        <v>4.8295011877511129</v>
      </c>
      <c r="F71" s="151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10000000</v>
      </c>
      <c r="G71" s="266">
        <f t="shared" si="2"/>
        <v>0.21717884678032359</v>
      </c>
      <c r="H71" s="200">
        <f t="shared" si="3"/>
        <v>212374382.19</v>
      </c>
      <c r="I71" s="272" t="s">
        <v>469</v>
      </c>
      <c r="J71" s="151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264385187.05000001</v>
      </c>
      <c r="K71" s="266">
        <f t="shared" si="1"/>
        <v>6.1499229367294728</v>
      </c>
      <c r="L71" s="200">
        <f t="shared" si="5"/>
        <v>-42010804.860000014</v>
      </c>
      <c r="M71" s="272">
        <f t="shared" si="6"/>
        <v>-15.889999484749879</v>
      </c>
      <c r="O71" s="206"/>
      <c r="BF71" s="154"/>
      <c r="BG71" s="154"/>
      <c r="BH71" s="140"/>
      <c r="BI71" s="140"/>
      <c r="BJ71" s="140"/>
      <c r="BK71" s="139"/>
    </row>
    <row r="72" spans="2:63" ht="13.5" customHeight="1">
      <c r="B72" s="80">
        <v>7512</v>
      </c>
      <c r="C72" s="97" t="s">
        <v>121</v>
      </c>
      <c r="D72" s="151">
        <f>'Cental Budget'!D73+'Local Government'!D57</f>
        <v>903503886.95000017</v>
      </c>
      <c r="E72" s="266">
        <f t="shared" si="0"/>
        <v>19.62219322293409</v>
      </c>
      <c r="F72" s="151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745264348.56578732</v>
      </c>
      <c r="G72" s="266">
        <f t="shared" si="2"/>
        <v>16.185565176800683</v>
      </c>
      <c r="H72" s="200">
        <f t="shared" si="3"/>
        <v>158239538.38421285</v>
      </c>
      <c r="I72" s="272">
        <f t="shared" si="4"/>
        <v>21.232672499192347</v>
      </c>
      <c r="J72" s="151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353339674.82999998</v>
      </c>
      <c r="K72" s="266">
        <f t="shared" si="1"/>
        <v>8.2191131618981164</v>
      </c>
      <c r="L72" s="200">
        <f t="shared" si="5"/>
        <v>550164212.12000012</v>
      </c>
      <c r="M72" s="272">
        <f t="shared" si="6"/>
        <v>155.70405796764746</v>
      </c>
      <c r="O72" s="206"/>
      <c r="BF72" s="154"/>
      <c r="BG72" s="154"/>
      <c r="BH72" s="140"/>
      <c r="BI72" s="140"/>
      <c r="BJ72" s="140"/>
      <c r="BK72" s="139"/>
    </row>
    <row r="73" spans="2:63" ht="13.5" customHeight="1">
      <c r="B73" s="80">
        <v>72</v>
      </c>
      <c r="C73" s="103" t="s">
        <v>328</v>
      </c>
      <c r="D73" s="151">
        <f>'Cental Budget'!D74+'Local Government'!D58</f>
        <v>23917749.559999999</v>
      </c>
      <c r="E73" s="270">
        <f t="shared" si="0"/>
        <v>0.51944292670213921</v>
      </c>
      <c r="F73" s="151">
        <f>+IF(ISNUMBER(VLOOKUP($B73,'Cental Budget'!$B$16:$K$77,'Public Expenditure'!F$1,FALSE)),VLOOKUP($B73,'Cental Budget'!$B$16:$K$77,'Public Expenditure'!F$1,FALSE),0)+IF(ISNUMBER(VLOOKUP('Public Expenditure'!$B73,'Local Government'!$B$16:$M$60,'Public Expenditure'!F$1,FALSE)),VLOOKUP('Public Expenditure'!$B73,'Local Government'!$B$16:$M$60,'Public Expenditure'!F$1,FALSE),0)</f>
        <v>21000000</v>
      </c>
      <c r="G73" s="270">
        <f t="shared" si="2"/>
        <v>0.45607557823867956</v>
      </c>
      <c r="H73" s="200">
        <f t="shared" si="3"/>
        <v>2917749.5599999987</v>
      </c>
      <c r="I73" s="272">
        <f t="shared" si="4"/>
        <v>13.894045523809524</v>
      </c>
      <c r="J73" s="151">
        <f>+IF(ISNUMBER(VLOOKUP($B73,'Cental Budget'!$B$16:$K$77,'Public Expenditure'!J$1,FALSE)),VLOOKUP($B73,'Cental Budget'!$B$16:$K$77,'Public Expenditure'!J$1,FALSE),0)+IF(ISNUMBER(VLOOKUP('Public Expenditure'!$B73,'Local Government'!$B$16:$M$60,'Public Expenditure'!J$1,FALSE)),VLOOKUP('Public Expenditure'!$B73,'Local Government'!$B$16:$M$60,'Public Expenditure'!J$1,FALSE),0)</f>
        <v>9272797.5899999999</v>
      </c>
      <c r="K73" s="270">
        <f t="shared" si="1"/>
        <v>0.215696617585485</v>
      </c>
      <c r="L73" s="200">
        <f t="shared" si="5"/>
        <v>14644951.969999999</v>
      </c>
      <c r="M73" s="272">
        <f t="shared" si="6"/>
        <v>157.93455888429457</v>
      </c>
      <c r="O73" s="206"/>
      <c r="BF73" s="154"/>
      <c r="BG73" s="154"/>
      <c r="BH73" s="140"/>
      <c r="BI73" s="140"/>
      <c r="BJ73" s="140"/>
      <c r="BK73" s="139"/>
    </row>
    <row r="74" spans="2:63" ht="13.5" customHeight="1" thickBot="1">
      <c r="C74" s="103" t="s">
        <v>464</v>
      </c>
      <c r="D74" s="151">
        <f>+'Local Government'!D60</f>
        <v>8622666.9700000007</v>
      </c>
      <c r="E74" s="270">
        <f t="shared" si="0"/>
        <v>0.18726608687153873</v>
      </c>
      <c r="F74" s="151">
        <f>+'Local Government'!F60</f>
        <v>4000000</v>
      </c>
      <c r="G74" s="270">
        <f t="shared" si="2"/>
        <v>8.6871538712129437E-2</v>
      </c>
      <c r="H74" s="200">
        <f t="shared" si="3"/>
        <v>4622666.9700000007</v>
      </c>
      <c r="I74" s="272">
        <f t="shared" si="4"/>
        <v>115.56667425000003</v>
      </c>
      <c r="J74" s="151">
        <f>+'Local Government'!J60</f>
        <v>3634108.3600000003</v>
      </c>
      <c r="K74" s="270">
        <f t="shared" si="1"/>
        <v>8.4533806931844618E-2</v>
      </c>
      <c r="L74" s="200">
        <f t="shared" si="5"/>
        <v>4988558.6100000003</v>
      </c>
      <c r="M74" s="272">
        <f t="shared" si="6"/>
        <v>137.27049707455615</v>
      </c>
      <c r="O74" s="206"/>
      <c r="BF74" s="154"/>
      <c r="BG74" s="154"/>
      <c r="BH74" s="140"/>
      <c r="BI74" s="140"/>
      <c r="BJ74" s="140"/>
      <c r="BK74" s="139"/>
    </row>
    <row r="75" spans="2:63" ht="13.5" customHeight="1" thickTop="1" thickBot="1">
      <c r="C75" s="143" t="s">
        <v>124</v>
      </c>
      <c r="D75" s="144">
        <f>-D69-SUM(D71:D74)</f>
        <v>-203278122.09600008</v>
      </c>
      <c r="E75" s="268">
        <f t="shared" si="0"/>
        <v>-4.4147708132479115</v>
      </c>
      <c r="F75" s="144">
        <f>-F69-SUM(F71:F74)</f>
        <v>-20787689.400084019</v>
      </c>
      <c r="G75" s="268">
        <f t="shared" si="2"/>
        <v>-0.45146464111378043</v>
      </c>
      <c r="H75" s="198">
        <f t="shared" si="3"/>
        <v>-182490432.69591606</v>
      </c>
      <c r="I75" s="274">
        <f t="shared" si="4"/>
        <v>877.87742631549258</v>
      </c>
      <c r="J75" s="144">
        <f>-J69-SUM(J71:J74)</f>
        <v>-31771997.120000124</v>
      </c>
      <c r="K75" s="268">
        <f t="shared" si="1"/>
        <v>-0.73905552733194058</v>
      </c>
      <c r="L75" s="198">
        <f t="shared" si="5"/>
        <v>-171506124.97599995</v>
      </c>
      <c r="M75" s="274" t="s">
        <v>469</v>
      </c>
      <c r="O75" s="206"/>
      <c r="BF75" s="154"/>
      <c r="BG75" s="154"/>
      <c r="BH75" s="140"/>
      <c r="BI75" s="140"/>
      <c r="BJ75" s="140"/>
      <c r="BK75" s="139"/>
    </row>
    <row r="76" spans="2:63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427</v>
      </c>
    </row>
    <row r="78" spans="2:63">
      <c r="D78" s="206"/>
    </row>
    <row r="81" spans="4:10">
      <c r="D81" s="102"/>
      <c r="F81" s="102"/>
      <c r="J81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2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36" t="s">
        <v>195</v>
      </c>
      <c r="C3" s="336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36" t="s">
        <v>243</v>
      </c>
      <c r="C37" s="336"/>
      <c r="D37" s="336"/>
      <c r="E37" s="336"/>
      <c r="F37" s="336"/>
      <c r="G37" s="336"/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</row>
    <row r="40" spans="2:20" ht="12.75" customHeight="1">
      <c r="B40" s="339" t="s">
        <v>238</v>
      </c>
      <c r="C40" s="339"/>
      <c r="D40" s="340" t="s">
        <v>244</v>
      </c>
      <c r="E40" s="340"/>
      <c r="F40" s="339" t="s">
        <v>239</v>
      </c>
      <c r="G40" s="339"/>
      <c r="H40" s="339"/>
      <c r="I40" s="2" t="s">
        <v>240</v>
      </c>
      <c r="J40" s="339" t="s">
        <v>241</v>
      </c>
      <c r="K40" s="339"/>
      <c r="L40" s="339"/>
      <c r="M40" s="339" t="s">
        <v>242</v>
      </c>
      <c r="N40" s="339"/>
      <c r="O40" s="339"/>
      <c r="P40" s="339"/>
    </row>
    <row r="41" spans="2:20">
      <c r="B41" s="339"/>
      <c r="C41" s="339"/>
      <c r="D41" s="340"/>
      <c r="E41" s="340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37" t="s">
        <v>222</v>
      </c>
      <c r="C42" s="15" t="s">
        <v>223</v>
      </c>
      <c r="D42" s="341" t="s">
        <v>180</v>
      </c>
      <c r="E42" s="16" t="s">
        <v>181</v>
      </c>
      <c r="F42" s="341" t="s">
        <v>246</v>
      </c>
      <c r="G42" s="341"/>
      <c r="H42" s="341"/>
      <c r="I42" s="17" t="s">
        <v>247</v>
      </c>
      <c r="J42" s="342" t="s">
        <v>248</v>
      </c>
      <c r="K42" s="342"/>
      <c r="L42" s="342"/>
      <c r="M42" s="341" t="s">
        <v>249</v>
      </c>
      <c r="N42" s="341"/>
      <c r="O42" s="341"/>
      <c r="P42" s="341"/>
    </row>
    <row r="43" spans="2:20">
      <c r="B43" s="337"/>
      <c r="C43" s="18" t="s">
        <v>224</v>
      </c>
      <c r="D43" s="341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37"/>
      <c r="C44" s="15" t="s">
        <v>225</v>
      </c>
      <c r="D44" s="341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37"/>
      <c r="C45" s="15" t="s">
        <v>226</v>
      </c>
      <c r="D45" s="341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37"/>
      <c r="C46" s="15" t="s">
        <v>227</v>
      </c>
      <c r="D46" s="341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37"/>
      <c r="C47" s="15" t="s">
        <v>228</v>
      </c>
      <c r="D47" s="341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37"/>
      <c r="C48" s="15" t="s">
        <v>229</v>
      </c>
      <c r="D48" s="341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37"/>
      <c r="C49" s="19" t="s">
        <v>230</v>
      </c>
      <c r="D49" s="341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37"/>
      <c r="C50" s="15" t="s">
        <v>231</v>
      </c>
      <c r="D50" s="341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37"/>
      <c r="C51" s="15" t="s">
        <v>378</v>
      </c>
      <c r="D51" s="341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38" t="s">
        <v>232</v>
      </c>
      <c r="C52" s="20" t="s">
        <v>233</v>
      </c>
      <c r="D52" s="341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38"/>
      <c r="C53" s="20" t="s">
        <v>234</v>
      </c>
      <c r="D53" s="341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38"/>
      <c r="C54" s="20" t="s">
        <v>235</v>
      </c>
      <c r="D54" s="341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38"/>
      <c r="C55" s="20" t="s">
        <v>374</v>
      </c>
      <c r="D55" s="341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38"/>
      <c r="C56" s="20" t="s">
        <v>79</v>
      </c>
      <c r="D56" s="341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38"/>
      <c r="C57" s="20" t="s">
        <v>236</v>
      </c>
      <c r="D57" s="341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38"/>
      <c r="C58" s="20" t="s">
        <v>375</v>
      </c>
      <c r="D58" s="341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38"/>
      <c r="C59" s="20" t="s">
        <v>237</v>
      </c>
      <c r="D59" s="341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36" t="s">
        <v>251</v>
      </c>
      <c r="C62" s="336"/>
      <c r="D62" s="336"/>
      <c r="E62" s="336"/>
      <c r="F62" s="336"/>
      <c r="G62" s="336"/>
      <c r="H62" s="336"/>
      <c r="I62" s="336"/>
      <c r="J62" s="336"/>
      <c r="K62" s="336"/>
      <c r="L62" s="336"/>
      <c r="M62" s="336"/>
      <c r="N62" s="336"/>
      <c r="O62" s="336"/>
      <c r="P62" s="336"/>
      <c r="Q62" s="336"/>
      <c r="R62" s="336"/>
      <c r="S62" s="336"/>
      <c r="T62" s="336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36" t="s">
        <v>255</v>
      </c>
      <c r="C154" s="336"/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  <c r="R154" s="336"/>
      <c r="S154" s="336"/>
      <c r="T154" s="336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36" t="s">
        <v>278</v>
      </c>
      <c r="C253" s="336"/>
      <c r="D253" s="336"/>
      <c r="E253" s="336"/>
      <c r="F253" s="336"/>
      <c r="G253" s="336"/>
      <c r="H253" s="336"/>
      <c r="I253" s="336"/>
      <c r="J253" s="336"/>
      <c r="K253" s="336"/>
      <c r="L253" s="336"/>
      <c r="M253" s="336"/>
      <c r="N253" s="336"/>
      <c r="O253" s="336"/>
      <c r="P253" s="336"/>
      <c r="Q253" s="336"/>
      <c r="R253" s="336"/>
      <c r="S253" s="336"/>
      <c r="T253" s="336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36" t="s">
        <v>314</v>
      </c>
      <c r="C331" s="336"/>
      <c r="D331" s="336"/>
      <c r="E331" s="336"/>
      <c r="F331" s="336"/>
      <c r="G331" s="336"/>
      <c r="H331" s="336"/>
      <c r="I331" s="336"/>
      <c r="J331" s="336"/>
      <c r="K331" s="336"/>
      <c r="L331" s="336"/>
      <c r="M331" s="336"/>
      <c r="N331" s="336"/>
      <c r="O331" s="336"/>
      <c r="P331" s="336"/>
      <c r="Q331" s="336"/>
      <c r="R331" s="336"/>
      <c r="S331" s="336"/>
      <c r="T331" s="336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36" t="s">
        <v>386</v>
      </c>
      <c r="C419" s="343"/>
      <c r="D419" s="343"/>
      <c r="E419" s="343"/>
      <c r="F419" s="343"/>
      <c r="G419" s="343"/>
      <c r="H419" s="343"/>
      <c r="I419" s="343"/>
      <c r="J419" s="343"/>
      <c r="K419" s="343"/>
      <c r="L419" s="343"/>
      <c r="M419" s="343"/>
      <c r="N419" s="343"/>
      <c r="O419" s="343"/>
      <c r="P419" s="343"/>
      <c r="Q419" s="343"/>
      <c r="R419" s="343"/>
      <c r="S419" s="343"/>
      <c r="T419" s="343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36" t="s">
        <v>329</v>
      </c>
      <c r="C427" s="336"/>
      <c r="D427" s="336"/>
      <c r="E427" s="336"/>
      <c r="F427" s="336"/>
      <c r="G427" s="336"/>
      <c r="H427" s="336"/>
      <c r="I427" s="336"/>
      <c r="J427" s="336"/>
      <c r="K427" s="336"/>
      <c r="L427" s="336"/>
      <c r="M427" s="336"/>
      <c r="N427" s="336"/>
      <c r="O427" s="336"/>
      <c r="P427" s="336"/>
      <c r="Q427" s="336"/>
      <c r="R427" s="336"/>
      <c r="S427" s="336"/>
      <c r="T427" s="336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36" t="s">
        <v>344</v>
      </c>
      <c r="C432" s="336"/>
      <c r="D432" s="336"/>
      <c r="E432" s="336"/>
      <c r="F432" s="336"/>
      <c r="G432" s="336"/>
      <c r="H432" s="336"/>
      <c r="I432" s="336"/>
      <c r="J432" s="336"/>
      <c r="K432" s="336"/>
      <c r="L432" s="336"/>
      <c r="M432" s="336"/>
      <c r="N432" s="336"/>
      <c r="O432" s="336"/>
      <c r="P432" s="336"/>
      <c r="Q432" s="336"/>
      <c r="R432" s="336"/>
      <c r="S432" s="336"/>
      <c r="T432" s="336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4" t="s">
        <v>292</v>
      </c>
      <c r="E4" s="174" t="s">
        <v>293</v>
      </c>
      <c r="F4" s="174" t="s">
        <v>294</v>
      </c>
      <c r="G4" s="174" t="s">
        <v>295</v>
      </c>
      <c r="H4" s="174" t="s">
        <v>296</v>
      </c>
      <c r="I4" s="174" t="s">
        <v>297</v>
      </c>
      <c r="J4" s="174" t="s">
        <v>298</v>
      </c>
      <c r="K4" s="174" t="s">
        <v>299</v>
      </c>
      <c r="L4" s="174" t="s">
        <v>300</v>
      </c>
      <c r="M4" s="174" t="s">
        <v>301</v>
      </c>
      <c r="N4" s="174" t="s">
        <v>302</v>
      </c>
      <c r="O4" s="174" t="s">
        <v>303</v>
      </c>
    </row>
    <row r="5" spans="3:16">
      <c r="C5" s="174" t="s">
        <v>435</v>
      </c>
      <c r="D5" s="175">
        <v>62425293.156965584</v>
      </c>
      <c r="E5" s="175">
        <v>79762187.59852089</v>
      </c>
      <c r="F5" s="175">
        <v>89318688.151918903</v>
      </c>
      <c r="G5" s="175">
        <v>106294081.27535464</v>
      </c>
      <c r="H5" s="175">
        <v>97189661.825924918</v>
      </c>
      <c r="I5" s="175">
        <v>105191801.34506513</v>
      </c>
      <c r="J5" s="175">
        <v>123272889.17858437</v>
      </c>
      <c r="K5" s="175">
        <v>125579133.65326507</v>
      </c>
      <c r="L5" s="175">
        <v>121047897.33843082</v>
      </c>
      <c r="M5" s="175">
        <v>114789505.85515907</v>
      </c>
      <c r="N5" s="175">
        <v>97406301.479715049</v>
      </c>
      <c r="O5" s="175">
        <v>145778958.57826602</v>
      </c>
      <c r="P5" s="175">
        <f>+SUM(D5:O5)</f>
        <v>1268056399.4371705</v>
      </c>
    </row>
    <row r="6" spans="3:16">
      <c r="C6" s="174" t="s">
        <v>436</v>
      </c>
      <c r="D6" s="175">
        <v>70632268.589999989</v>
      </c>
      <c r="E6" s="175">
        <v>81381758.450000018</v>
      </c>
      <c r="F6" s="175">
        <v>100495765.61000001</v>
      </c>
      <c r="G6" s="175">
        <v>107356417.33534782</v>
      </c>
      <c r="H6" s="175">
        <v>98816734.644163221</v>
      </c>
      <c r="I6" s="175">
        <v>107147051.5707173</v>
      </c>
      <c r="J6" s="175">
        <v>125666748.8575906</v>
      </c>
      <c r="K6" s="175">
        <v>127890096.38694921</v>
      </c>
      <c r="L6" s="175">
        <v>123465322.33433203</v>
      </c>
      <c r="M6" s="175">
        <v>117130344.73943919</v>
      </c>
      <c r="N6" s="175">
        <v>99294843.070796907</v>
      </c>
      <c r="O6" s="175">
        <v>149056317.49743444</v>
      </c>
      <c r="P6" s="175">
        <f>+SUM(D6:O6)</f>
        <v>1308333669.0867708</v>
      </c>
    </row>
    <row r="7" spans="3:16">
      <c r="C7" s="174" t="s">
        <v>437</v>
      </c>
      <c r="D7" s="175">
        <v>54757461.979999989</v>
      </c>
      <c r="E7" s="175">
        <v>75673443.909999996</v>
      </c>
      <c r="F7" s="175">
        <v>88296245.580000013</v>
      </c>
      <c r="G7" s="175">
        <v>103948239.19999999</v>
      </c>
      <c r="H7" s="175">
        <v>93997829.679999992</v>
      </c>
      <c r="I7" s="175">
        <v>99561632.659999996</v>
      </c>
      <c r="J7" s="175">
        <v>122021331.04999998</v>
      </c>
      <c r="K7" s="175">
        <v>125053427.64999999</v>
      </c>
      <c r="L7" s="175">
        <v>116342017.78000002</v>
      </c>
      <c r="M7" s="175">
        <v>117283627.60000001</v>
      </c>
      <c r="N7" s="175">
        <v>95781753.159999996</v>
      </c>
      <c r="O7" s="175">
        <v>142429369.22999999</v>
      </c>
      <c r="P7" s="175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07">
        <v>3335894492.1291356</v>
      </c>
      <c r="D3" s="307"/>
      <c r="E3" s="300">
        <v>3516156889.9792166</v>
      </c>
      <c r="F3" s="301"/>
      <c r="G3" s="301"/>
      <c r="H3" s="302"/>
    </row>
    <row r="4" spans="2:13" ht="13.5" thickTop="1">
      <c r="E4" s="83"/>
      <c r="F4" s="83"/>
      <c r="G4" s="82"/>
      <c r="H4" s="82"/>
    </row>
    <row r="5" spans="2:13" ht="13.5" thickBot="1">
      <c r="E5" s="157"/>
      <c r="F5" s="157"/>
      <c r="G5" s="157"/>
      <c r="H5" s="157"/>
    </row>
    <row r="6" spans="2:13" ht="13.5" thickTop="1">
      <c r="B6" t="s">
        <v>126</v>
      </c>
      <c r="C6" s="298">
        <v>2013</v>
      </c>
      <c r="D6" s="299"/>
      <c r="E6" s="298" t="s">
        <v>392</v>
      </c>
      <c r="F6" s="299"/>
      <c r="G6" s="298" t="s">
        <v>426</v>
      </c>
      <c r="H6" s="299"/>
      <c r="I6" s="298" t="s">
        <v>438</v>
      </c>
      <c r="J6" s="299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77" t="s">
        <v>262</v>
      </c>
      <c r="J7" s="177" t="s">
        <v>439</v>
      </c>
    </row>
    <row r="8" spans="2:13" ht="14.25" thickTop="1" thickBot="1">
      <c r="B8" s="90" t="s">
        <v>127</v>
      </c>
      <c r="C8" s="158">
        <f>C9+C17+C22+C27+C34+C39</f>
        <v>1235146379.48</v>
      </c>
      <c r="D8" s="92">
        <f>C8/C$3*100</f>
        <v>37.025942588839719</v>
      </c>
      <c r="E8" s="158">
        <f>+E9+E17+E22+E27+E34+E39+E40</f>
        <v>1276056399.4371703</v>
      </c>
      <c r="F8" s="92">
        <f>E8/E$3*100</f>
        <v>36.291224748071834</v>
      </c>
      <c r="G8" s="155">
        <f>+G9+G17+G22+G27+G34+G39+G40</f>
        <v>1316333669.0867703</v>
      </c>
      <c r="H8" s="92">
        <f>G8/E$3*100</f>
        <v>37.436716002014087</v>
      </c>
      <c r="I8" s="155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49">
        <f>SUM(C10:C16)</f>
        <v>755696459.51000011</v>
      </c>
      <c r="D9" s="95">
        <f t="shared" ref="D9:D72" si="0">C9/C$3*100</f>
        <v>22.653488031261944</v>
      </c>
      <c r="E9" s="149">
        <f>+SUM(E10:E16)</f>
        <v>797828901.35953081</v>
      </c>
      <c r="F9" s="96">
        <f t="shared" ref="F9:F73" si="1">E9/E$3*100</f>
        <v>22.690366963808792</v>
      </c>
      <c r="G9" s="149">
        <f>+SUM(G10:G16)</f>
        <v>819077478.06873</v>
      </c>
      <c r="H9" s="96">
        <f t="shared" ref="H9:H72" si="2">G9/E$3*100</f>
        <v>23.294679495190881</v>
      </c>
      <c r="I9" s="149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0">
        <v>95618433.909999996</v>
      </c>
      <c r="D10" s="98">
        <f t="shared" si="0"/>
        <v>2.8663506635358695</v>
      </c>
      <c r="E10" s="150">
        <v>96011654.614494905</v>
      </c>
      <c r="F10" s="98">
        <f t="shared" si="1"/>
        <v>2.7305850568875618</v>
      </c>
      <c r="G10" s="151">
        <v>96781150.729929999</v>
      </c>
      <c r="H10" s="98">
        <f t="shared" si="2"/>
        <v>2.7524696354064582</v>
      </c>
      <c r="I10" s="151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1">
        <v>40638726.390000008</v>
      </c>
      <c r="D11" s="98">
        <f t="shared" si="0"/>
        <v>1.2182257708055488</v>
      </c>
      <c r="E11" s="151">
        <v>44395641.531501003</v>
      </c>
      <c r="F11" s="98">
        <f t="shared" si="1"/>
        <v>1.2626183336137604</v>
      </c>
      <c r="G11" s="151">
        <v>50018934.706970006</v>
      </c>
      <c r="H11" s="98">
        <f t="shared" si="2"/>
        <v>1.4225455880401758</v>
      </c>
      <c r="I11" s="151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1">
        <v>1440565.3199999998</v>
      </c>
      <c r="D12" s="98">
        <f t="shared" si="0"/>
        <v>4.318377944503151E-2</v>
      </c>
      <c r="E12" s="151">
        <v>1544536.6728920399</v>
      </c>
      <c r="F12" s="98">
        <f t="shared" si="1"/>
        <v>4.3926841754241781E-2</v>
      </c>
      <c r="G12" s="151">
        <v>1489198.0023599996</v>
      </c>
      <c r="H12" s="98">
        <f t="shared" si="2"/>
        <v>4.2353002125818169E-2</v>
      </c>
      <c r="I12" s="151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0">
        <v>429195069.32999998</v>
      </c>
      <c r="D13" s="98">
        <f t="shared" si="0"/>
        <v>12.865966544885122</v>
      </c>
      <c r="E13" s="150">
        <v>455945630.52919102</v>
      </c>
      <c r="F13" s="98">
        <f t="shared" si="1"/>
        <v>12.967158315051353</v>
      </c>
      <c r="G13" s="151">
        <v>473642045.78458995</v>
      </c>
      <c r="H13" s="98">
        <f t="shared" si="2"/>
        <v>13.470446871538474</v>
      </c>
      <c r="I13" s="151">
        <f t="shared" si="3"/>
        <v>17696415.255398929</v>
      </c>
      <c r="J13" s="98">
        <f t="shared" si="4"/>
        <v>3.8812555862986784</v>
      </c>
      <c r="L13" s="151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1">
        <v>161445470.17000002</v>
      </c>
      <c r="D14" s="98">
        <f t="shared" si="0"/>
        <v>4.8396455748502225</v>
      </c>
      <c r="E14" s="151">
        <v>171111988.52539012</v>
      </c>
      <c r="F14" s="98">
        <f t="shared" si="1"/>
        <v>4.8664491909631922</v>
      </c>
      <c r="G14" s="151">
        <v>169158715.98390999</v>
      </c>
      <c r="H14" s="98">
        <f t="shared" si="2"/>
        <v>4.8108978432105705</v>
      </c>
      <c r="I14" s="151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1">
        <v>22269382.640000001</v>
      </c>
      <c r="D15" s="98">
        <f t="shared" si="0"/>
        <v>0.66756855447746977</v>
      </c>
      <c r="E15" s="151">
        <v>23735353.696558259</v>
      </c>
      <c r="F15" s="98">
        <f t="shared" si="1"/>
        <v>0.67503682114419394</v>
      </c>
      <c r="G15" s="151">
        <v>22781578.440719999</v>
      </c>
      <c r="H15" s="98">
        <f t="shared" si="2"/>
        <v>0.64791131776985811</v>
      </c>
      <c r="I15" s="151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1">
        <v>5088811.75</v>
      </c>
      <c r="D16" s="98">
        <f t="shared" si="0"/>
        <v>0.15254714326267749</v>
      </c>
      <c r="E16" s="151">
        <v>5084095.7895035082</v>
      </c>
      <c r="F16" s="98">
        <f t="shared" si="1"/>
        <v>0.14459240439449103</v>
      </c>
      <c r="G16" s="151">
        <v>5205854.4202499995</v>
      </c>
      <c r="H16" s="98">
        <f t="shared" si="2"/>
        <v>0.14805523709952459</v>
      </c>
      <c r="I16" s="151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59">
        <f>SUM(C18:C21)</f>
        <v>398494284.19</v>
      </c>
      <c r="D17" s="96">
        <f t="shared" si="0"/>
        <v>11.94565011364196</v>
      </c>
      <c r="E17" s="149">
        <f>+SUM(E18:E21)</f>
        <v>397823173.70918262</v>
      </c>
      <c r="F17" s="96">
        <f t="shared" si="1"/>
        <v>11.314147410286179</v>
      </c>
      <c r="G17" s="149">
        <f>+SUM(G18:G21)</f>
        <v>417559652.73636997</v>
      </c>
      <c r="H17" s="96">
        <f t="shared" si="2"/>
        <v>11.87545566940951</v>
      </c>
      <c r="I17" s="149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1">
        <v>241949355.72999999</v>
      </c>
      <c r="D18" s="98">
        <f t="shared" si="0"/>
        <v>7.2529079172277937</v>
      </c>
      <c r="E18" s="151">
        <v>234882396.70208701</v>
      </c>
      <c r="F18" s="98">
        <f t="shared" si="1"/>
        <v>6.6800886323213922</v>
      </c>
      <c r="G18" s="151">
        <v>254875867.28178996</v>
      </c>
      <c r="H18" s="98">
        <f t="shared" si="2"/>
        <v>7.2487057676000486</v>
      </c>
      <c r="I18" s="151">
        <f t="shared" si="3"/>
        <v>19993470.579702944</v>
      </c>
      <c r="J18" s="98">
        <f t="shared" si="4"/>
        <v>8.5121196225963445</v>
      </c>
      <c r="L18" s="151">
        <f>+G18-C18</f>
        <v>12926511.551789969</v>
      </c>
    </row>
    <row r="19" spans="2:12">
      <c r="B19" s="97" t="s">
        <v>23</v>
      </c>
      <c r="C19" s="151">
        <v>134703897.09</v>
      </c>
      <c r="D19" s="98">
        <f t="shared" si="0"/>
        <v>4.038014313936686</v>
      </c>
      <c r="E19" s="151">
        <v>138667298.82084399</v>
      </c>
      <c r="F19" s="98">
        <f t="shared" si="1"/>
        <v>3.9437176201106214</v>
      </c>
      <c r="G19" s="151">
        <v>139196347.37307</v>
      </c>
      <c r="H19" s="98">
        <f t="shared" si="2"/>
        <v>3.9587638358734543</v>
      </c>
      <c r="I19" s="151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1">
        <v>10770190.189999999</v>
      </c>
      <c r="D20" s="98">
        <f t="shared" si="0"/>
        <v>0.32285763879558199</v>
      </c>
      <c r="E20" s="151">
        <v>11617385.520490499</v>
      </c>
      <c r="F20" s="98">
        <f t="shared" si="1"/>
        <v>0.33040008975706336</v>
      </c>
      <c r="G20" s="151">
        <v>11434714.104369998</v>
      </c>
      <c r="H20" s="98">
        <f t="shared" si="2"/>
        <v>0.3252048888079504</v>
      </c>
      <c r="I20" s="151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1">
        <v>11070841.180000002</v>
      </c>
      <c r="D21" s="98">
        <f t="shared" si="0"/>
        <v>0.33187024368189877</v>
      </c>
      <c r="E21" s="150">
        <v>12656092.6657611</v>
      </c>
      <c r="F21" s="98">
        <f t="shared" si="1"/>
        <v>0.3599410680971038</v>
      </c>
      <c r="G21" s="151">
        <v>12052723.97714</v>
      </c>
      <c r="H21" s="98">
        <f t="shared" si="2"/>
        <v>0.34278117712805589</v>
      </c>
      <c r="I21" s="151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49">
        <f>SUM(C23:C26)</f>
        <v>27069458</v>
      </c>
      <c r="D22" s="96">
        <f t="shared" si="0"/>
        <v>0.81146025642804165</v>
      </c>
      <c r="E22" s="149">
        <f>+SUM(E23:E26)</f>
        <v>20923047.198280636</v>
      </c>
      <c r="F22" s="96">
        <f t="shared" si="1"/>
        <v>0.59505442598166625</v>
      </c>
      <c r="G22" s="149">
        <f>+SUM(G23:G26)</f>
        <v>19923047.198280636</v>
      </c>
      <c r="H22" s="96">
        <f t="shared" si="2"/>
        <v>0.56661428433582772</v>
      </c>
      <c r="I22" s="149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1">
        <v>7881462.9399999995</v>
      </c>
      <c r="D23" s="98">
        <f t="shared" si="0"/>
        <v>0.23626235657620134</v>
      </c>
      <c r="E23" s="151">
        <v>8144616.5029747505</v>
      </c>
      <c r="F23" s="98">
        <f t="shared" si="1"/>
        <v>0.23163404699563594</v>
      </c>
      <c r="G23" s="151">
        <v>8144616.5029747505</v>
      </c>
      <c r="H23" s="98">
        <f t="shared" si="2"/>
        <v>0.23163404699563594</v>
      </c>
      <c r="I23" s="151">
        <f t="shared" si="3"/>
        <v>0</v>
      </c>
      <c r="J23" s="98">
        <f t="shared" si="4"/>
        <v>0</v>
      </c>
    </row>
    <row r="24" spans="2:12">
      <c r="B24" s="97" t="s">
        <v>32</v>
      </c>
      <c r="C24" s="151">
        <v>4557791.26</v>
      </c>
      <c r="D24" s="98">
        <f t="shared" si="0"/>
        <v>0.13662875941531916</v>
      </c>
      <c r="E24" s="151">
        <v>3676083.5729169641</v>
      </c>
      <c r="F24" s="98">
        <f t="shared" si="1"/>
        <v>0.10454833751569864</v>
      </c>
      <c r="G24" s="151">
        <v>5176083.5729169641</v>
      </c>
      <c r="H24" s="98">
        <f t="shared" si="2"/>
        <v>0.14720854998445643</v>
      </c>
      <c r="I24" s="151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1">
        <v>767936.98999999987</v>
      </c>
      <c r="D25" s="98">
        <f t="shared" si="0"/>
        <v>2.3020422013103413E-2</v>
      </c>
      <c r="E25" s="151">
        <v>762511.44191594806</v>
      </c>
      <c r="F25" s="98">
        <f t="shared" si="1"/>
        <v>2.1685933414662142E-2</v>
      </c>
      <c r="G25" s="151">
        <v>762511.44191594806</v>
      </c>
      <c r="H25" s="98">
        <f t="shared" si="2"/>
        <v>2.1685933414662142E-2</v>
      </c>
      <c r="I25" s="151">
        <f t="shared" si="3"/>
        <v>0</v>
      </c>
      <c r="J25" s="98">
        <f t="shared" si="4"/>
        <v>0</v>
      </c>
    </row>
    <row r="26" spans="2:12">
      <c r="B26" s="97" t="s">
        <v>37</v>
      </c>
      <c r="C26" s="150">
        <v>13862266.809999999</v>
      </c>
      <c r="D26" s="98">
        <f t="shared" si="0"/>
        <v>0.41554871842341756</v>
      </c>
      <c r="E26" s="150">
        <v>8339835.6804729737</v>
      </c>
      <c r="F26" s="98">
        <f t="shared" si="1"/>
        <v>0.23718610805566953</v>
      </c>
      <c r="G26" s="150">
        <v>5839835.6804729737</v>
      </c>
      <c r="H26" s="98">
        <f t="shared" si="2"/>
        <v>0.16608575394107319</v>
      </c>
      <c r="I26" s="150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49">
        <f>SUM(C28:C33)</f>
        <v>13233490.18</v>
      </c>
      <c r="D27" s="96">
        <f t="shared" si="0"/>
        <v>0.39669990196703492</v>
      </c>
      <c r="E27" s="149">
        <f>+SUM(E28:E33)</f>
        <v>13024243.76827177</v>
      </c>
      <c r="F27" s="96">
        <f t="shared" si="1"/>
        <v>0.37041133759957889</v>
      </c>
      <c r="G27" s="149">
        <f>+SUM(G28:G33)</f>
        <v>12724243.76827177</v>
      </c>
      <c r="H27" s="96">
        <f t="shared" si="2"/>
        <v>0.36187929510582734</v>
      </c>
      <c r="I27" s="149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1">
        <v>647266.8600000001</v>
      </c>
      <c r="D28" s="98">
        <f t="shared" si="0"/>
        <v>1.9403097475870164E-2</v>
      </c>
      <c r="E28" s="151">
        <v>698651.48499726248</v>
      </c>
      <c r="F28" s="98">
        <f t="shared" si="1"/>
        <v>1.9869747194397578E-2</v>
      </c>
      <c r="G28" s="151">
        <v>698651.48499726248</v>
      </c>
      <c r="H28" s="98">
        <f t="shared" si="2"/>
        <v>1.9869747194397578E-2</v>
      </c>
      <c r="I28" s="151">
        <f t="shared" si="3"/>
        <v>0</v>
      </c>
      <c r="J28" s="98">
        <f t="shared" si="4"/>
        <v>0</v>
      </c>
    </row>
    <row r="29" spans="2:12">
      <c r="B29" s="97" t="s">
        <v>42</v>
      </c>
      <c r="C29" s="151">
        <v>1995183.6300000001</v>
      </c>
      <c r="D29" s="98">
        <f t="shared" si="0"/>
        <v>5.9809554370125591E-2</v>
      </c>
      <c r="E29" s="151">
        <v>1997965.7673730874</v>
      </c>
      <c r="F29" s="98">
        <f t="shared" si="1"/>
        <v>5.6822429427627073E-2</v>
      </c>
      <c r="G29" s="151">
        <v>1997965.7673730874</v>
      </c>
      <c r="H29" s="98">
        <f t="shared" si="2"/>
        <v>5.6822429427627073E-2</v>
      </c>
      <c r="I29" s="151">
        <f t="shared" si="3"/>
        <v>0</v>
      </c>
      <c r="J29" s="98">
        <f t="shared" si="4"/>
        <v>0</v>
      </c>
    </row>
    <row r="30" spans="2:12">
      <c r="B30" s="97" t="s">
        <v>45</v>
      </c>
      <c r="C30" s="151">
        <v>309851.25</v>
      </c>
      <c r="D30" s="98">
        <f t="shared" si="0"/>
        <v>9.2884007791936302E-3</v>
      </c>
      <c r="E30" s="151">
        <v>424373.88097611902</v>
      </c>
      <c r="F30" s="98">
        <f t="shared" si="1"/>
        <v>1.2069253285755047E-2</v>
      </c>
      <c r="G30" s="151">
        <v>424373.88097611902</v>
      </c>
      <c r="H30" s="98">
        <f t="shared" si="2"/>
        <v>1.2069253285755047E-2</v>
      </c>
      <c r="I30" s="151">
        <f t="shared" si="3"/>
        <v>0</v>
      </c>
      <c r="J30" s="98">
        <f t="shared" si="4"/>
        <v>0</v>
      </c>
    </row>
    <row r="31" spans="2:12">
      <c r="B31" s="97" t="s">
        <v>47</v>
      </c>
      <c r="C31" s="151">
        <v>3324177.16</v>
      </c>
      <c r="D31" s="98">
        <f t="shared" si="0"/>
        <v>9.9648749918296836E-2</v>
      </c>
      <c r="E31" s="151">
        <v>3266343.0516235088</v>
      </c>
      <c r="F31" s="98">
        <f t="shared" si="1"/>
        <v>9.2895259052073062E-2</v>
      </c>
      <c r="G31" s="151">
        <v>3666343.0516235088</v>
      </c>
      <c r="H31" s="98">
        <f t="shared" si="2"/>
        <v>0.10427131571040847</v>
      </c>
      <c r="I31" s="151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1">
        <v>3659024.1899999995</v>
      </c>
      <c r="D32" s="98">
        <f t="shared" si="0"/>
        <v>0.10968644837638813</v>
      </c>
      <c r="E32" s="151">
        <v>3355752.0175728933</v>
      </c>
      <c r="F32" s="98">
        <f t="shared" si="1"/>
        <v>9.5438062708081514E-2</v>
      </c>
      <c r="G32" s="151">
        <v>3355752.0175728933</v>
      </c>
      <c r="H32" s="98">
        <f t="shared" si="2"/>
        <v>9.5438062708081514E-2</v>
      </c>
      <c r="I32" s="151">
        <f t="shared" si="3"/>
        <v>0</v>
      </c>
      <c r="J32" s="98">
        <f t="shared" si="4"/>
        <v>0</v>
      </c>
    </row>
    <row r="33" spans="2:10">
      <c r="B33" s="97" t="s">
        <v>51</v>
      </c>
      <c r="C33" s="151">
        <v>3297987.09</v>
      </c>
      <c r="D33" s="98">
        <f t="shared" si="0"/>
        <v>9.8863651047160633E-2</v>
      </c>
      <c r="E33" s="151">
        <v>3281157.5657288986</v>
      </c>
      <c r="F33" s="98">
        <f t="shared" si="1"/>
        <v>9.331658593164463E-2</v>
      </c>
      <c r="G33" s="151">
        <v>2581157.5657288986</v>
      </c>
      <c r="H33" s="98">
        <f t="shared" si="2"/>
        <v>7.340848677955765E-2</v>
      </c>
      <c r="I33" s="151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49">
        <f>SUM(C35:C38)</f>
        <v>33088194.540000003</v>
      </c>
      <c r="D34" s="96">
        <f t="shared" si="0"/>
        <v>0.99188372468223518</v>
      </c>
      <c r="E34" s="149">
        <f>+SUM(E35:E38)</f>
        <v>31410770.914738216</v>
      </c>
      <c r="F34" s="96">
        <f t="shared" si="1"/>
        <v>0.89332677402013982</v>
      </c>
      <c r="G34" s="149">
        <f>+SUM(G35:G38)</f>
        <v>31310770.914738216</v>
      </c>
      <c r="H34" s="96">
        <f t="shared" si="2"/>
        <v>0.89048275985555603</v>
      </c>
      <c r="I34" s="149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1">
        <v>6034873.3200000003</v>
      </c>
      <c r="D35" s="98">
        <f t="shared" si="0"/>
        <v>0.18090719998006413</v>
      </c>
      <c r="E35" s="151">
        <v>5533606.7424404304</v>
      </c>
      <c r="F35" s="98">
        <f t="shared" si="1"/>
        <v>0.15737655956737298</v>
      </c>
      <c r="G35" s="151">
        <v>6533606.7424404304</v>
      </c>
      <c r="H35" s="98">
        <f t="shared" si="2"/>
        <v>0.1858167012132115</v>
      </c>
      <c r="I35" s="151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1">
        <v>12316700.43</v>
      </c>
      <c r="D36" s="98">
        <f t="shared" si="0"/>
        <v>0.36921732563966259</v>
      </c>
      <c r="E36" s="151">
        <v>11824073.889814863</v>
      </c>
      <c r="F36" s="98">
        <f t="shared" si="1"/>
        <v>0.33627833625719566</v>
      </c>
      <c r="G36" s="151">
        <v>12424073.889814863</v>
      </c>
      <c r="H36" s="98">
        <f t="shared" si="2"/>
        <v>0.35334242124469878</v>
      </c>
      <c r="I36" s="151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1">
        <v>2179410.2600000002</v>
      </c>
      <c r="D37" s="98">
        <f t="shared" si="0"/>
        <v>6.5332110027526411E-2</v>
      </c>
      <c r="E37" s="151">
        <v>2220205.3434794326</v>
      </c>
      <c r="F37" s="98">
        <f t="shared" si="1"/>
        <v>6.3142954451402653E-2</v>
      </c>
      <c r="G37" s="151">
        <v>2220205.3434794326</v>
      </c>
      <c r="H37" s="98">
        <f t="shared" si="2"/>
        <v>6.3142954451402653E-2</v>
      </c>
      <c r="I37" s="151">
        <f t="shared" si="3"/>
        <v>0</v>
      </c>
      <c r="J37" s="98">
        <f t="shared" si="4"/>
        <v>0</v>
      </c>
    </row>
    <row r="38" spans="2:10">
      <c r="B38" s="97" t="s">
        <v>53</v>
      </c>
      <c r="C38" s="151">
        <v>12557210.530000001</v>
      </c>
      <c r="D38" s="98">
        <f t="shared" si="0"/>
        <v>0.37642708903498195</v>
      </c>
      <c r="E38" s="151">
        <v>11832884.939003492</v>
      </c>
      <c r="F38" s="98">
        <f t="shared" si="1"/>
        <v>0.33652892374416871</v>
      </c>
      <c r="G38" s="151">
        <v>10132884.939003492</v>
      </c>
      <c r="H38" s="98">
        <f t="shared" si="2"/>
        <v>0.28818068294624322</v>
      </c>
      <c r="I38" s="151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49">
        <v>7564493.0600000005</v>
      </c>
      <c r="D39" s="96">
        <f t="shared" si="0"/>
        <v>0.22676056085850488</v>
      </c>
      <c r="E39" s="149">
        <v>7046262.4871663069</v>
      </c>
      <c r="F39" s="96">
        <f t="shared" si="1"/>
        <v>0.20039670320876826</v>
      </c>
      <c r="G39" s="149">
        <v>7738476.4003799995</v>
      </c>
      <c r="H39" s="96">
        <f t="shared" si="2"/>
        <v>0.22008336494978584</v>
      </c>
      <c r="I39" s="149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1">
        <v>6615451.54</v>
      </c>
      <c r="D40" s="98">
        <f t="shared" si="0"/>
        <v>0.19831117427750797</v>
      </c>
      <c r="E40" s="149">
        <v>8000000</v>
      </c>
      <c r="F40" s="96">
        <f t="shared" si="1"/>
        <v>0.22752113316670824</v>
      </c>
      <c r="G40" s="149">
        <v>8000000</v>
      </c>
      <c r="H40" s="96">
        <f t="shared" si="2"/>
        <v>0.22752113316670824</v>
      </c>
      <c r="I40" s="149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49">
        <v>366128508.17291778</v>
      </c>
      <c r="D44" s="96">
        <f t="shared" si="0"/>
        <v>10.975422305375018</v>
      </c>
      <c r="E44" s="149">
        <v>386488693.71999997</v>
      </c>
      <c r="F44" s="96">
        <f t="shared" si="1"/>
        <v>10.991793193911903</v>
      </c>
      <c r="G44" s="149">
        <v>386488693.71999997</v>
      </c>
      <c r="H44" s="96">
        <f t="shared" si="2"/>
        <v>10.991793193911903</v>
      </c>
      <c r="I44" s="149">
        <f t="shared" si="5"/>
        <v>0</v>
      </c>
      <c r="J44" s="96">
        <f t="shared" si="4"/>
        <v>0</v>
      </c>
    </row>
    <row r="45" spans="2:10">
      <c r="B45" s="93" t="s">
        <v>74</v>
      </c>
      <c r="C45" s="149">
        <v>12022159.040000001</v>
      </c>
      <c r="D45" s="96">
        <f t="shared" si="0"/>
        <v>0.36038786803256645</v>
      </c>
      <c r="E45" s="149">
        <v>11478163.960000001</v>
      </c>
      <c r="F45" s="96">
        <f t="shared" si="1"/>
        <v>0.3264406088565589</v>
      </c>
      <c r="G45" s="149">
        <v>11478163.960000001</v>
      </c>
      <c r="H45" s="96">
        <f t="shared" si="2"/>
        <v>0.3264406088565589</v>
      </c>
      <c r="I45" s="149">
        <f t="shared" si="5"/>
        <v>0</v>
      </c>
      <c r="J45" s="96">
        <f t="shared" si="4"/>
        <v>0</v>
      </c>
    </row>
    <row r="46" spans="2:10">
      <c r="B46" s="93" t="s">
        <v>428</v>
      </c>
      <c r="C46" s="149">
        <v>90442340.840000004</v>
      </c>
      <c r="D46" s="96">
        <f t="shared" si="0"/>
        <v>2.7111870910004456</v>
      </c>
      <c r="E46" s="149">
        <v>89210330.25999999</v>
      </c>
      <c r="F46" s="96">
        <f t="shared" si="1"/>
        <v>2.5371544288664349</v>
      </c>
      <c r="G46" s="149">
        <v>29295302.830000002</v>
      </c>
      <c r="H46" s="96">
        <f t="shared" si="2"/>
        <v>0.83316256204293437</v>
      </c>
      <c r="I46" s="149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49"/>
      <c r="D47" s="96">
        <f t="shared" si="0"/>
        <v>0</v>
      </c>
      <c r="E47" s="149"/>
      <c r="F47" s="96">
        <f t="shared" si="1"/>
        <v>0</v>
      </c>
      <c r="G47" s="149">
        <v>40692845.799999997</v>
      </c>
      <c r="H47" s="96">
        <f t="shared" si="2"/>
        <v>1.1573102985242654</v>
      </c>
      <c r="I47" s="149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49">
        <v>20416485.639999997</v>
      </c>
      <c r="D48" s="96">
        <f t="shared" si="0"/>
        <v>0.61202432175752564</v>
      </c>
      <c r="E48" s="149">
        <v>21655403.200000003</v>
      </c>
      <c r="F48" s="96">
        <f t="shared" si="1"/>
        <v>0.61588273440574504</v>
      </c>
      <c r="G48" s="149">
        <v>21655403.200000003</v>
      </c>
      <c r="H48" s="96">
        <f t="shared" si="2"/>
        <v>0.61588273440574504</v>
      </c>
      <c r="I48" s="149">
        <f t="shared" si="5"/>
        <v>0</v>
      </c>
      <c r="J48" s="96">
        <f t="shared" si="4"/>
        <v>0</v>
      </c>
    </row>
    <row r="49" spans="2:10">
      <c r="B49" s="93" t="s">
        <v>79</v>
      </c>
      <c r="C49" s="149">
        <v>67427730.789999992</v>
      </c>
      <c r="D49" s="96">
        <f t="shared" si="0"/>
        <v>2.0212788788462022</v>
      </c>
      <c r="E49" s="149">
        <v>73316123.120000005</v>
      </c>
      <c r="F49" s="96">
        <f t="shared" si="1"/>
        <v>2.0851209264565371</v>
      </c>
      <c r="G49" s="149">
        <v>73316123.120000005</v>
      </c>
      <c r="H49" s="96">
        <f t="shared" si="2"/>
        <v>2.0851209264565371</v>
      </c>
      <c r="I49" s="149">
        <f t="shared" si="5"/>
        <v>0</v>
      </c>
      <c r="J49" s="96">
        <f t="shared" si="4"/>
        <v>0</v>
      </c>
    </row>
    <row r="50" spans="2:10">
      <c r="B50" s="93" t="s">
        <v>81</v>
      </c>
      <c r="C50" s="149">
        <v>7928041.8100000005</v>
      </c>
      <c r="D50" s="96">
        <f t="shared" si="0"/>
        <v>0.23765864983757101</v>
      </c>
      <c r="E50" s="149">
        <v>8172802.1399999997</v>
      </c>
      <c r="F50" s="96">
        <f t="shared" si="1"/>
        <v>0.23243565050501225</v>
      </c>
      <c r="G50" s="149">
        <v>8172802.1399999997</v>
      </c>
      <c r="H50" s="96">
        <f t="shared" si="2"/>
        <v>0.23243565050501225</v>
      </c>
      <c r="I50" s="149">
        <f t="shared" si="5"/>
        <v>0</v>
      </c>
      <c r="J50" s="96">
        <f t="shared" si="4"/>
        <v>0</v>
      </c>
    </row>
    <row r="51" spans="2:10">
      <c r="B51" s="93" t="s">
        <v>83</v>
      </c>
      <c r="C51" s="149">
        <v>17426749.959999997</v>
      </c>
      <c r="D51" s="96">
        <f t="shared" si="0"/>
        <v>0.52240111313824467</v>
      </c>
      <c r="E51" s="149">
        <v>18874600</v>
      </c>
      <c r="F51" s="96">
        <f t="shared" si="1"/>
        <v>0.53679629750854385</v>
      </c>
      <c r="G51" s="149">
        <v>18874600</v>
      </c>
      <c r="H51" s="96">
        <f t="shared" si="2"/>
        <v>0.53679629750854385</v>
      </c>
      <c r="I51" s="149">
        <f t="shared" si="5"/>
        <v>0</v>
      </c>
      <c r="J51" s="96">
        <f t="shared" si="4"/>
        <v>0</v>
      </c>
    </row>
    <row r="52" spans="2:10">
      <c r="B52" s="93" t="s">
        <v>85</v>
      </c>
      <c r="C52" s="149">
        <v>6279093.0100000007</v>
      </c>
      <c r="D52" s="96">
        <f t="shared" si="0"/>
        <v>0.18822816563339112</v>
      </c>
      <c r="E52" s="149">
        <v>5827393.7300000023</v>
      </c>
      <c r="F52" s="96">
        <f t="shared" si="1"/>
        <v>0.16573190310727137</v>
      </c>
      <c r="G52" s="149">
        <v>25049575.370000001</v>
      </c>
      <c r="H52" s="96">
        <f t="shared" si="2"/>
        <v>0.71241347169090818</v>
      </c>
      <c r="I52" s="149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49">
        <v>12216538.75</v>
      </c>
      <c r="D53" s="153">
        <f t="shared" si="0"/>
        <v>0.36621478223679643</v>
      </c>
      <c r="E53" s="149"/>
      <c r="F53" s="153">
        <f t="shared" si="1"/>
        <v>0</v>
      </c>
      <c r="G53" s="149">
        <v>10502963.32</v>
      </c>
      <c r="H53" s="153">
        <f t="shared" si="2"/>
        <v>0.2987057645218465</v>
      </c>
      <c r="I53" s="149">
        <f t="shared" si="5"/>
        <v>10502963.32</v>
      </c>
      <c r="J53" s="153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1">
        <v>64036543.990000002</v>
      </c>
      <c r="D55" s="98">
        <f t="shared" si="0"/>
        <v>1.919621383142986</v>
      </c>
      <c r="E55" s="151">
        <v>58645000</v>
      </c>
      <c r="F55" s="98">
        <f t="shared" si="1"/>
        <v>1.6678721068202007</v>
      </c>
      <c r="G55" s="151">
        <v>58645000</v>
      </c>
      <c r="H55" s="98">
        <f t="shared" si="2"/>
        <v>1.6678721068202007</v>
      </c>
      <c r="I55" s="151">
        <f t="shared" si="5"/>
        <v>0</v>
      </c>
      <c r="J55" s="98">
        <f t="shared" si="4"/>
        <v>0</v>
      </c>
    </row>
    <row r="56" spans="2:10">
      <c r="B56" s="97" t="s">
        <v>90</v>
      </c>
      <c r="C56" s="151">
        <v>13086355.520000001</v>
      </c>
      <c r="D56" s="98">
        <f t="shared" si="0"/>
        <v>0.39228925108022916</v>
      </c>
      <c r="E56" s="151">
        <v>20758124</v>
      </c>
      <c r="F56" s="98">
        <f t="shared" si="1"/>
        <v>0.59036398686188019</v>
      </c>
      <c r="G56" s="151">
        <v>20758124</v>
      </c>
      <c r="H56" s="98">
        <f t="shared" si="2"/>
        <v>0.59036398686188019</v>
      </c>
      <c r="I56" s="151">
        <f t="shared" si="5"/>
        <v>0</v>
      </c>
      <c r="J56" s="98">
        <f t="shared" si="4"/>
        <v>0</v>
      </c>
    </row>
    <row r="57" spans="2:10">
      <c r="B57" s="97" t="s">
        <v>92</v>
      </c>
      <c r="C57" s="151">
        <v>383190248.31999987</v>
      </c>
      <c r="D57" s="98">
        <f t="shared" si="0"/>
        <v>11.486881531298929</v>
      </c>
      <c r="E57" s="151">
        <v>397320274.96999997</v>
      </c>
      <c r="F57" s="98">
        <f t="shared" si="1"/>
        <v>11.299844898910312</v>
      </c>
      <c r="G57" s="151">
        <v>397320274.96999997</v>
      </c>
      <c r="H57" s="98">
        <f t="shared" si="2"/>
        <v>11.299844898910312</v>
      </c>
      <c r="I57" s="151">
        <f t="shared" si="5"/>
        <v>0</v>
      </c>
      <c r="J57" s="98">
        <f t="shared" si="4"/>
        <v>0</v>
      </c>
    </row>
    <row r="58" spans="2:10">
      <c r="B58" s="97" t="s">
        <v>94</v>
      </c>
      <c r="C58" s="151">
        <v>14792096.089999998</v>
      </c>
      <c r="D58" s="98">
        <f t="shared" si="0"/>
        <v>0.44342218031478986</v>
      </c>
      <c r="E58" s="151">
        <v>14500000</v>
      </c>
      <c r="F58" s="98">
        <f t="shared" si="1"/>
        <v>0.4123820538646587</v>
      </c>
      <c r="G58" s="151">
        <v>14500000</v>
      </c>
      <c r="H58" s="98">
        <f t="shared" si="2"/>
        <v>0.4123820538646587</v>
      </c>
      <c r="I58" s="151">
        <f t="shared" si="5"/>
        <v>0</v>
      </c>
      <c r="J58" s="98">
        <f t="shared" si="4"/>
        <v>0</v>
      </c>
    </row>
    <row r="59" spans="2:10">
      <c r="B59" s="97" t="s">
        <v>431</v>
      </c>
      <c r="C59" s="151">
        <v>7862525.3600000013</v>
      </c>
      <c r="D59" s="98">
        <f t="shared" si="0"/>
        <v>0.23569466536040659</v>
      </c>
      <c r="E59" s="151">
        <v>7000000</v>
      </c>
      <c r="F59" s="98">
        <f t="shared" si="1"/>
        <v>0.19908099152086972</v>
      </c>
      <c r="G59" s="151">
        <v>7000000</v>
      </c>
      <c r="H59" s="98">
        <f t="shared" si="2"/>
        <v>0.19908099152086972</v>
      </c>
      <c r="I59" s="151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1">
        <v>94307106.209999993</v>
      </c>
      <c r="D61" s="98">
        <f t="shared" si="0"/>
        <v>2.8270410359953697</v>
      </c>
      <c r="E61" s="151">
        <v>101040047.61999999</v>
      </c>
      <c r="F61" s="98">
        <f t="shared" si="1"/>
        <v>2.8735932662150696</v>
      </c>
      <c r="G61" s="151">
        <v>101040047.61999999</v>
      </c>
      <c r="H61" s="98">
        <f t="shared" si="2"/>
        <v>2.8735932662150696</v>
      </c>
      <c r="I61" s="151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1"/>
      <c r="D62" s="98">
        <f t="shared" si="0"/>
        <v>0</v>
      </c>
      <c r="E62" s="151"/>
      <c r="F62" s="98">
        <f t="shared" si="1"/>
        <v>0</v>
      </c>
      <c r="G62" s="151"/>
      <c r="H62" s="98">
        <f t="shared" si="2"/>
        <v>0</v>
      </c>
      <c r="I62" s="151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55">
        <v>61785502.860000007</v>
      </c>
      <c r="D63" s="92">
        <f t="shared" si="0"/>
        <v>1.8521419968700925</v>
      </c>
      <c r="E63" s="155">
        <v>101820500</v>
      </c>
      <c r="F63" s="92">
        <f t="shared" si="1"/>
        <v>2.8957894424501021</v>
      </c>
      <c r="G63" s="155">
        <v>101820500</v>
      </c>
      <c r="H63" s="92">
        <f t="shared" si="2"/>
        <v>2.8957894424501021</v>
      </c>
      <c r="I63" s="155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49">
        <v>2752781.9799999995</v>
      </c>
      <c r="D64" s="96">
        <f t="shared" si="0"/>
        <v>8.2520055310353516E-2</v>
      </c>
      <c r="E64" s="149">
        <v>2140000</v>
      </c>
      <c r="F64" s="96">
        <f t="shared" si="1"/>
        <v>6.0861903122094448E-2</v>
      </c>
      <c r="G64" s="149">
        <v>2140000</v>
      </c>
      <c r="H64" s="96">
        <f t="shared" si="2"/>
        <v>6.0861903122094448E-2</v>
      </c>
      <c r="I64" s="149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49">
        <v>14126844.789999999</v>
      </c>
      <c r="D65" s="96">
        <f t="shared" si="0"/>
        <v>0.42347996386970665</v>
      </c>
      <c r="E65" s="149">
        <v>8854649.7699999996</v>
      </c>
      <c r="F65" s="96">
        <f t="shared" si="1"/>
        <v>0.25182749368309154</v>
      </c>
      <c r="G65" s="149">
        <v>8854649.7699999996</v>
      </c>
      <c r="H65" s="96">
        <f t="shared" si="2"/>
        <v>0.25182749368309154</v>
      </c>
      <c r="I65" s="149">
        <f t="shared" si="5"/>
        <v>0</v>
      </c>
      <c r="J65" s="96">
        <f t="shared" si="4"/>
        <v>0</v>
      </c>
    </row>
    <row r="66" spans="2:10" ht="14.25" thickTop="1" thickBot="1">
      <c r="B66" s="143" t="s">
        <v>112</v>
      </c>
      <c r="C66" s="156">
        <v>107239350.92999999</v>
      </c>
      <c r="D66" s="145">
        <f t="shared" si="0"/>
        <v>3.2147105126683559</v>
      </c>
      <c r="E66" s="156">
        <v>0</v>
      </c>
      <c r="F66" s="145">
        <f t="shared" si="1"/>
        <v>0</v>
      </c>
      <c r="G66" s="156">
        <v>5153201.26</v>
      </c>
      <c r="H66" s="145">
        <f t="shared" si="2"/>
        <v>0.14655777376391357</v>
      </c>
      <c r="I66" s="156">
        <f t="shared" si="5"/>
        <v>5153201.26</v>
      </c>
      <c r="J66" s="145" t="e">
        <f t="shared" si="4"/>
        <v>#DIV/0!</v>
      </c>
    </row>
    <row r="67" spans="2:10" ht="14.25" thickTop="1" thickBot="1">
      <c r="B67" s="176" t="s">
        <v>151</v>
      </c>
      <c r="C67" s="149">
        <v>0</v>
      </c>
      <c r="D67" s="96">
        <f t="shared" si="0"/>
        <v>0</v>
      </c>
      <c r="E67" s="149">
        <v>0</v>
      </c>
      <c r="F67" s="96">
        <f t="shared" si="1"/>
        <v>0</v>
      </c>
      <c r="G67" s="149">
        <v>0</v>
      </c>
      <c r="H67" s="96">
        <f t="shared" si="2"/>
        <v>0</v>
      </c>
      <c r="I67" s="149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1">
        <v>112695950.91</v>
      </c>
      <c r="D71" s="98">
        <f t="shared" si="0"/>
        <v>3.3782828316632929</v>
      </c>
      <c r="E71" s="151">
        <v>30008345.27</v>
      </c>
      <c r="F71" s="98">
        <f t="shared" si="1"/>
        <v>0.8534415900360286</v>
      </c>
      <c r="G71" s="151">
        <v>30008345.27</v>
      </c>
      <c r="H71" s="98">
        <f t="shared" si="2"/>
        <v>0.8534415900360286</v>
      </c>
      <c r="I71" s="151">
        <f t="shared" si="5"/>
        <v>0</v>
      </c>
      <c r="J71" s="98">
        <f t="shared" si="4"/>
        <v>0</v>
      </c>
    </row>
    <row r="72" spans="2:10">
      <c r="B72" s="97" t="s">
        <v>136</v>
      </c>
      <c r="C72" s="151">
        <v>68802905.489999995</v>
      </c>
      <c r="D72" s="98">
        <f t="shared" si="0"/>
        <v>2.0625024458158605</v>
      </c>
      <c r="E72" s="151">
        <v>108080400.25</v>
      </c>
      <c r="F72" s="98">
        <f t="shared" si="1"/>
        <v>3.073821892248922</v>
      </c>
      <c r="G72" s="151">
        <v>108080400.25</v>
      </c>
      <c r="H72" s="98">
        <f t="shared" si="2"/>
        <v>3.073821892248922</v>
      </c>
      <c r="I72" s="151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1">
        <v>60278571.609999992</v>
      </c>
      <c r="D73" s="98">
        <f t="shared" ref="D73:D79" si="6">C73/C$3*100</f>
        <v>1.8069687681137414</v>
      </c>
      <c r="E73" s="151">
        <v>33338159.969999999</v>
      </c>
      <c r="F73" s="98">
        <f t="shared" si="1"/>
        <v>0.94814199175842395</v>
      </c>
      <c r="G73" s="151">
        <v>33338159.969999999</v>
      </c>
      <c r="H73" s="98">
        <f t="shared" ref="H73:H79" si="7">G73/E$3*100</f>
        <v>0.94814199175842395</v>
      </c>
      <c r="I73" s="151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1">
        <v>102834751.84999999</v>
      </c>
      <c r="D76" s="98">
        <f t="shared" si="6"/>
        <v>3.0826739902186082</v>
      </c>
      <c r="E76" s="151">
        <v>0</v>
      </c>
      <c r="F76" s="98">
        <f t="shared" si="8"/>
        <v>0</v>
      </c>
      <c r="G76" s="178">
        <v>0</v>
      </c>
      <c r="H76" s="179">
        <f t="shared" si="7"/>
        <v>0</v>
      </c>
      <c r="I76" s="151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1">
        <v>230537476.81999999</v>
      </c>
      <c r="D77" s="98">
        <f t="shared" si="6"/>
        <v>6.910814396676539</v>
      </c>
      <c r="E77" s="151">
        <v>227975575.86282945</v>
      </c>
      <c r="F77" s="98">
        <f t="shared" si="8"/>
        <v>6.4836576693304764</v>
      </c>
      <c r="G77" s="178">
        <v>227975575.86282945</v>
      </c>
      <c r="H77" s="179">
        <f t="shared" si="7"/>
        <v>6.4836576693304764</v>
      </c>
      <c r="I77" s="151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1">
        <v>11948846.35</v>
      </c>
      <c r="D78" s="104">
        <f t="shared" si="6"/>
        <v>0.35819017592410862</v>
      </c>
      <c r="E78" s="151">
        <v>5000000</v>
      </c>
      <c r="F78" s="104">
        <f t="shared" si="8"/>
        <v>0.14220070822919265</v>
      </c>
      <c r="G78" s="178">
        <v>5000000</v>
      </c>
      <c r="H78" s="179">
        <f t="shared" si="7"/>
        <v>0.14220070822919265</v>
      </c>
      <c r="I78" s="151">
        <f t="shared" si="9"/>
        <v>0</v>
      </c>
      <c r="J78" s="104">
        <f t="shared" si="10"/>
        <v>0</v>
      </c>
    </row>
    <row r="79" spans="2:10" ht="14.25" thickTop="1" thickBot="1">
      <c r="B79" s="143" t="s">
        <v>124</v>
      </c>
      <c r="C79" s="144">
        <f>-C74-SUM(C76:C78)</f>
        <v>24776977.5729177</v>
      </c>
      <c r="D79" s="145">
        <f t="shared" si="6"/>
        <v>0.74273864570290371</v>
      </c>
      <c r="E79" s="144">
        <f>-E74-SUM(E76:E78)</f>
        <v>-10502963.319999933</v>
      </c>
      <c r="F79" s="145">
        <f t="shared" si="8"/>
        <v>-0.29870576452184461</v>
      </c>
      <c r="G79" s="180">
        <f>-G74-SUM(G76:G78)</f>
        <v>-27124068.379600048</v>
      </c>
      <c r="H79" s="181">
        <f t="shared" si="7"/>
        <v>-0.77141234672723535</v>
      </c>
      <c r="I79" s="144">
        <f t="shared" si="9"/>
        <v>-16621105.059600115</v>
      </c>
      <c r="J79" s="145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75">
        <v>-26424601.993229389</v>
      </c>
      <c r="E5" s="175">
        <v>-24569497.372829676</v>
      </c>
      <c r="F5" s="175">
        <v>33498994.005818129</v>
      </c>
      <c r="G5" s="175">
        <v>103834080.12588143</v>
      </c>
    </row>
    <row r="6" spans="3:7">
      <c r="C6" t="s">
        <v>441</v>
      </c>
      <c r="D6" s="175">
        <v>-51424601.993229389</v>
      </c>
      <c r="E6" s="175">
        <v>-149569497.37282968</v>
      </c>
      <c r="F6" s="175">
        <v>-191501005.99418187</v>
      </c>
      <c r="G6" s="175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Tamara Poleksic</cp:lastModifiedBy>
  <cp:lastPrinted>2016-06-30T08:34:04Z</cp:lastPrinted>
  <dcterms:created xsi:type="dcterms:W3CDTF">2008-03-17T08:49:23Z</dcterms:created>
  <dcterms:modified xsi:type="dcterms:W3CDTF">2019-03-08T06:53:11Z</dcterms:modified>
</cp:coreProperties>
</file>