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ownloads\"/>
    </mc:Choice>
  </mc:AlternateContent>
  <xr:revisionPtr revIDLastSave="0" documentId="8_{9D7B8F39-43D3-4A1D-9368-5CCFC89E9611}" xr6:coauthVersionLast="36" xr6:coauthVersionMax="36" xr10:uidLastSave="{00000000-0000-0000-0000-000000000000}"/>
  <workbookProtection workbookAlgorithmName="SHA-512" workbookHashValue="Q3l+yNIEaLQczSWjySZHpKcxY5RC+vFkS8VRcaErd8krZ2ElWueCz8+Xcr2xymKfNzx4Hv+Kst2dUdea/H0BZQ==" workbookSaltValue="r5hP/hNu6PT2Y0TQRr4A1g==" workbookSpinCount="100000" lockStructure="1"/>
  <bookViews>
    <workbookView xWindow="0" yWindow="0" windowWidth="14370" windowHeight="9195" tabRatio="587" firstSheet="1" activeTab="4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S133" i="28" l="1"/>
  <c r="S132" i="28"/>
  <c r="R131" i="28" l="1"/>
  <c r="Q131" i="28"/>
  <c r="P131" i="28"/>
  <c r="O131" i="28"/>
  <c r="N131" i="28"/>
  <c r="M131" i="28"/>
  <c r="L131" i="28"/>
  <c r="K131" i="28"/>
  <c r="J131" i="28"/>
  <c r="I131" i="28"/>
  <c r="H131" i="28"/>
  <c r="G131" i="28"/>
  <c r="R129" i="28"/>
  <c r="R130" i="28" s="1"/>
  <c r="Q129" i="28"/>
  <c r="Q130" i="28" s="1"/>
  <c r="P129" i="28"/>
  <c r="P130" i="28" s="1"/>
  <c r="O129" i="28"/>
  <c r="O130" i="28" s="1"/>
  <c r="N129" i="28"/>
  <c r="N130" i="28" s="1"/>
  <c r="M129" i="28"/>
  <c r="M130" i="28" s="1"/>
  <c r="L129" i="28"/>
  <c r="L130" i="28" s="1"/>
  <c r="K129" i="28"/>
  <c r="K130" i="28" s="1"/>
  <c r="J129" i="28"/>
  <c r="J130" i="28" s="1"/>
  <c r="I129" i="28"/>
  <c r="I130" i="28" s="1"/>
  <c r="H129" i="28"/>
  <c r="H130" i="28" s="1"/>
  <c r="G129" i="28"/>
  <c r="G130" i="28" s="1"/>
  <c r="G136" i="28" l="1"/>
  <c r="G142" i="28" s="1"/>
  <c r="G137" i="28" s="1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N136" i="28"/>
  <c r="N142" i="28" s="1"/>
  <c r="N137" i="28" s="1"/>
  <c r="R136" i="28"/>
  <c r="R142" i="28" s="1"/>
  <c r="R137" i="28" s="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R12" i="1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A142" i="28" l="1"/>
  <c r="S141" i="28"/>
  <c r="T141" i="28" s="1"/>
  <c r="S140" i="28"/>
  <c r="T140" i="28" s="1"/>
  <c r="A140" i="28"/>
  <c r="S139" i="28"/>
  <c r="T139" i="28" s="1"/>
  <c r="A139" i="28"/>
  <c r="S138" i="28"/>
  <c r="T138" i="28" s="1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T131" i="28" s="1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T116" i="28" s="1"/>
  <c r="A116" i="28"/>
  <c r="S115" i="28"/>
  <c r="T115" i="28" s="1"/>
  <c r="A115" i="28"/>
  <c r="S114" i="28"/>
  <c r="T114" i="28" s="1"/>
  <c r="A114" i="28"/>
  <c r="S113" i="28"/>
  <c r="T113" i="28" s="1"/>
  <c r="A113" i="28"/>
  <c r="S112" i="28"/>
  <c r="T112" i="28" s="1"/>
  <c r="A112" i="28"/>
  <c r="S111" i="28"/>
  <c r="T111" i="28" s="1"/>
  <c r="A111" i="28"/>
  <c r="S110" i="28"/>
  <c r="T110" i="28" s="1"/>
  <c r="A110" i="28"/>
  <c r="S109" i="28"/>
  <c r="T109" i="28" s="1"/>
  <c r="A109" i="28"/>
  <c r="S108" i="28"/>
  <c r="T108" i="28" s="1"/>
  <c r="A108" i="28"/>
  <c r="S107" i="28"/>
  <c r="T107" i="28" s="1"/>
  <c r="A107" i="28"/>
  <c r="S106" i="28"/>
  <c r="T106" i="28" s="1"/>
  <c r="A106" i="28"/>
  <c r="S105" i="28"/>
  <c r="T105" i="28" s="1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S52" i="28"/>
  <c r="N52" i="11" s="1"/>
  <c r="S51" i="28"/>
  <c r="S50" i="28"/>
  <c r="S49" i="28"/>
  <c r="G49" i="11" s="1"/>
  <c r="T48" i="28"/>
  <c r="S48" i="28"/>
  <c r="N48" i="11" s="1"/>
  <c r="S47" i="28"/>
  <c r="S46" i="28"/>
  <c r="S45" i="28"/>
  <c r="S44" i="28"/>
  <c r="S43" i="28"/>
  <c r="S42" i="28"/>
  <c r="S41" i="28"/>
  <c r="R40" i="28"/>
  <c r="Q40" i="28"/>
  <c r="P40" i="28"/>
  <c r="O40" i="28"/>
  <c r="N40" i="28"/>
  <c r="M40" i="28"/>
  <c r="L40" i="28"/>
  <c r="L29" i="28" s="1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O29" i="28" s="1"/>
  <c r="N30" i="28"/>
  <c r="N29" i="28" s="1"/>
  <c r="M30" i="28"/>
  <c r="L30" i="28"/>
  <c r="K30" i="28"/>
  <c r="K29" i="28" s="1"/>
  <c r="J30" i="28"/>
  <c r="J29" i="28" s="1"/>
  <c r="I30" i="28"/>
  <c r="H30" i="28"/>
  <c r="G30" i="28"/>
  <c r="G29" i="28" s="1"/>
  <c r="R29" i="28"/>
  <c r="S28" i="28"/>
  <c r="S27" i="28"/>
  <c r="S26" i="28"/>
  <c r="S25" i="28"/>
  <c r="S24" i="28"/>
  <c r="S23" i="28"/>
  <c r="S22" i="28"/>
  <c r="S21" i="28"/>
  <c r="T20" i="28"/>
  <c r="S20" i="28"/>
  <c r="N20" i="11" s="1"/>
  <c r="R19" i="28"/>
  <c r="Q19" i="28"/>
  <c r="P19" i="28"/>
  <c r="O19" i="28"/>
  <c r="N19" i="28"/>
  <c r="M19" i="28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O11" i="28"/>
  <c r="N11" i="28"/>
  <c r="N10" i="28" s="1"/>
  <c r="M11" i="28"/>
  <c r="L11" i="28"/>
  <c r="K11" i="28"/>
  <c r="J11" i="28"/>
  <c r="J10" i="28" s="1"/>
  <c r="I11" i="28"/>
  <c r="H11" i="28"/>
  <c r="G11" i="28"/>
  <c r="M10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H10" i="28" l="1"/>
  <c r="L10" i="28"/>
  <c r="P10" i="28"/>
  <c r="S19" i="28"/>
  <c r="G19" i="11" s="1"/>
  <c r="K10" i="28"/>
  <c r="K53" i="28" s="1"/>
  <c r="O10" i="28"/>
  <c r="O53" i="28" s="1"/>
  <c r="T13" i="28"/>
  <c r="N13" i="11"/>
  <c r="T15" i="28"/>
  <c r="N15" i="11"/>
  <c r="T17" i="28"/>
  <c r="N17" i="11"/>
  <c r="T23" i="28"/>
  <c r="N23" i="11"/>
  <c r="G25" i="11"/>
  <c r="N25" i="11"/>
  <c r="T35" i="28"/>
  <c r="N35" i="11"/>
  <c r="T39" i="28"/>
  <c r="N39" i="11"/>
  <c r="T14" i="28"/>
  <c r="N14" i="11"/>
  <c r="T18" i="28"/>
  <c r="N18" i="11"/>
  <c r="T22" i="28"/>
  <c r="N22" i="11"/>
  <c r="T24" i="28"/>
  <c r="N24" i="11"/>
  <c r="T32" i="28"/>
  <c r="N32" i="11"/>
  <c r="T36" i="28"/>
  <c r="N36" i="11"/>
  <c r="T50" i="28"/>
  <c r="N50" i="11"/>
  <c r="T59" i="28"/>
  <c r="N59" i="11"/>
  <c r="T64" i="28"/>
  <c r="N64" i="11"/>
  <c r="I10" i="28"/>
  <c r="Q10" i="28"/>
  <c r="T26" i="28"/>
  <c r="N26" i="11"/>
  <c r="T28" i="28"/>
  <c r="N28" i="11"/>
  <c r="G31" i="11"/>
  <c r="N31" i="11"/>
  <c r="T41" i="28"/>
  <c r="N41" i="11"/>
  <c r="T43" i="28"/>
  <c r="N43" i="11"/>
  <c r="T45" i="28"/>
  <c r="N45" i="11"/>
  <c r="T47" i="28"/>
  <c r="N47" i="11"/>
  <c r="T52" i="28"/>
  <c r="T65" i="28"/>
  <c r="N65" i="11"/>
  <c r="G36" i="11"/>
  <c r="G23" i="11"/>
  <c r="T51" i="28"/>
  <c r="N51" i="11"/>
  <c r="T56" i="28"/>
  <c r="N56" i="11"/>
  <c r="T58" i="28"/>
  <c r="N58" i="11"/>
  <c r="G48" i="11"/>
  <c r="G32" i="11"/>
  <c r="G20" i="11"/>
  <c r="T25" i="28"/>
  <c r="T27" i="28"/>
  <c r="N27" i="11"/>
  <c r="T42" i="28"/>
  <c r="N42" i="11"/>
  <c r="T44" i="28"/>
  <c r="N44" i="11"/>
  <c r="T46" i="28"/>
  <c r="N46" i="11"/>
  <c r="G44" i="11"/>
  <c r="G28" i="11"/>
  <c r="T19" i="28"/>
  <c r="T21" i="28"/>
  <c r="N21" i="11"/>
  <c r="T33" i="28"/>
  <c r="N33" i="11"/>
  <c r="T37" i="28"/>
  <c r="N37" i="11"/>
  <c r="T49" i="28"/>
  <c r="N49" i="11"/>
  <c r="T63" i="28"/>
  <c r="N63" i="11"/>
  <c r="G10" i="28"/>
  <c r="S10" i="28" s="1"/>
  <c r="N10" i="11" s="1"/>
  <c r="T12" i="28"/>
  <c r="N12" i="11"/>
  <c r="T16" i="28"/>
  <c r="N16" i="11"/>
  <c r="T34" i="28"/>
  <c r="N34" i="11"/>
  <c r="T38" i="28"/>
  <c r="N38" i="11"/>
  <c r="T57" i="28"/>
  <c r="N57" i="11"/>
  <c r="T62" i="28"/>
  <c r="N62" i="11"/>
  <c r="G52" i="11"/>
  <c r="G37" i="11"/>
  <c r="G24" i="11"/>
  <c r="G14" i="11"/>
  <c r="G62" i="11"/>
  <c r="G65" i="11"/>
  <c r="G64" i="11"/>
  <c r="G58" i="11"/>
  <c r="G56" i="11"/>
  <c r="G59" i="11"/>
  <c r="G57" i="1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N55" i="11" s="1"/>
  <c r="H29" i="28"/>
  <c r="P29" i="28"/>
  <c r="P53" i="28" s="1"/>
  <c r="I29" i="28"/>
  <c r="I53" i="28" s="1"/>
  <c r="M29" i="28"/>
  <c r="M53" i="28" s="1"/>
  <c r="Q29" i="28"/>
  <c r="H53" i="28"/>
  <c r="H60" i="28" s="1"/>
  <c r="H66" i="28" s="1"/>
  <c r="H61" i="28" s="1"/>
  <c r="L53" i="28"/>
  <c r="L60" i="28" s="1"/>
  <c r="L66" i="28" s="1"/>
  <c r="L61" i="28" s="1"/>
  <c r="S40" i="28"/>
  <c r="N40" i="11" s="1"/>
  <c r="S11" i="28"/>
  <c r="N11" i="11" s="1"/>
  <c r="N53" i="28"/>
  <c r="N54" i="28" s="1"/>
  <c r="J53" i="28"/>
  <c r="J54" i="28" s="1"/>
  <c r="R53" i="28"/>
  <c r="R54" i="28" s="1"/>
  <c r="O54" i="28"/>
  <c r="O60" i="28"/>
  <c r="O66" i="28" s="1"/>
  <c r="O61" i="28" s="1"/>
  <c r="K60" i="28"/>
  <c r="K66" i="28" s="1"/>
  <c r="K61" i="28" s="1"/>
  <c r="K54" i="28"/>
  <c r="H54" i="28"/>
  <c r="S30" i="28"/>
  <c r="N30" i="11" s="1"/>
  <c r="S87" i="28"/>
  <c r="T87" i="28" s="1"/>
  <c r="R60" i="28" l="1"/>
  <c r="R66" i="28" s="1"/>
  <c r="R61" i="28" s="1"/>
  <c r="Q53" i="28"/>
  <c r="N19" i="11"/>
  <c r="G53" i="28"/>
  <c r="G54" i="28" s="1"/>
  <c r="T55" i="28"/>
  <c r="G55" i="11"/>
  <c r="T40" i="28"/>
  <c r="G40" i="11"/>
  <c r="T30" i="28"/>
  <c r="G30" i="11"/>
  <c r="T11" i="28"/>
  <c r="G11" i="11"/>
  <c r="T10" i="28"/>
  <c r="G10" i="11"/>
  <c r="D12" i="1" s="1"/>
  <c r="M54" i="28"/>
  <c r="M60" i="28"/>
  <c r="M66" i="28" s="1"/>
  <c r="M61" i="28" s="1"/>
  <c r="I60" i="28"/>
  <c r="I66" i="28" s="1"/>
  <c r="I61" i="28" s="1"/>
  <c r="I54" i="28"/>
  <c r="P54" i="28"/>
  <c r="P60" i="28"/>
  <c r="P66" i="28" s="1"/>
  <c r="P61" i="28" s="1"/>
  <c r="Q60" i="28"/>
  <c r="Q66" i="28" s="1"/>
  <c r="Q61" i="28" s="1"/>
  <c r="Q54" i="28"/>
  <c r="N60" i="28"/>
  <c r="N66" i="28" s="1"/>
  <c r="N61" i="28" s="1"/>
  <c r="L54" i="28"/>
  <c r="S29" i="28"/>
  <c r="N29" i="11" s="1"/>
  <c r="J60" i="28"/>
  <c r="J66" i="28" s="1"/>
  <c r="J61" i="28" s="1"/>
  <c r="S53" i="28"/>
  <c r="G60" i="28" l="1"/>
  <c r="G66" i="28" s="1"/>
  <c r="G61" i="28" s="1"/>
  <c r="G53" i="11"/>
  <c r="D20" i="1" s="1"/>
  <c r="N53" i="11"/>
  <c r="T29" i="28"/>
  <c r="G29" i="11"/>
  <c r="D16" i="1" s="1"/>
  <c r="S129" i="28"/>
  <c r="T129" i="28" s="1"/>
  <c r="S61" i="28"/>
  <c r="N61" i="11" s="1"/>
  <c r="S54" i="28"/>
  <c r="N54" i="11" s="1"/>
  <c r="S60" i="28"/>
  <c r="T53" i="28"/>
  <c r="G19" i="26"/>
  <c r="H19" i="26"/>
  <c r="G60" i="11" l="1"/>
  <c r="N60" i="11"/>
  <c r="K19" i="11"/>
  <c r="R19" i="11"/>
  <c r="T54" i="28"/>
  <c r="G54" i="11"/>
  <c r="T61" i="28"/>
  <c r="G61" i="11"/>
  <c r="S130" i="28"/>
  <c r="T130" i="28" s="1"/>
  <c r="S136" i="28"/>
  <c r="T136" i="28" s="1"/>
  <c r="S66" i="28"/>
  <c r="N66" i="11" s="1"/>
  <c r="T60" i="28"/>
  <c r="G55" i="26"/>
  <c r="K55" i="11" l="1"/>
  <c r="R55" i="11"/>
  <c r="T66" i="28"/>
  <c r="G66" i="11"/>
  <c r="S142" i="28"/>
  <c r="T142" i="28" s="1"/>
  <c r="I19" i="26"/>
  <c r="S137" i="28" l="1"/>
  <c r="T137" i="28" s="1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M10" i="27" l="1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N130" i="27"/>
  <c r="O53" i="27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136" i="27"/>
  <c r="T136" i="27" s="1"/>
  <c r="S60" i="27"/>
  <c r="T53" i="27"/>
  <c r="S59" i="11"/>
  <c r="P59" i="11"/>
  <c r="O66" i="27" l="1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10" i="26" s="1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G10" i="26" l="1"/>
  <c r="K11" i="11"/>
  <c r="R11" i="11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K10" i="11" l="1"/>
  <c r="R10" i="11"/>
  <c r="L129" i="26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R40" i="11" l="1"/>
  <c r="K40" i="11"/>
  <c r="K30" i="11"/>
  <c r="R30" i="11"/>
  <c r="G29" i="26"/>
  <c r="R29" i="11" l="1"/>
  <c r="K29" i="11"/>
  <c r="G53" i="26"/>
  <c r="R53" i="11" l="1"/>
  <c r="K53" i="11"/>
  <c r="G60" i="26"/>
  <c r="G54" i="26"/>
  <c r="K54" i="11" l="1"/>
  <c r="R54" i="11"/>
  <c r="G66" i="26"/>
  <c r="K60" i="11"/>
  <c r="R60" i="1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R66" i="11"/>
  <c r="K66" i="1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R61" i="11" l="1"/>
  <c r="K61" i="11"/>
  <c r="Q39" i="1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T30" i="11"/>
  <c r="S30" i="11"/>
  <c r="P30" i="11"/>
  <c r="T37" i="26" l="1"/>
  <c r="T50" i="26"/>
  <c r="T29" i="11"/>
  <c r="S29" i="11"/>
  <c r="E16" i="1" s="1"/>
  <c r="P29" i="11"/>
  <c r="Q29" i="11"/>
  <c r="T44" i="26"/>
  <c r="T41" i="26"/>
  <c r="T34" i="26"/>
  <c r="H30" i="26"/>
  <c r="S32" i="26"/>
  <c r="T36" i="26"/>
  <c r="S46" i="26"/>
  <c r="I60" i="26"/>
  <c r="I54" i="26"/>
  <c r="H40" i="26"/>
  <c r="S40" i="26" s="1"/>
  <c r="T38" i="26"/>
  <c r="T45" i="26"/>
  <c r="T39" i="26"/>
  <c r="T47" i="26"/>
  <c r="T33" i="26"/>
  <c r="T49" i="26"/>
  <c r="T35" i="26"/>
  <c r="T42" i="26"/>
  <c r="I49" i="11" l="1"/>
  <c r="J49" i="11"/>
  <c r="M49" i="11"/>
  <c r="L49" i="11"/>
  <c r="T54" i="11"/>
  <c r="S54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T53" i="11"/>
  <c r="S53" i="11"/>
  <c r="E20" i="1" s="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T60" i="11"/>
  <c r="S60" i="11"/>
  <c r="Q60" i="11"/>
  <c r="H53" i="26"/>
  <c r="S29" i="26"/>
  <c r="J30" i="11" l="1"/>
  <c r="I30" i="11"/>
  <c r="L30" i="11"/>
  <c r="M30" i="11"/>
  <c r="T29" i="26"/>
  <c r="T66" i="11"/>
  <c r="S66" i="11"/>
  <c r="Q66" i="11"/>
  <c r="P66" i="11"/>
  <c r="H54" i="26"/>
  <c r="S54" i="26" s="1"/>
  <c r="H60" i="26"/>
  <c r="H66" i="26" s="1"/>
  <c r="H61" i="26" s="1"/>
  <c r="S61" i="26" s="1"/>
  <c r="S53" i="26"/>
  <c r="P61" i="11"/>
  <c r="T61" i="11"/>
  <c r="S61" i="11"/>
  <c r="Q61" i="11"/>
  <c r="T61" i="26" l="1"/>
  <c r="T54" i="26"/>
  <c r="S60" i="26"/>
  <c r="T53" i="26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T60" i="26"/>
  <c r="L60" i="11" l="1"/>
  <c r="M60" i="11"/>
  <c r="J60" i="11"/>
  <c r="I60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<sst xmlns="http://schemas.openxmlformats.org/spreadsheetml/2006/main" count="1911" uniqueCount="881">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</sst>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januaru 2025.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što je na nivou plana za januar mjesec 2025. godine.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mjesecu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iznosili su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154.2</a:t>
          </a:r>
          <a:r>
            <a:rPr lang="sr-Latn-M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.8%.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sufici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0.03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28933" y="1323976"/>
          <a:ext cx="494665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pripremljen je u skladu sa Zakonom o budžetu Crne Gore za 2025. godinu. Plan izdataka budžeta za januar i februar pripremljen je u skladu sa rješenjima o privremenom finansiranju za januar i februar, dok je za period mart-decembar mjesečni plan pripremljen u skladu sa dinamikom izvršenja iz 2024. godine. Imajući u vidu da je u toku finalizacija mjesečnog plana, može doći do izmjena u narednom periodu.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14</xdr:col>
      <xdr:colOff>641306</xdr:colOff>
      <xdr:row>1</xdr:row>
      <xdr:rowOff>122092</xdr:rowOff>
    </xdr:from>
    <xdr:to>
      <xdr:col>17</xdr:col>
      <xdr:colOff>513082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18</xdr:col>
      <xdr:colOff>73260</xdr:colOff>
      <xdr:row>2</xdr:row>
      <xdr:rowOff>9524</xdr:rowOff>
    </xdr:from>
    <xdr:to>
      <xdr:col>20</xdr:col>
      <xdr:colOff>564557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2025-01</v>
      </c>
      <c r="O6" s="128" t="str">
        <f>+CONCATENATE(N6,"p")</f>
        <v>2025-01p</v>
      </c>
      <c r="P6" s="116"/>
      <c r="Q6" s="116"/>
      <c r="R6" s="128" t="str">
        <f>+IF(Master!B3-10&gt;=0,CONCATENATE(Master!B4-1,"-",Master!B3),CONCATENATE(Master!B4-1,"-0",Master!B3))</f>
        <v>2024-01</v>
      </c>
      <c r="S6" s="116"/>
      <c r="T6" s="116"/>
    </row>
    <row r="7" spans="1:20">
      <c r="A7" s="129"/>
      <c r="B7" s="592" t="s">
        <v>691</v>
      </c>
      <c r="C7" s="593"/>
      <c r="D7" s="593"/>
      <c r="E7" s="593"/>
      <c r="F7" s="593"/>
      <c r="G7" s="601" t="s">
        <v>690</v>
      </c>
      <c r="H7" s="602"/>
      <c r="I7" s="602"/>
      <c r="J7" s="602"/>
      <c r="K7" s="602"/>
      <c r="L7" s="602"/>
      <c r="M7" s="603"/>
      <c r="N7" s="604" t="str">
        <f>+Master!G243</f>
        <v>Decembar</v>
      </c>
      <c r="O7" s="602"/>
      <c r="P7" s="602"/>
      <c r="Q7" s="602"/>
      <c r="R7" s="602"/>
      <c r="S7" s="602"/>
      <c r="T7" s="605"/>
    </row>
    <row r="8" spans="1:20">
      <c r="A8" s="129"/>
      <c r="B8" s="594"/>
      <c r="C8" s="595"/>
      <c r="D8" s="595"/>
      <c r="E8" s="595"/>
      <c r="F8" s="596"/>
      <c r="G8" s="130" t="str">
        <f>+Master!G26</f>
        <v>Ostvarenje</v>
      </c>
      <c r="H8" s="130" t="str">
        <f>+Master!G25</f>
        <v>Plan</v>
      </c>
      <c r="I8" s="590" t="str">
        <f>+Master!G261</f>
        <v>Odstupanje</v>
      </c>
      <c r="J8" s="590"/>
      <c r="K8" s="130" t="str">
        <f>+CONCATENATE(Master!G246," ",Master!B4-1)</f>
        <v>Jan - Jan 2024</v>
      </c>
      <c r="L8" s="590" t="str">
        <f>+I8</f>
        <v>Odstupanje</v>
      </c>
      <c r="M8" s="600"/>
      <c r="N8" s="131" t="str">
        <f>+G8</f>
        <v>Ostvarenje</v>
      </c>
      <c r="O8" s="130" t="str">
        <f>+H8</f>
        <v>Plan</v>
      </c>
      <c r="P8" s="590" t="str">
        <f>+I8</f>
        <v>Odstupanje</v>
      </c>
      <c r="Q8" s="590"/>
      <c r="R8" s="130" t="str">
        <f>+CONCATENATE(Master!G245," ",Master!B4-1)</f>
        <v>Januar 2024</v>
      </c>
      <c r="S8" s="590" t="str">
        <f>+P8</f>
        <v>Odstupanje</v>
      </c>
      <c r="T8" s="591"/>
    </row>
    <row r="9" spans="1:20" ht="15.7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60" t="str">
        <f>+VLOOKUP($A10,Master!$D$30:$G$226,4,FALSE)</f>
        <v>Prihodi budžeta</v>
      </c>
      <c r="C10" s="561"/>
      <c r="D10" s="561"/>
      <c r="E10" s="561"/>
      <c r="F10" s="561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64" t="e">
        <f>+VLOOKUP($A18,Master!$D$30:$G$226,4,FALSE)</f>
        <v>#N/A</v>
      </c>
      <c r="C18" s="565"/>
      <c r="D18" s="565"/>
      <c r="E18" s="565"/>
      <c r="F18" s="565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64" t="str">
        <f>+VLOOKUP($A19,Master!$D$30:$G$226,4,FALSE)</f>
        <v>Ostali državni porezi</v>
      </c>
      <c r="C19" s="565"/>
      <c r="D19" s="565"/>
      <c r="E19" s="565"/>
      <c r="F19" s="565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68" t="str">
        <f>+VLOOKUP($A20,Master!$D$30:$G$226,4,FALSE)</f>
        <v>Doprinosi</v>
      </c>
      <c r="C20" s="569"/>
      <c r="D20" s="569"/>
      <c r="E20" s="569"/>
      <c r="F20" s="569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64" t="str">
        <f>+VLOOKUP($A21,Master!$D$30:$G$226,4,FALSE)</f>
        <v>Doprinosi za penzijsko i invalidsko osiguranje</v>
      </c>
      <c r="C21" s="565"/>
      <c r="D21" s="565"/>
      <c r="E21" s="565"/>
      <c r="F21" s="565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64" t="str">
        <f>+VLOOKUP($A22,Master!$D$30:$G$226,4,FALSE)</f>
        <v>Doprinosi za zdravstveno osiguranje</v>
      </c>
      <c r="C22" s="565"/>
      <c r="D22" s="565"/>
      <c r="E22" s="565"/>
      <c r="F22" s="565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64" t="str">
        <f>+VLOOKUP($A23,Master!$D$30:$G$226,4,FALSE)</f>
        <v>Doprinosi za osiguranje od nezaposlenosti</v>
      </c>
      <c r="C23" s="565"/>
      <c r="D23" s="565"/>
      <c r="E23" s="565"/>
      <c r="F23" s="565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64" t="str">
        <f>+VLOOKUP($A24,Master!$D$30:$G$226,4,FALSE)</f>
        <v>Ostali doprinosi</v>
      </c>
      <c r="C24" s="565"/>
      <c r="D24" s="565"/>
      <c r="E24" s="565"/>
      <c r="F24" s="565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66" t="str">
        <f>+VLOOKUP($A25,Master!$D$30:$G$226,4,FALSE)</f>
        <v>Takse</v>
      </c>
      <c r="C25" s="567"/>
      <c r="D25" s="567"/>
      <c r="E25" s="567"/>
      <c r="F25" s="567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66" t="str">
        <f>+VLOOKUP($A26,Master!$D$30:$G$226,4,FALSE)</f>
        <v>Naknade</v>
      </c>
      <c r="C26" s="567"/>
      <c r="D26" s="567"/>
      <c r="E26" s="567"/>
      <c r="F26" s="567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66" t="str">
        <f>+VLOOKUP($A27,Master!$D$30:$G$226,4,FALSE)</f>
        <v>Ostali prihodi</v>
      </c>
      <c r="C27" s="567"/>
      <c r="D27" s="567"/>
      <c r="E27" s="567"/>
      <c r="F27" s="567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66" t="str">
        <f>+VLOOKUP($A28,Master!$D$30:$G$226,4,FALSE)</f>
        <v>Primici od otplate kredita i sredstva prenesena iz prethodne godine</v>
      </c>
      <c r="C28" s="567"/>
      <c r="D28" s="567"/>
      <c r="E28" s="567"/>
      <c r="F28" s="567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70" t="str">
        <f>+VLOOKUP($A29,Master!$D$30:$G$226,4,FALSE)</f>
        <v>Donacije i transferi</v>
      </c>
      <c r="C29" s="571"/>
      <c r="D29" s="571"/>
      <c r="E29" s="571"/>
      <c r="F29" s="571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2" t="str">
        <f>+VLOOKUP($A30,Master!$D$30:$G$226,4,FALSE)</f>
        <v>Izdaci budžeta</v>
      </c>
      <c r="C30" s="573"/>
      <c r="D30" s="573"/>
      <c r="E30" s="573"/>
      <c r="F30" s="573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74" t="str">
        <f>+VLOOKUP($A31,Master!$D$30:$G$226,4,FALSE)</f>
        <v>Tekući izdaci</v>
      </c>
      <c r="C31" s="575"/>
      <c r="D31" s="575"/>
      <c r="E31" s="575"/>
      <c r="F31" s="575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76" t="str">
        <f>+VLOOKUP($A32,Master!$D$30:$G$226,4,FALSE)</f>
        <v>Tekuća budžetska potrošnja</v>
      </c>
      <c r="C32" s="577"/>
      <c r="D32" s="577"/>
      <c r="E32" s="577"/>
      <c r="F32" s="577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64" t="str">
        <f>+VLOOKUP($A33,Master!$D$30:$G$226,4,FALSE)</f>
        <v>Bruto zarade i doprinosi na teret poslodavca</v>
      </c>
      <c r="C33" s="565"/>
      <c r="D33" s="565"/>
      <c r="E33" s="565"/>
      <c r="F33" s="565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64" t="str">
        <f>+VLOOKUP($A34,Master!$D$30:$G$226,4,FALSE)</f>
        <v>Ostala lična primanja</v>
      </c>
      <c r="C34" s="565"/>
      <c r="D34" s="565"/>
      <c r="E34" s="565"/>
      <c r="F34" s="565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64" t="str">
        <f>+VLOOKUP($A35,Master!$D$30:$G$226,4,FALSE)</f>
        <v>Rashodi za materijal</v>
      </c>
      <c r="C35" s="565"/>
      <c r="D35" s="565"/>
      <c r="E35" s="565"/>
      <c r="F35" s="565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64" t="str">
        <f>+VLOOKUP($A36,Master!$D$30:$G$226,4,FALSE)</f>
        <v>Rashodi za usluge</v>
      </c>
      <c r="C36" s="565"/>
      <c r="D36" s="565"/>
      <c r="E36" s="565"/>
      <c r="F36" s="565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64" t="str">
        <f>+VLOOKUP($A37,Master!$D$30:$G$226,4,FALSE)</f>
        <v>Rashodi za tekuće održavanje</v>
      </c>
      <c r="C37" s="565"/>
      <c r="D37" s="565"/>
      <c r="E37" s="565"/>
      <c r="F37" s="565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64" t="str">
        <f>+VLOOKUP($A38,Master!$D$30:$G$226,4,FALSE)</f>
        <v>Kamate</v>
      </c>
      <c r="C38" s="565"/>
      <c r="D38" s="565"/>
      <c r="E38" s="565"/>
      <c r="F38" s="565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64" t="str">
        <f>+VLOOKUP($A39,Master!$D$30:$G$226,4,FALSE)</f>
        <v>Renta</v>
      </c>
      <c r="C39" s="565"/>
      <c r="D39" s="565"/>
      <c r="E39" s="565"/>
      <c r="F39" s="565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64" t="str">
        <f>+VLOOKUP($A40,Master!$D$30:$G$226,4,FALSE)</f>
        <v>Subvencije</v>
      </c>
      <c r="C40" s="565"/>
      <c r="D40" s="565"/>
      <c r="E40" s="565"/>
      <c r="F40" s="565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64" t="str">
        <f>+VLOOKUP($A41,Master!$D$30:$G$226,4,FALSE)</f>
        <v>Ostali izdaci</v>
      </c>
      <c r="C41" s="565"/>
      <c r="D41" s="565"/>
      <c r="E41" s="565"/>
      <c r="F41" s="565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64" t="e">
        <f>+VLOOKUP($A42,Master!$D$30:$G$226,4,FALSE)</f>
        <v>#N/A</v>
      </c>
      <c r="C42" s="565"/>
      <c r="D42" s="565"/>
      <c r="E42" s="565"/>
      <c r="F42" s="565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0" t="str">
        <f>+VLOOKUP($A43,Master!$D$30:$G$226,4,FALSE)</f>
        <v>Transferi za socijalnu zaštitu</v>
      </c>
      <c r="C43" s="581"/>
      <c r="D43" s="581"/>
      <c r="E43" s="581"/>
      <c r="F43" s="581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64" t="str">
        <f>+VLOOKUP($A44,Master!$D$30:$G$226,4,FALSE)</f>
        <v>Prava iz oblasti socijalne zaštite</v>
      </c>
      <c r="C44" s="565"/>
      <c r="D44" s="565"/>
      <c r="E44" s="565"/>
      <c r="F44" s="565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64" t="str">
        <f>+VLOOKUP($A45,Master!$D$30:$G$226,4,FALSE)</f>
        <v>Sredstva za tehnološke viškove</v>
      </c>
      <c r="C45" s="565"/>
      <c r="D45" s="565"/>
      <c r="E45" s="565"/>
      <c r="F45" s="565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64" t="str">
        <f>+VLOOKUP($A46,Master!$D$30:$G$226,4,FALSE)</f>
        <v>Prava iz oblasti penzijskog i invalidskog osiguranja</v>
      </c>
      <c r="C46" s="565"/>
      <c r="D46" s="565"/>
      <c r="E46" s="565"/>
      <c r="F46" s="565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64" t="str">
        <f>+VLOOKUP($A47,Master!$D$30:$G$226,4,FALSE)</f>
        <v>Ostala prava iz oblasti zdravstvene zaštite</v>
      </c>
      <c r="C47" s="565"/>
      <c r="D47" s="565"/>
      <c r="E47" s="565"/>
      <c r="F47" s="565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64" t="str">
        <f>+VLOOKUP($A48,Master!$D$30:$G$226,4,FALSE)</f>
        <v>Ostala prava iz zdravstvenog osiguranja</v>
      </c>
      <c r="C48" s="565"/>
      <c r="D48" s="565"/>
      <c r="E48" s="565"/>
      <c r="F48" s="565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78" t="str">
        <f>+VLOOKUP($A49,Master!$D$30:$G$226,4,FALSE)</f>
        <v xml:space="preserve">Transferi institucijama, pojedincima, nevladinom i javnom sektoru </v>
      </c>
      <c r="C49" s="579"/>
      <c r="D49" s="579"/>
      <c r="E49" s="579"/>
      <c r="F49" s="579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78" t="str">
        <f>+VLOOKUP($A50,Master!$D$30:$G$226,4,FALSE)</f>
        <v>Kapitalni izdaci</v>
      </c>
      <c r="C50" s="579"/>
      <c r="D50" s="579"/>
      <c r="E50" s="579"/>
      <c r="F50" s="579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82" t="str">
        <f>+VLOOKUP($A51,Master!$D$30:$G$226,4,FALSE)</f>
        <v>Pozajmice i krediti</v>
      </c>
      <c r="C51" s="583"/>
      <c r="D51" s="583"/>
      <c r="E51" s="583"/>
      <c r="F51" s="583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82" t="str">
        <f>+VLOOKUP($A52,Master!$D$30:$G$226,4,FALSE)</f>
        <v>Rezerve</v>
      </c>
      <c r="C52" s="583"/>
      <c r="D52" s="583"/>
      <c r="E52" s="583"/>
      <c r="F52" s="583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4" t="str">
        <f>+VLOOKUP($A53,Master!$D$30:$G$226,4,FALSE)</f>
        <v>Otplata garancija</v>
      </c>
      <c r="C53" s="585"/>
      <c r="D53" s="585"/>
      <c r="E53" s="585"/>
      <c r="F53" s="585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4" t="str">
        <f>+VLOOKUP($A54,Master!$D$30:$G$226,4,FALSE)</f>
        <v>Otplata obaveza iz prethodnog perioda</v>
      </c>
      <c r="C54" s="585"/>
      <c r="D54" s="585"/>
      <c r="E54" s="585"/>
      <c r="F54" s="585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4" t="str">
        <f>+VLOOKUP($A55,Master!$D$30:$G$228,4,FALSE)</f>
        <v>Neto povećanje obaveza</v>
      </c>
      <c r="C55" s="585"/>
      <c r="D55" s="585"/>
      <c r="E55" s="585"/>
      <c r="F55" s="585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6" t="str">
        <f>+VLOOKUP($A56,Master!$D$30:$G$226,4,FALSE)</f>
        <v>Suficit / deficit</v>
      </c>
      <c r="C56" s="587"/>
      <c r="D56" s="587"/>
      <c r="E56" s="587"/>
      <c r="F56" s="587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8" t="str">
        <f>+VLOOKUP($A57,Master!$D$30:$G$226,4,FALSE)</f>
        <v>Primarni suficit/deficit</v>
      </c>
      <c r="C57" s="589"/>
      <c r="D57" s="589"/>
      <c r="E57" s="589"/>
      <c r="F57" s="589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0" t="str">
        <f>+VLOOKUP($A58,Master!$D$30:$G$226,4,FALSE)</f>
        <v>Otplata dugova</v>
      </c>
      <c r="C58" s="581"/>
      <c r="D58" s="581"/>
      <c r="E58" s="581"/>
      <c r="F58" s="581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06" t="str">
        <f>+VLOOKUP($A59,Master!$D$30:$G$226,4,FALSE)</f>
        <v>Otplata hartija od vrijednosti i kredita rezidentima</v>
      </c>
      <c r="C59" s="607"/>
      <c r="D59" s="607"/>
      <c r="E59" s="607"/>
      <c r="F59" s="607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82" t="str">
        <f>+VLOOKUP($A60,Master!$D$30:$G$226,4,FALSE)</f>
        <v>Otplata hartija od vrijednosti i kredita nerezidentima</v>
      </c>
      <c r="C60" s="583"/>
      <c r="D60" s="583"/>
      <c r="E60" s="583"/>
      <c r="F60" s="583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08" t="str">
        <f>+VLOOKUP($A62,Master!$D$30:$G$226,4,FALSE)</f>
        <v>Nedostajuća sredstva</v>
      </c>
      <c r="C62" s="609"/>
      <c r="D62" s="609"/>
      <c r="E62" s="609"/>
      <c r="F62" s="609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2" t="str">
        <f>+VLOOKUP($A63,Master!$D$30:$G$226,4,FALSE)</f>
        <v>Finansiranje</v>
      </c>
      <c r="C63" s="573"/>
      <c r="D63" s="573"/>
      <c r="E63" s="573"/>
      <c r="F63" s="573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06" t="str">
        <f>+VLOOKUP($A64,Master!$D$30:$G$226,4,FALSE)</f>
        <v>Pozajmice i krediti od domaćih izvora</v>
      </c>
      <c r="C64" s="607"/>
      <c r="D64" s="607"/>
      <c r="E64" s="607"/>
      <c r="F64" s="607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82" t="str">
        <f>+VLOOKUP($A65,Master!$D$30:$G$226,4,FALSE)</f>
        <v>Pozajmice i krediti od inostranih izvora</v>
      </c>
      <c r="C65" s="583"/>
      <c r="D65" s="583"/>
      <c r="E65" s="583"/>
      <c r="F65" s="583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82" t="str">
        <f>+VLOOKUP($A66,Master!$D$30:$G$226,4,FALSE)</f>
        <v>Primici od prodaje imovine</v>
      </c>
      <c r="C66" s="583"/>
      <c r="D66" s="583"/>
      <c r="E66" s="583"/>
      <c r="F66" s="583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92" t="s">
        <v>553</v>
      </c>
      <c r="C7" s="593"/>
      <c r="D7" s="593"/>
      <c r="E7" s="593"/>
      <c r="F7" s="593"/>
      <c r="G7" s="601">
        <v>2019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">
        <v>419</v>
      </c>
      <c r="T7" s="221">
        <v>4951000000</v>
      </c>
    </row>
    <row r="8" spans="1:20" ht="16.5" customHeight="1">
      <c r="A8" s="129"/>
      <c r="B8" s="594"/>
      <c r="C8" s="595"/>
      <c r="D8" s="595"/>
      <c r="E8" s="595"/>
      <c r="F8" s="596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1" t="s">
        <v>806</v>
      </c>
      <c r="T8" s="605"/>
    </row>
    <row r="9" spans="1:20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2" t="s">
        <v>680</v>
      </c>
      <c r="C10" s="573"/>
      <c r="D10" s="573"/>
      <c r="E10" s="573"/>
      <c r="F10" s="573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62" t="s">
        <v>21</v>
      </c>
      <c r="C11" s="563"/>
      <c r="D11" s="563"/>
      <c r="E11" s="563"/>
      <c r="F11" s="563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64" t="s">
        <v>23</v>
      </c>
      <c r="C12" s="565"/>
      <c r="D12" s="565"/>
      <c r="E12" s="565"/>
      <c r="F12" s="565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64" t="s">
        <v>25</v>
      </c>
      <c r="C13" s="565"/>
      <c r="D13" s="565"/>
      <c r="E13" s="565"/>
      <c r="F13" s="565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64" t="s">
        <v>27</v>
      </c>
      <c r="C14" s="565"/>
      <c r="D14" s="565"/>
      <c r="E14" s="565"/>
      <c r="F14" s="565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64" t="s">
        <v>29</v>
      </c>
      <c r="C15" s="565"/>
      <c r="D15" s="565"/>
      <c r="E15" s="565"/>
      <c r="F15" s="565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64" t="s">
        <v>31</v>
      </c>
      <c r="C16" s="565"/>
      <c r="D16" s="565"/>
      <c r="E16" s="565"/>
      <c r="F16" s="565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64" t="s">
        <v>33</v>
      </c>
      <c r="C17" s="565"/>
      <c r="D17" s="565"/>
      <c r="E17" s="565"/>
      <c r="F17" s="565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64" t="s">
        <v>721</v>
      </c>
      <c r="C18" s="565"/>
      <c r="D18" s="565"/>
      <c r="E18" s="565"/>
      <c r="F18" s="565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68" t="s">
        <v>37</v>
      </c>
      <c r="C19" s="569"/>
      <c r="D19" s="569"/>
      <c r="E19" s="569"/>
      <c r="F19" s="569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64" t="s">
        <v>39</v>
      </c>
      <c r="C20" s="565"/>
      <c r="D20" s="565"/>
      <c r="E20" s="565"/>
      <c r="F20" s="565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64" t="s">
        <v>41</v>
      </c>
      <c r="C21" s="565"/>
      <c r="D21" s="565"/>
      <c r="E21" s="565"/>
      <c r="F21" s="565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64" t="s">
        <v>43</v>
      </c>
      <c r="C22" s="565"/>
      <c r="D22" s="565"/>
      <c r="E22" s="565"/>
      <c r="F22" s="565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64" t="s">
        <v>45</v>
      </c>
      <c r="C23" s="565"/>
      <c r="D23" s="565"/>
      <c r="E23" s="565"/>
      <c r="F23" s="565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66" t="s">
        <v>47</v>
      </c>
      <c r="C24" s="567"/>
      <c r="D24" s="567"/>
      <c r="E24" s="567"/>
      <c r="F24" s="567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66" t="s">
        <v>61</v>
      </c>
      <c r="C25" s="567"/>
      <c r="D25" s="567"/>
      <c r="E25" s="567"/>
      <c r="F25" s="567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66" t="s">
        <v>81</v>
      </c>
      <c r="C26" s="567"/>
      <c r="D26" s="567"/>
      <c r="E26" s="567"/>
      <c r="F26" s="567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66" t="s">
        <v>99</v>
      </c>
      <c r="C27" s="567"/>
      <c r="D27" s="567"/>
      <c r="E27" s="567"/>
      <c r="F27" s="567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70" t="s">
        <v>105</v>
      </c>
      <c r="C28" s="571"/>
      <c r="D28" s="571"/>
      <c r="E28" s="571"/>
      <c r="F28" s="571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2" t="s">
        <v>801</v>
      </c>
      <c r="C29" s="573"/>
      <c r="D29" s="573"/>
      <c r="E29" s="573"/>
      <c r="F29" s="573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74" t="s">
        <v>120</v>
      </c>
      <c r="C30" s="575"/>
      <c r="D30" s="575"/>
      <c r="E30" s="575"/>
      <c r="F30" s="575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64" t="s">
        <v>122</v>
      </c>
      <c r="C31" s="565"/>
      <c r="D31" s="565"/>
      <c r="E31" s="565"/>
      <c r="F31" s="565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64" t="s">
        <v>133</v>
      </c>
      <c r="C32" s="565"/>
      <c r="D32" s="565"/>
      <c r="E32" s="565"/>
      <c r="F32" s="565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64" t="s">
        <v>148</v>
      </c>
      <c r="C33" s="565"/>
      <c r="D33" s="565"/>
      <c r="E33" s="565"/>
      <c r="F33" s="565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64" t="s">
        <v>162</v>
      </c>
      <c r="C34" s="565"/>
      <c r="D34" s="565"/>
      <c r="E34" s="565"/>
      <c r="F34" s="565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59" t="s">
        <v>182</v>
      </c>
      <c r="C35" s="660"/>
      <c r="D35" s="660"/>
      <c r="E35" s="660"/>
      <c r="F35" s="660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64" t="s">
        <v>190</v>
      </c>
      <c r="C36" s="565"/>
      <c r="D36" s="565"/>
      <c r="E36" s="565"/>
      <c r="F36" s="565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64" t="s">
        <v>196</v>
      </c>
      <c r="C37" s="565"/>
      <c r="D37" s="565"/>
      <c r="E37" s="565"/>
      <c r="F37" s="565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64" t="s">
        <v>204</v>
      </c>
      <c r="C38" s="565"/>
      <c r="D38" s="565"/>
      <c r="E38" s="565"/>
      <c r="F38" s="565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64" t="s">
        <v>212</v>
      </c>
      <c r="C39" s="565"/>
      <c r="D39" s="565"/>
      <c r="E39" s="565"/>
      <c r="F39" s="565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0" t="s">
        <v>230</v>
      </c>
      <c r="C40" s="581"/>
      <c r="D40" s="581"/>
      <c r="E40" s="581"/>
      <c r="F40" s="581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64" t="s">
        <v>232</v>
      </c>
      <c r="C41" s="565"/>
      <c r="D41" s="565"/>
      <c r="E41" s="565"/>
      <c r="F41" s="565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64" t="s">
        <v>248</v>
      </c>
      <c r="C42" s="565"/>
      <c r="D42" s="565"/>
      <c r="E42" s="565"/>
      <c r="F42" s="565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64" t="s">
        <v>259</v>
      </c>
      <c r="C43" s="565"/>
      <c r="D43" s="565"/>
      <c r="E43" s="565"/>
      <c r="F43" s="565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64" t="s">
        <v>274</v>
      </c>
      <c r="C44" s="565"/>
      <c r="D44" s="565"/>
      <c r="E44" s="565"/>
      <c r="F44" s="565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64" t="s">
        <v>278</v>
      </c>
      <c r="C45" s="565"/>
      <c r="D45" s="565"/>
      <c r="E45" s="565"/>
      <c r="F45" s="565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78" t="s">
        <v>286</v>
      </c>
      <c r="C46" s="579"/>
      <c r="D46" s="579"/>
      <c r="E46" s="579"/>
      <c r="F46" s="579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78" t="s">
        <v>320</v>
      </c>
      <c r="C47" s="579"/>
      <c r="D47" s="579"/>
      <c r="E47" s="579"/>
      <c r="F47" s="579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57" t="s">
        <v>113</v>
      </c>
      <c r="C48" s="658"/>
      <c r="D48" s="658"/>
      <c r="E48" s="658"/>
      <c r="F48" s="658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49" t="s">
        <v>366</v>
      </c>
      <c r="C49" s="650"/>
      <c r="D49" s="650"/>
      <c r="E49" s="650"/>
      <c r="F49" s="650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4" t="s">
        <v>359</v>
      </c>
      <c r="C50" s="585"/>
      <c r="D50" s="585"/>
      <c r="E50" s="585"/>
      <c r="F50" s="585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51" t="s">
        <v>794</v>
      </c>
      <c r="C51" s="652"/>
      <c r="D51" s="652"/>
      <c r="E51" s="652"/>
      <c r="F51" s="652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53" t="s">
        <v>684</v>
      </c>
      <c r="C52" s="654"/>
      <c r="D52" s="654"/>
      <c r="E52" s="654"/>
      <c r="F52" s="654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6" t="s">
        <v>545</v>
      </c>
      <c r="C53" s="587"/>
      <c r="D53" s="587"/>
      <c r="E53" s="587"/>
      <c r="F53" s="587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8" t="s">
        <v>792</v>
      </c>
      <c r="C54" s="589"/>
      <c r="D54" s="589"/>
      <c r="E54" s="589"/>
      <c r="F54" s="589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0" t="s">
        <v>352</v>
      </c>
      <c r="C55" s="611"/>
      <c r="D55" s="611"/>
      <c r="E55" s="611"/>
      <c r="F55" s="611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06" t="s">
        <v>355</v>
      </c>
      <c r="C56" s="607"/>
      <c r="D56" s="607"/>
      <c r="E56" s="607"/>
      <c r="F56" s="607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82" t="s">
        <v>357</v>
      </c>
      <c r="C57" s="583"/>
      <c r="D57" s="583"/>
      <c r="E57" s="583"/>
      <c r="F57" s="583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5" t="s">
        <v>336</v>
      </c>
      <c r="C58" s="666"/>
      <c r="D58" s="666"/>
      <c r="E58" s="666"/>
      <c r="F58" s="666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08" t="s">
        <v>543</v>
      </c>
      <c r="C59" s="609"/>
      <c r="D59" s="609"/>
      <c r="E59" s="609"/>
      <c r="F59" s="609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2" t="s">
        <v>544</v>
      </c>
      <c r="C60" s="573"/>
      <c r="D60" s="573"/>
      <c r="E60" s="573"/>
      <c r="F60" s="573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06" t="s">
        <v>114</v>
      </c>
      <c r="C61" s="607"/>
      <c r="D61" s="607"/>
      <c r="E61" s="607"/>
      <c r="F61" s="607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82" t="s">
        <v>116</v>
      </c>
      <c r="C62" s="583"/>
      <c r="D62" s="583"/>
      <c r="E62" s="583"/>
      <c r="F62" s="583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82" t="s">
        <v>93</v>
      </c>
      <c r="C63" s="583"/>
      <c r="D63" s="583"/>
      <c r="E63" s="583"/>
      <c r="F63" s="583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8" t="s">
        <v>551</v>
      </c>
      <c r="C100" s="639"/>
      <c r="D100" s="639"/>
      <c r="E100" s="639"/>
      <c r="F100" s="639"/>
      <c r="G100" s="646">
        <v>2019</v>
      </c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48"/>
      <c r="S100" s="96" t="str">
        <f>+S7</f>
        <v>BDP</v>
      </c>
      <c r="T100" s="97">
        <f>+T7</f>
        <v>4951000000</v>
      </c>
    </row>
    <row r="101" spans="1:21" ht="15.75" customHeight="1">
      <c r="B101" s="640"/>
      <c r="C101" s="641"/>
      <c r="D101" s="641"/>
      <c r="E101" s="641"/>
      <c r="F101" s="642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46" t="s">
        <v>806</v>
      </c>
      <c r="T101" s="648">
        <f>+T8</f>
        <v>0</v>
      </c>
    </row>
    <row r="102" spans="1:21" ht="13.5" thickBot="1">
      <c r="B102" s="643"/>
      <c r="C102" s="644"/>
      <c r="D102" s="644"/>
      <c r="E102" s="644"/>
      <c r="F102" s="64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1" t="s">
        <v>680</v>
      </c>
      <c r="C103" s="662"/>
      <c r="D103" s="662"/>
      <c r="E103" s="662"/>
      <c r="F103" s="662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6" t="s">
        <v>21</v>
      </c>
      <c r="C104" s="637"/>
      <c r="D104" s="637"/>
      <c r="E104" s="637"/>
      <c r="F104" s="637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8" t="s">
        <v>23</v>
      </c>
      <c r="C105" s="629"/>
      <c r="D105" s="629"/>
      <c r="E105" s="629"/>
      <c r="F105" s="629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8" t="s">
        <v>25</v>
      </c>
      <c r="C106" s="629"/>
      <c r="D106" s="629"/>
      <c r="E106" s="629"/>
      <c r="F106" s="629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8" t="s">
        <v>27</v>
      </c>
      <c r="C107" s="629"/>
      <c r="D107" s="629"/>
      <c r="E107" s="629"/>
      <c r="F107" s="629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8" t="s">
        <v>29</v>
      </c>
      <c r="C108" s="629"/>
      <c r="D108" s="629"/>
      <c r="E108" s="629"/>
      <c r="F108" s="629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8" t="s">
        <v>31</v>
      </c>
      <c r="C109" s="629"/>
      <c r="D109" s="629"/>
      <c r="E109" s="629"/>
      <c r="F109" s="629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8" t="s">
        <v>33</v>
      </c>
      <c r="C110" s="629"/>
      <c r="D110" s="629"/>
      <c r="E110" s="629"/>
      <c r="F110" s="629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8" t="s">
        <v>721</v>
      </c>
      <c r="C111" s="629"/>
      <c r="D111" s="629"/>
      <c r="E111" s="629"/>
      <c r="F111" s="629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3" t="s">
        <v>37</v>
      </c>
      <c r="C112" s="664"/>
      <c r="D112" s="664"/>
      <c r="E112" s="664"/>
      <c r="F112" s="664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8" t="s">
        <v>39</v>
      </c>
      <c r="C113" s="629"/>
      <c r="D113" s="629"/>
      <c r="E113" s="629"/>
      <c r="F113" s="629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8" t="s">
        <v>41</v>
      </c>
      <c r="C114" s="629"/>
      <c r="D114" s="629"/>
      <c r="E114" s="629"/>
      <c r="F114" s="629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8" t="s">
        <v>43</v>
      </c>
      <c r="C115" s="629"/>
      <c r="D115" s="629"/>
      <c r="E115" s="629"/>
      <c r="F115" s="629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8" t="s">
        <v>45</v>
      </c>
      <c r="C116" s="629"/>
      <c r="D116" s="629"/>
      <c r="E116" s="629"/>
      <c r="F116" s="629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4" t="s">
        <v>47</v>
      </c>
      <c r="C117" s="635"/>
      <c r="D117" s="635"/>
      <c r="E117" s="635"/>
      <c r="F117" s="635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4" t="s">
        <v>61</v>
      </c>
      <c r="C118" s="635"/>
      <c r="D118" s="635"/>
      <c r="E118" s="635"/>
      <c r="F118" s="635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4" t="s">
        <v>81</v>
      </c>
      <c r="C119" s="635"/>
      <c r="D119" s="635"/>
      <c r="E119" s="635"/>
      <c r="F119" s="635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4" t="s">
        <v>99</v>
      </c>
      <c r="C120" s="635"/>
      <c r="D120" s="635"/>
      <c r="E120" s="635"/>
      <c r="F120" s="635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0" t="s">
        <v>105</v>
      </c>
      <c r="C121" s="631"/>
      <c r="D121" s="631"/>
      <c r="E121" s="631"/>
      <c r="F121" s="631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12" t="s">
        <v>808</v>
      </c>
      <c r="C122" s="613"/>
      <c r="D122" s="613"/>
      <c r="E122" s="613"/>
      <c r="F122" s="613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7" t="s">
        <v>773</v>
      </c>
      <c r="C123" s="668"/>
      <c r="D123" s="668"/>
      <c r="E123" s="668"/>
      <c r="F123" s="668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32" t="e">
        <v>#REF!</v>
      </c>
      <c r="C124" s="633"/>
      <c r="D124" s="633"/>
      <c r="E124" s="633"/>
      <c r="F124" s="633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8" t="s">
        <v>122</v>
      </c>
      <c r="C125" s="629"/>
      <c r="D125" s="629"/>
      <c r="E125" s="629"/>
      <c r="F125" s="629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8" t="s">
        <v>133</v>
      </c>
      <c r="C126" s="629"/>
      <c r="D126" s="629"/>
      <c r="E126" s="629"/>
      <c r="F126" s="629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8" t="s">
        <v>148</v>
      </c>
      <c r="C127" s="629"/>
      <c r="D127" s="629"/>
      <c r="E127" s="629"/>
      <c r="F127" s="629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8" t="s">
        <v>162</v>
      </c>
      <c r="C128" s="629"/>
      <c r="D128" s="629"/>
      <c r="E128" s="629"/>
      <c r="F128" s="629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8" t="s">
        <v>182</v>
      </c>
      <c r="C129" s="629"/>
      <c r="D129" s="629"/>
      <c r="E129" s="629"/>
      <c r="F129" s="629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8" t="s">
        <v>190</v>
      </c>
      <c r="C130" s="629"/>
      <c r="D130" s="629"/>
      <c r="E130" s="629"/>
      <c r="F130" s="629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8" t="s">
        <v>196</v>
      </c>
      <c r="C131" s="629"/>
      <c r="D131" s="629"/>
      <c r="E131" s="629"/>
      <c r="F131" s="629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8" t="s">
        <v>204</v>
      </c>
      <c r="C132" s="629"/>
      <c r="D132" s="629"/>
      <c r="E132" s="629"/>
      <c r="F132" s="629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8" t="s">
        <v>212</v>
      </c>
      <c r="C133" s="629"/>
      <c r="D133" s="629"/>
      <c r="E133" s="629"/>
      <c r="F133" s="629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8" t="e">
        <v>#REF!</v>
      </c>
      <c r="C134" s="629"/>
      <c r="D134" s="629"/>
      <c r="E134" s="629"/>
      <c r="F134" s="629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24" t="s">
        <v>230</v>
      </c>
      <c r="C135" s="625"/>
      <c r="D135" s="625"/>
      <c r="E135" s="625"/>
      <c r="F135" s="625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8" t="s">
        <v>232</v>
      </c>
      <c r="C136" s="629"/>
      <c r="D136" s="629"/>
      <c r="E136" s="629"/>
      <c r="F136" s="629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8" t="s">
        <v>248</v>
      </c>
      <c r="C137" s="629"/>
      <c r="D137" s="629"/>
      <c r="E137" s="629"/>
      <c r="F137" s="629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8" t="s">
        <v>259</v>
      </c>
      <c r="C138" s="629"/>
      <c r="D138" s="629"/>
      <c r="E138" s="629"/>
      <c r="F138" s="629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8" t="s">
        <v>274</v>
      </c>
      <c r="C139" s="629"/>
      <c r="D139" s="629"/>
      <c r="E139" s="629"/>
      <c r="F139" s="629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8" t="s">
        <v>278</v>
      </c>
      <c r="C140" s="629"/>
      <c r="D140" s="629"/>
      <c r="E140" s="629"/>
      <c r="F140" s="629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26" t="s">
        <v>286</v>
      </c>
      <c r="C141" s="627"/>
      <c r="D141" s="627"/>
      <c r="E141" s="627"/>
      <c r="F141" s="627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26" t="s">
        <v>809</v>
      </c>
      <c r="C142" s="627"/>
      <c r="D142" s="627"/>
      <c r="E142" s="627"/>
      <c r="F142" s="627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18" t="s">
        <v>113</v>
      </c>
      <c r="C143" s="619"/>
      <c r="D143" s="619"/>
      <c r="E143" s="619"/>
      <c r="F143" s="619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18" t="s">
        <v>366</v>
      </c>
      <c r="C144" s="619"/>
      <c r="D144" s="619"/>
      <c r="E144" s="619"/>
      <c r="F144" s="619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18" t="s">
        <v>359</v>
      </c>
      <c r="C145" s="619"/>
      <c r="D145" s="619"/>
      <c r="E145" s="619"/>
      <c r="F145" s="619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18" t="s">
        <v>365</v>
      </c>
      <c r="C146" s="619"/>
      <c r="D146" s="619"/>
      <c r="E146" s="619"/>
      <c r="F146" s="619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9" t="s">
        <v>685</v>
      </c>
      <c r="C147" s="670"/>
      <c r="D147" s="670"/>
      <c r="E147" s="670"/>
      <c r="F147" s="670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20" t="s">
        <v>545</v>
      </c>
      <c r="C148" s="621"/>
      <c r="D148" s="621"/>
      <c r="E148" s="621"/>
      <c r="F148" s="621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22" t="s">
        <v>810</v>
      </c>
      <c r="C149" s="623"/>
      <c r="D149" s="623"/>
      <c r="E149" s="623"/>
      <c r="F149" s="623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24" t="s">
        <v>352</v>
      </c>
      <c r="C150" s="625"/>
      <c r="D150" s="625"/>
      <c r="E150" s="625"/>
      <c r="F150" s="625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16" t="s">
        <v>355</v>
      </c>
      <c r="C151" s="617"/>
      <c r="D151" s="617"/>
      <c r="E151" s="617"/>
      <c r="F151" s="617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18" t="s">
        <v>357</v>
      </c>
      <c r="C152" s="619"/>
      <c r="D152" s="619"/>
      <c r="E152" s="619"/>
      <c r="F152" s="619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5" t="s">
        <v>336</v>
      </c>
      <c r="C153" s="666"/>
      <c r="D153" s="666"/>
      <c r="E153" s="666"/>
      <c r="F153" s="666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14" t="s">
        <v>543</v>
      </c>
      <c r="C154" s="615"/>
      <c r="D154" s="615"/>
      <c r="E154" s="615"/>
      <c r="F154" s="615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12" t="s">
        <v>544</v>
      </c>
      <c r="C155" s="613"/>
      <c r="D155" s="613"/>
      <c r="E155" s="613"/>
      <c r="F155" s="613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16" t="s">
        <v>114</v>
      </c>
      <c r="C156" s="617"/>
      <c r="D156" s="617"/>
      <c r="E156" s="617"/>
      <c r="F156" s="617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18" t="s">
        <v>116</v>
      </c>
      <c r="C157" s="619"/>
      <c r="D157" s="619"/>
      <c r="E157" s="619"/>
      <c r="F157" s="619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18" t="s">
        <v>93</v>
      </c>
      <c r="C158" s="619"/>
      <c r="D158" s="619"/>
      <c r="E158" s="619"/>
      <c r="F158" s="619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92" t="s">
        <v>553</v>
      </c>
      <c r="C7" s="593"/>
      <c r="D7" s="593"/>
      <c r="E7" s="593"/>
      <c r="F7" s="593"/>
      <c r="G7" s="601">
        <v>2018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">
        <v>419</v>
      </c>
      <c r="T7" s="221">
        <v>4663130000</v>
      </c>
    </row>
    <row r="8" spans="1:20" ht="16.5" customHeight="1">
      <c r="A8" s="129"/>
      <c r="B8" s="594"/>
      <c r="C8" s="595"/>
      <c r="D8" s="595"/>
      <c r="E8" s="595"/>
      <c r="F8" s="596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1" t="s">
        <v>806</v>
      </c>
      <c r="T8" s="605"/>
    </row>
    <row r="9" spans="1:20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0" t="s">
        <v>680</v>
      </c>
      <c r="C10" s="561"/>
      <c r="D10" s="561"/>
      <c r="E10" s="561"/>
      <c r="F10" s="561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62" t="s">
        <v>21</v>
      </c>
      <c r="C11" s="563"/>
      <c r="D11" s="563"/>
      <c r="E11" s="563"/>
      <c r="F11" s="563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64" t="s">
        <v>23</v>
      </c>
      <c r="C12" s="565"/>
      <c r="D12" s="565"/>
      <c r="E12" s="565"/>
      <c r="F12" s="565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64" t="s">
        <v>25</v>
      </c>
      <c r="C13" s="565"/>
      <c r="D13" s="565"/>
      <c r="E13" s="565"/>
      <c r="F13" s="565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64" t="s">
        <v>27</v>
      </c>
      <c r="C14" s="565"/>
      <c r="D14" s="565"/>
      <c r="E14" s="565"/>
      <c r="F14" s="565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64" t="s">
        <v>29</v>
      </c>
      <c r="C15" s="565"/>
      <c r="D15" s="565"/>
      <c r="E15" s="565"/>
      <c r="F15" s="565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64" t="s">
        <v>31</v>
      </c>
      <c r="C16" s="565"/>
      <c r="D16" s="565"/>
      <c r="E16" s="565"/>
      <c r="F16" s="565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64" t="s">
        <v>33</v>
      </c>
      <c r="C17" s="565"/>
      <c r="D17" s="565"/>
      <c r="E17" s="565"/>
      <c r="F17" s="565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64" t="s">
        <v>721</v>
      </c>
      <c r="C18" s="565"/>
      <c r="D18" s="565"/>
      <c r="E18" s="565"/>
      <c r="F18" s="565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68" t="s">
        <v>37</v>
      </c>
      <c r="C19" s="569"/>
      <c r="D19" s="569"/>
      <c r="E19" s="569"/>
      <c r="F19" s="569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64" t="s">
        <v>39</v>
      </c>
      <c r="C20" s="565"/>
      <c r="D20" s="565"/>
      <c r="E20" s="565"/>
      <c r="F20" s="565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64" t="s">
        <v>41</v>
      </c>
      <c r="C21" s="565"/>
      <c r="D21" s="565"/>
      <c r="E21" s="565"/>
      <c r="F21" s="565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64" t="s">
        <v>43</v>
      </c>
      <c r="C22" s="565"/>
      <c r="D22" s="565"/>
      <c r="E22" s="565"/>
      <c r="F22" s="565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64" t="s">
        <v>45</v>
      </c>
      <c r="C23" s="565"/>
      <c r="D23" s="565"/>
      <c r="E23" s="565"/>
      <c r="F23" s="565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66" t="s">
        <v>47</v>
      </c>
      <c r="C24" s="567"/>
      <c r="D24" s="567"/>
      <c r="E24" s="567"/>
      <c r="F24" s="567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66" t="s">
        <v>61</v>
      </c>
      <c r="C25" s="567"/>
      <c r="D25" s="567"/>
      <c r="E25" s="567"/>
      <c r="F25" s="567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66" t="s">
        <v>81</v>
      </c>
      <c r="C26" s="567"/>
      <c r="D26" s="567"/>
      <c r="E26" s="567"/>
      <c r="F26" s="567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66" t="s">
        <v>99</v>
      </c>
      <c r="C27" s="567"/>
      <c r="D27" s="567"/>
      <c r="E27" s="567"/>
      <c r="F27" s="567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70" t="s">
        <v>105</v>
      </c>
      <c r="C28" s="571"/>
      <c r="D28" s="571"/>
      <c r="E28" s="571"/>
      <c r="F28" s="571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2" t="s">
        <v>801</v>
      </c>
      <c r="C29" s="573"/>
      <c r="D29" s="573"/>
      <c r="E29" s="573"/>
      <c r="F29" s="573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74" t="s">
        <v>773</v>
      </c>
      <c r="C30" s="575"/>
      <c r="D30" s="575"/>
      <c r="E30" s="575"/>
      <c r="F30" s="575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76" t="s">
        <v>120</v>
      </c>
      <c r="C31" s="577"/>
      <c r="D31" s="577"/>
      <c r="E31" s="577"/>
      <c r="F31" s="577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64" t="s">
        <v>122</v>
      </c>
      <c r="C32" s="565"/>
      <c r="D32" s="565"/>
      <c r="E32" s="565"/>
      <c r="F32" s="565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64" t="s">
        <v>133</v>
      </c>
      <c r="C33" s="565"/>
      <c r="D33" s="565"/>
      <c r="E33" s="565"/>
      <c r="F33" s="565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64" t="s">
        <v>148</v>
      </c>
      <c r="C34" s="565"/>
      <c r="D34" s="565"/>
      <c r="E34" s="565"/>
      <c r="F34" s="565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64" t="s">
        <v>162</v>
      </c>
      <c r="C35" s="565"/>
      <c r="D35" s="565"/>
      <c r="E35" s="565"/>
      <c r="F35" s="565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64" t="s">
        <v>182</v>
      </c>
      <c r="C36" s="565"/>
      <c r="D36" s="565"/>
      <c r="E36" s="565"/>
      <c r="F36" s="565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64" t="s">
        <v>190</v>
      </c>
      <c r="C37" s="565"/>
      <c r="D37" s="565"/>
      <c r="E37" s="565"/>
      <c r="F37" s="565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64" t="s">
        <v>196</v>
      </c>
      <c r="C38" s="565"/>
      <c r="D38" s="565"/>
      <c r="E38" s="565"/>
      <c r="F38" s="565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64" t="s">
        <v>204</v>
      </c>
      <c r="C39" s="565"/>
      <c r="D39" s="565"/>
      <c r="E39" s="565"/>
      <c r="F39" s="565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64" t="s">
        <v>212</v>
      </c>
      <c r="C40" s="565"/>
      <c r="D40" s="565"/>
      <c r="E40" s="565"/>
      <c r="F40" s="565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64" t="s">
        <v>802</v>
      </c>
      <c r="C41" s="565"/>
      <c r="D41" s="565"/>
      <c r="E41" s="565"/>
      <c r="F41" s="565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0" t="s">
        <v>230</v>
      </c>
      <c r="C42" s="581"/>
      <c r="D42" s="581"/>
      <c r="E42" s="581"/>
      <c r="F42" s="581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64" t="s">
        <v>232</v>
      </c>
      <c r="C43" s="565"/>
      <c r="D43" s="565"/>
      <c r="E43" s="565"/>
      <c r="F43" s="565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64" t="s">
        <v>248</v>
      </c>
      <c r="C44" s="565"/>
      <c r="D44" s="565"/>
      <c r="E44" s="565"/>
      <c r="F44" s="565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64" t="s">
        <v>259</v>
      </c>
      <c r="C45" s="565"/>
      <c r="D45" s="565"/>
      <c r="E45" s="565"/>
      <c r="F45" s="565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64" t="s">
        <v>274</v>
      </c>
      <c r="C46" s="565"/>
      <c r="D46" s="565"/>
      <c r="E46" s="565"/>
      <c r="F46" s="565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1" t="s">
        <v>278</v>
      </c>
      <c r="C47" s="672"/>
      <c r="D47" s="672"/>
      <c r="E47" s="672"/>
      <c r="F47" s="672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78" t="s">
        <v>286</v>
      </c>
      <c r="C48" s="579"/>
      <c r="D48" s="579"/>
      <c r="E48" s="579"/>
      <c r="F48" s="579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78" t="s">
        <v>320</v>
      </c>
      <c r="C49" s="579"/>
      <c r="D49" s="579"/>
      <c r="E49" s="579"/>
      <c r="F49" s="579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57" t="s">
        <v>113</v>
      </c>
      <c r="C50" s="658"/>
      <c r="D50" s="658"/>
      <c r="E50" s="658"/>
      <c r="F50" s="658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82" t="s">
        <v>366</v>
      </c>
      <c r="C51" s="583"/>
      <c r="D51" s="583"/>
      <c r="E51" s="583"/>
      <c r="F51" s="583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4" t="s">
        <v>359</v>
      </c>
      <c r="C52" s="585"/>
      <c r="D52" s="585"/>
      <c r="E52" s="585"/>
      <c r="F52" s="585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51" t="s">
        <v>794</v>
      </c>
      <c r="C53" s="652"/>
      <c r="D53" s="652"/>
      <c r="E53" s="652"/>
      <c r="F53" s="652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53" t="s">
        <v>684</v>
      </c>
      <c r="C54" s="654"/>
      <c r="D54" s="654"/>
      <c r="E54" s="654"/>
      <c r="F54" s="654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6" t="s">
        <v>545</v>
      </c>
      <c r="C55" s="587"/>
      <c r="D55" s="587"/>
      <c r="E55" s="587"/>
      <c r="F55" s="587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8" t="s">
        <v>793</v>
      </c>
      <c r="C57" s="589"/>
      <c r="D57" s="589"/>
      <c r="E57" s="589"/>
      <c r="F57" s="589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0" t="s">
        <v>352</v>
      </c>
      <c r="C58" s="611"/>
      <c r="D58" s="611"/>
      <c r="E58" s="611"/>
      <c r="F58" s="611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06" t="s">
        <v>355</v>
      </c>
      <c r="C59" s="607"/>
      <c r="D59" s="607"/>
      <c r="E59" s="607"/>
      <c r="F59" s="607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82" t="s">
        <v>357</v>
      </c>
      <c r="C60" s="583"/>
      <c r="D60" s="583"/>
      <c r="E60" s="583"/>
      <c r="F60" s="583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3" t="s">
        <v>336</v>
      </c>
      <c r="C61" s="674"/>
      <c r="D61" s="674"/>
      <c r="E61" s="674"/>
      <c r="F61" s="674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08" t="s">
        <v>543</v>
      </c>
      <c r="C62" s="609"/>
      <c r="D62" s="609"/>
      <c r="E62" s="609"/>
      <c r="F62" s="609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2" t="s">
        <v>544</v>
      </c>
      <c r="C63" s="573"/>
      <c r="D63" s="573"/>
      <c r="E63" s="573"/>
      <c r="F63" s="573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06" t="s">
        <v>114</v>
      </c>
      <c r="C64" s="607"/>
      <c r="D64" s="607"/>
      <c r="E64" s="607"/>
      <c r="F64" s="607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82" t="s">
        <v>116</v>
      </c>
      <c r="C65" s="583"/>
      <c r="D65" s="583"/>
      <c r="E65" s="583"/>
      <c r="F65" s="583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82" t="s">
        <v>93</v>
      </c>
      <c r="C66" s="583"/>
      <c r="D66" s="583"/>
      <c r="E66" s="583"/>
      <c r="F66" s="583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8" t="s">
        <v>551</v>
      </c>
      <c r="C103" s="639"/>
      <c r="D103" s="639"/>
      <c r="E103" s="639"/>
      <c r="F103" s="639"/>
      <c r="G103" s="646">
        <v>2018</v>
      </c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48"/>
      <c r="S103" s="96" t="str">
        <f>+S7</f>
        <v>BDP</v>
      </c>
      <c r="T103" s="97">
        <f>+T7</f>
        <v>4663130000</v>
      </c>
    </row>
    <row r="104" spans="1:21" ht="15.75" customHeight="1">
      <c r="B104" s="640"/>
      <c r="C104" s="641"/>
      <c r="D104" s="641"/>
      <c r="E104" s="641"/>
      <c r="F104" s="642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46" t="s">
        <v>806</v>
      </c>
      <c r="T104" s="648">
        <f>+T8</f>
        <v>0</v>
      </c>
    </row>
    <row r="105" spans="1:21" ht="13.5" thickBot="1">
      <c r="B105" s="643"/>
      <c r="C105" s="644"/>
      <c r="D105" s="644"/>
      <c r="E105" s="644"/>
      <c r="F105" s="645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1" t="s">
        <v>680</v>
      </c>
      <c r="C106" s="662"/>
      <c r="D106" s="662"/>
      <c r="E106" s="662"/>
      <c r="F106" s="662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6" t="s">
        <v>21</v>
      </c>
      <c r="C107" s="637"/>
      <c r="D107" s="637"/>
      <c r="E107" s="637"/>
      <c r="F107" s="637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8" t="s">
        <v>23</v>
      </c>
      <c r="C108" s="629"/>
      <c r="D108" s="629"/>
      <c r="E108" s="629"/>
      <c r="F108" s="629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8" t="s">
        <v>25</v>
      </c>
      <c r="C109" s="629"/>
      <c r="D109" s="629"/>
      <c r="E109" s="629"/>
      <c r="F109" s="629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8" t="s">
        <v>27</v>
      </c>
      <c r="C110" s="629"/>
      <c r="D110" s="629"/>
      <c r="E110" s="629"/>
      <c r="F110" s="629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8" t="s">
        <v>29</v>
      </c>
      <c r="C111" s="629"/>
      <c r="D111" s="629"/>
      <c r="E111" s="629"/>
      <c r="F111" s="629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8" t="s">
        <v>31</v>
      </c>
      <c r="C112" s="629"/>
      <c r="D112" s="629"/>
      <c r="E112" s="629"/>
      <c r="F112" s="629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8" t="s">
        <v>33</v>
      </c>
      <c r="C113" s="629"/>
      <c r="D113" s="629"/>
      <c r="E113" s="629"/>
      <c r="F113" s="629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8" t="s">
        <v>721</v>
      </c>
      <c r="C114" s="629"/>
      <c r="D114" s="629"/>
      <c r="E114" s="629"/>
      <c r="F114" s="629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3" t="s">
        <v>37</v>
      </c>
      <c r="C115" s="664"/>
      <c r="D115" s="664"/>
      <c r="E115" s="664"/>
      <c r="F115" s="664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8" t="s">
        <v>39</v>
      </c>
      <c r="C116" s="629"/>
      <c r="D116" s="629"/>
      <c r="E116" s="629"/>
      <c r="F116" s="629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8" t="s">
        <v>41</v>
      </c>
      <c r="C117" s="629"/>
      <c r="D117" s="629"/>
      <c r="E117" s="629"/>
      <c r="F117" s="629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8" t="s">
        <v>43</v>
      </c>
      <c r="C118" s="629"/>
      <c r="D118" s="629"/>
      <c r="E118" s="629"/>
      <c r="F118" s="629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8" t="s">
        <v>45</v>
      </c>
      <c r="C119" s="629"/>
      <c r="D119" s="629"/>
      <c r="E119" s="629"/>
      <c r="F119" s="629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4" t="s">
        <v>47</v>
      </c>
      <c r="C120" s="635"/>
      <c r="D120" s="635"/>
      <c r="E120" s="635"/>
      <c r="F120" s="635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4" t="s">
        <v>61</v>
      </c>
      <c r="C121" s="635"/>
      <c r="D121" s="635"/>
      <c r="E121" s="635"/>
      <c r="F121" s="635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4" t="s">
        <v>81</v>
      </c>
      <c r="C122" s="635"/>
      <c r="D122" s="635"/>
      <c r="E122" s="635"/>
      <c r="F122" s="635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4" t="s">
        <v>99</v>
      </c>
      <c r="C123" s="635"/>
      <c r="D123" s="635"/>
      <c r="E123" s="635"/>
      <c r="F123" s="635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0" t="s">
        <v>105</v>
      </c>
      <c r="C124" s="631"/>
      <c r="D124" s="631"/>
      <c r="E124" s="631"/>
      <c r="F124" s="631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12" t="s">
        <v>808</v>
      </c>
      <c r="C125" s="613"/>
      <c r="D125" s="613"/>
      <c r="E125" s="613"/>
      <c r="F125" s="613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7" t="s">
        <v>773</v>
      </c>
      <c r="C126" s="668"/>
      <c r="D126" s="668"/>
      <c r="E126" s="668"/>
      <c r="F126" s="668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32" t="s">
        <v>120</v>
      </c>
      <c r="C127" s="633"/>
      <c r="D127" s="633"/>
      <c r="E127" s="633"/>
      <c r="F127" s="633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8" t="s">
        <v>122</v>
      </c>
      <c r="C128" s="629"/>
      <c r="D128" s="629"/>
      <c r="E128" s="629"/>
      <c r="F128" s="629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8" t="s">
        <v>133</v>
      </c>
      <c r="C129" s="629"/>
      <c r="D129" s="629"/>
      <c r="E129" s="629"/>
      <c r="F129" s="629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8" t="s">
        <v>148</v>
      </c>
      <c r="C130" s="629"/>
      <c r="D130" s="629"/>
      <c r="E130" s="629"/>
      <c r="F130" s="629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8" t="s">
        <v>162</v>
      </c>
      <c r="C131" s="629"/>
      <c r="D131" s="629"/>
      <c r="E131" s="629"/>
      <c r="F131" s="629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8" t="s">
        <v>182</v>
      </c>
      <c r="C132" s="629"/>
      <c r="D132" s="629"/>
      <c r="E132" s="629"/>
      <c r="F132" s="629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8" t="s">
        <v>190</v>
      </c>
      <c r="C133" s="629"/>
      <c r="D133" s="629"/>
      <c r="E133" s="629"/>
      <c r="F133" s="629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8" t="s">
        <v>196</v>
      </c>
      <c r="C134" s="629"/>
      <c r="D134" s="629"/>
      <c r="E134" s="629"/>
      <c r="F134" s="629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8" t="s">
        <v>204</v>
      </c>
      <c r="C135" s="629"/>
      <c r="D135" s="629"/>
      <c r="E135" s="629"/>
      <c r="F135" s="629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8" t="s">
        <v>212</v>
      </c>
      <c r="C136" s="629"/>
      <c r="D136" s="629"/>
      <c r="E136" s="629"/>
      <c r="F136" s="629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8" t="s">
        <v>802</v>
      </c>
      <c r="C137" s="629"/>
      <c r="D137" s="629"/>
      <c r="E137" s="629"/>
      <c r="F137" s="629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24" t="s">
        <v>230</v>
      </c>
      <c r="C138" s="625"/>
      <c r="D138" s="625"/>
      <c r="E138" s="625"/>
      <c r="F138" s="625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8" t="s">
        <v>232</v>
      </c>
      <c r="C139" s="629"/>
      <c r="D139" s="629"/>
      <c r="E139" s="629"/>
      <c r="F139" s="629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8" t="s">
        <v>248</v>
      </c>
      <c r="C140" s="629"/>
      <c r="D140" s="629"/>
      <c r="E140" s="629"/>
      <c r="F140" s="629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8" t="s">
        <v>259</v>
      </c>
      <c r="C141" s="629"/>
      <c r="D141" s="629"/>
      <c r="E141" s="629"/>
      <c r="F141" s="629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8" t="s">
        <v>274</v>
      </c>
      <c r="C142" s="629"/>
      <c r="D142" s="629"/>
      <c r="E142" s="629"/>
      <c r="F142" s="629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8" t="s">
        <v>278</v>
      </c>
      <c r="C143" s="629"/>
      <c r="D143" s="629"/>
      <c r="E143" s="629"/>
      <c r="F143" s="629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26" t="s">
        <v>286</v>
      </c>
      <c r="C144" s="627"/>
      <c r="D144" s="627"/>
      <c r="E144" s="627"/>
      <c r="F144" s="627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26" t="s">
        <v>809</v>
      </c>
      <c r="C145" s="627"/>
      <c r="D145" s="627"/>
      <c r="E145" s="627"/>
      <c r="F145" s="627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18" t="s">
        <v>113</v>
      </c>
      <c r="C146" s="619"/>
      <c r="D146" s="619"/>
      <c r="E146" s="619"/>
      <c r="F146" s="619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18" t="s">
        <v>366</v>
      </c>
      <c r="C147" s="619"/>
      <c r="D147" s="619"/>
      <c r="E147" s="619"/>
      <c r="F147" s="619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18" t="s">
        <v>359</v>
      </c>
      <c r="C148" s="619"/>
      <c r="D148" s="619"/>
      <c r="E148" s="619"/>
      <c r="F148" s="619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20" t="s">
        <v>545</v>
      </c>
      <c r="C150" s="621"/>
      <c r="D150" s="621"/>
      <c r="E150" s="621"/>
      <c r="F150" s="621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22" t="s">
        <v>810</v>
      </c>
      <c r="C151" s="623"/>
      <c r="D151" s="623"/>
      <c r="E151" s="623"/>
      <c r="F151" s="623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24" t="s">
        <v>352</v>
      </c>
      <c r="C152" s="625"/>
      <c r="D152" s="625"/>
      <c r="E152" s="625"/>
      <c r="F152" s="625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16" t="s">
        <v>355</v>
      </c>
      <c r="C153" s="617"/>
      <c r="D153" s="617"/>
      <c r="E153" s="617"/>
      <c r="F153" s="617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18" t="s">
        <v>357</v>
      </c>
      <c r="C154" s="619"/>
      <c r="D154" s="619"/>
      <c r="E154" s="619"/>
      <c r="F154" s="619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18" t="s">
        <v>365</v>
      </c>
      <c r="C155" s="619"/>
      <c r="D155" s="619"/>
      <c r="E155" s="619"/>
      <c r="F155" s="619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14" t="s">
        <v>543</v>
      </c>
      <c r="C157" s="615"/>
      <c r="D157" s="615"/>
      <c r="E157" s="615"/>
      <c r="F157" s="615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12" t="s">
        <v>544</v>
      </c>
      <c r="C158" s="613"/>
      <c r="D158" s="613"/>
      <c r="E158" s="613"/>
      <c r="F158" s="613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16" t="s">
        <v>114</v>
      </c>
      <c r="C159" s="617"/>
      <c r="D159" s="617"/>
      <c r="E159" s="617"/>
      <c r="F159" s="617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18" t="s">
        <v>116</v>
      </c>
      <c r="C160" s="619"/>
      <c r="D160" s="619"/>
      <c r="E160" s="619"/>
      <c r="F160" s="619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18" t="s">
        <v>93</v>
      </c>
      <c r="C161" s="619"/>
      <c r="D161" s="619"/>
      <c r="E161" s="619"/>
      <c r="F161" s="619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8" t="s">
        <v>554</v>
      </c>
      <c r="F6" s="676">
        <v>2006</v>
      </c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7"/>
      <c r="R6" s="676">
        <v>2007</v>
      </c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7"/>
      <c r="AD6" s="676">
        <v>2008</v>
      </c>
      <c r="AE6" s="675"/>
      <c r="AF6" s="675"/>
      <c r="AG6" s="675"/>
      <c r="AH6" s="675"/>
      <c r="AI6" s="675"/>
      <c r="AJ6" s="675"/>
      <c r="AK6" s="675"/>
      <c r="AL6" s="675"/>
      <c r="AM6" s="675"/>
      <c r="AN6" s="675"/>
      <c r="AO6" s="677"/>
      <c r="AP6" s="676">
        <v>2009</v>
      </c>
      <c r="AQ6" s="675"/>
      <c r="AR6" s="675"/>
      <c r="AS6" s="675"/>
      <c r="AT6" s="675"/>
      <c r="AU6" s="675"/>
      <c r="AV6" s="675"/>
      <c r="AW6" s="675"/>
      <c r="AX6" s="675"/>
      <c r="AY6" s="675"/>
      <c r="AZ6" s="675"/>
      <c r="BA6" s="677"/>
      <c r="BB6" s="676">
        <v>2010</v>
      </c>
      <c r="BC6" s="675"/>
      <c r="BD6" s="675"/>
      <c r="BE6" s="675"/>
      <c r="BF6" s="675"/>
      <c r="BG6" s="675"/>
      <c r="BH6" s="675"/>
      <c r="BI6" s="675"/>
      <c r="BJ6" s="675"/>
      <c r="BK6" s="675"/>
      <c r="BL6" s="675"/>
      <c r="BM6" s="677"/>
      <c r="BN6" s="676">
        <v>2011</v>
      </c>
      <c r="BO6" s="675"/>
      <c r="BP6" s="675"/>
      <c r="BQ6" s="675"/>
      <c r="BR6" s="675"/>
      <c r="BS6" s="675"/>
      <c r="BT6" s="675"/>
      <c r="BU6" s="675"/>
      <c r="BV6" s="675"/>
      <c r="BW6" s="675"/>
      <c r="BX6" s="675"/>
      <c r="BY6" s="677"/>
      <c r="BZ6" s="675">
        <v>2012</v>
      </c>
      <c r="CA6" s="675"/>
      <c r="CB6" s="675"/>
      <c r="CC6" s="675"/>
      <c r="CD6" s="675"/>
      <c r="CE6" s="675"/>
      <c r="CF6" s="675"/>
      <c r="CG6" s="675"/>
      <c r="CH6" s="675"/>
      <c r="CI6" s="675"/>
      <c r="CJ6" s="675"/>
      <c r="CK6" s="675"/>
      <c r="CL6" s="676">
        <v>2013</v>
      </c>
      <c r="CM6" s="675"/>
      <c r="CN6" s="675"/>
      <c r="CO6" s="675"/>
      <c r="CP6" s="675"/>
      <c r="CQ6" s="675"/>
      <c r="CR6" s="675"/>
      <c r="CS6" s="675"/>
      <c r="CT6" s="675"/>
      <c r="CU6" s="675"/>
      <c r="CV6" s="675"/>
      <c r="CW6" s="677"/>
      <c r="CX6" s="676">
        <v>2014</v>
      </c>
      <c r="CY6" s="675"/>
      <c r="CZ6" s="675"/>
      <c r="DA6" s="675"/>
      <c r="DB6" s="675"/>
      <c r="DC6" s="675"/>
      <c r="DD6" s="675"/>
      <c r="DE6" s="675"/>
      <c r="DF6" s="675"/>
      <c r="DG6" s="675"/>
      <c r="DH6" s="675"/>
      <c r="DI6" s="677"/>
      <c r="DJ6" s="676">
        <v>2015</v>
      </c>
      <c r="DK6" s="675"/>
      <c r="DL6" s="675"/>
      <c r="DM6" s="675"/>
      <c r="DN6" s="675"/>
      <c r="DO6" s="675"/>
      <c r="DP6" s="675"/>
      <c r="DQ6" s="675"/>
      <c r="DR6" s="675"/>
      <c r="DS6" s="675"/>
      <c r="DT6" s="675"/>
      <c r="DU6" s="677"/>
    </row>
    <row r="7" spans="1:321">
      <c r="E7" s="678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8" t="s">
        <v>675</v>
      </c>
      <c r="F214" s="676">
        <v>2006</v>
      </c>
      <c r="G214" s="675"/>
      <c r="H214" s="675"/>
      <c r="I214" s="675"/>
      <c r="J214" s="675"/>
      <c r="K214" s="675"/>
      <c r="L214" s="675"/>
      <c r="M214" s="675"/>
      <c r="N214" s="675"/>
      <c r="O214" s="675"/>
      <c r="P214" s="675"/>
      <c r="Q214" s="677"/>
      <c r="R214" s="676">
        <v>2007</v>
      </c>
      <c r="S214" s="675"/>
      <c r="T214" s="675"/>
      <c r="U214" s="675"/>
      <c r="V214" s="675"/>
      <c r="W214" s="675"/>
      <c r="X214" s="675"/>
      <c r="Y214" s="675"/>
      <c r="Z214" s="675"/>
      <c r="AA214" s="675"/>
      <c r="AB214" s="675"/>
      <c r="AC214" s="677"/>
      <c r="AD214" s="676">
        <v>2008</v>
      </c>
      <c r="AE214" s="675"/>
      <c r="AF214" s="675"/>
      <c r="AG214" s="675"/>
      <c r="AH214" s="675"/>
      <c r="AI214" s="675"/>
      <c r="AJ214" s="675"/>
      <c r="AK214" s="675"/>
      <c r="AL214" s="675"/>
      <c r="AM214" s="675"/>
      <c r="AN214" s="675"/>
      <c r="AO214" s="677"/>
      <c r="AP214" s="676">
        <v>2009</v>
      </c>
      <c r="AQ214" s="675"/>
      <c r="AR214" s="675"/>
      <c r="AS214" s="675"/>
      <c r="AT214" s="675"/>
      <c r="AU214" s="675"/>
      <c r="AV214" s="675"/>
      <c r="AW214" s="675"/>
      <c r="AX214" s="675"/>
      <c r="AY214" s="675"/>
      <c r="AZ214" s="675"/>
      <c r="BA214" s="677"/>
      <c r="BB214" s="676">
        <v>2010</v>
      </c>
      <c r="BC214" s="675"/>
      <c r="BD214" s="675"/>
      <c r="BE214" s="675"/>
      <c r="BF214" s="675"/>
      <c r="BG214" s="675"/>
      <c r="BH214" s="675"/>
      <c r="BI214" s="675"/>
      <c r="BJ214" s="675"/>
      <c r="BK214" s="675"/>
      <c r="BL214" s="675"/>
      <c r="BM214" s="677"/>
      <c r="BN214" s="676">
        <v>2011</v>
      </c>
      <c r="BO214" s="675"/>
      <c r="BP214" s="675"/>
      <c r="BQ214" s="675"/>
      <c r="BR214" s="675"/>
      <c r="BS214" s="675"/>
      <c r="BT214" s="675"/>
      <c r="BU214" s="675"/>
      <c r="BV214" s="675"/>
      <c r="BW214" s="675"/>
      <c r="BX214" s="675"/>
      <c r="BY214" s="677"/>
      <c r="BZ214" s="675">
        <v>2012</v>
      </c>
      <c r="CA214" s="675"/>
      <c r="CB214" s="675"/>
      <c r="CC214" s="675"/>
      <c r="CD214" s="675"/>
      <c r="CE214" s="675"/>
      <c r="CF214" s="675"/>
      <c r="CG214" s="675"/>
      <c r="CH214" s="675"/>
      <c r="CI214" s="675"/>
      <c r="CJ214" s="675"/>
      <c r="CK214" s="675"/>
      <c r="CL214" s="676">
        <v>2013</v>
      </c>
      <c r="CM214" s="675"/>
      <c r="CN214" s="675"/>
      <c r="CO214" s="675"/>
      <c r="CP214" s="675"/>
      <c r="CQ214" s="675"/>
      <c r="CR214" s="675"/>
      <c r="CS214" s="675"/>
      <c r="CT214" s="675"/>
      <c r="CU214" s="675"/>
      <c r="CV214" s="675"/>
      <c r="CW214" s="677"/>
      <c r="CX214" s="676">
        <v>2014</v>
      </c>
      <c r="CY214" s="675"/>
      <c r="CZ214" s="675"/>
      <c r="DA214" s="675"/>
      <c r="DB214" s="675"/>
      <c r="DC214" s="675"/>
      <c r="DD214" s="675"/>
      <c r="DE214" s="675"/>
      <c r="DF214" s="675"/>
      <c r="DG214" s="675"/>
      <c r="DH214" s="675"/>
      <c r="DI214" s="677"/>
      <c r="DJ214" s="676">
        <v>2015</v>
      </c>
      <c r="DK214" s="675"/>
      <c r="DL214" s="675"/>
      <c r="DM214" s="675"/>
      <c r="DN214" s="675"/>
      <c r="DO214" s="675"/>
      <c r="DP214" s="675"/>
      <c r="DQ214" s="675"/>
      <c r="DR214" s="675"/>
      <c r="DS214" s="675"/>
      <c r="DT214" s="675"/>
      <c r="DU214" s="677"/>
    </row>
    <row r="215" spans="1:187">
      <c r="E215" s="678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Januar</v>
      </c>
    </row>
    <row r="246" spans="4:7">
      <c r="D246" s="41"/>
      <c r="G246" s="44" t="str">
        <f>+CONCATENATE("Jan - ",LEFT(G245,3))</f>
        <v>Jan - Jan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Jan</v>
      </c>
      <c r="F254" s="6" t="str">
        <f>+CONCATENATE("Analytics for period ",G246)</f>
        <v>Analytics for period Jan - Jan</v>
      </c>
      <c r="G254" s="44" t="str">
        <f>+IF(ISBLANK(IF($B$2=1,E254,F254)),"",IF($B$2=1,E254,F254))</f>
        <v>Analitika za period Jan - Jan</v>
      </c>
    </row>
    <row r="255" spans="4:7">
      <c r="E255" s="5" t="str">
        <f>+CONCATENATE("Analitika za period ",G245)</f>
        <v>Analitika za period Januar</v>
      </c>
      <c r="F255" s="6" t="str">
        <f>+CONCATENATE("Analytics for period ",G245)</f>
        <v>Analytics for period Januar</v>
      </c>
      <c r="G255" s="44" t="str">
        <f>+IF(ISBLANK(IF($B$2=1,E255,F255)),"",IF($B$2=1,E255,F255))</f>
        <v>Analitika za period Januar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Januar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Januar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Januar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Januar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Januar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Januar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zoomScale="90" zoomScaleNormal="90" workbookViewId="0">
      <pane ySplit="5" topLeftCell="A6" activePane="bottomLeft" state="frozen"/>
      <selection activeCell="DK219" sqref="DK219"/>
      <selection pane="bottomLeft" activeCell="B6" sqref="B6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0" style="116" hidden="1" customWidth="1"/>
    <col min="8" max="8" width="11" style="116" hidden="1" customWidth="1"/>
    <col min="9" max="9" width="0" style="116" hidden="1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Januar</v>
      </c>
      <c r="G11" s="122" t="str">
        <f>+Master!G274</f>
        <v>Prihodi za period Januar - Januar</v>
      </c>
      <c r="J11" s="121"/>
    </row>
    <row r="12" spans="3:10">
      <c r="C12" s="120"/>
      <c r="D12" s="123">
        <f>+'Analitika 2025'!G10</f>
        <v>156168211.19999996</v>
      </c>
      <c r="E12" s="427">
        <f>+D12/'2025'!T7</f>
        <v>1.9605821578326257E-2</v>
      </c>
      <c r="G12" s="123">
        <f>+'Analitika 2025'!G10</f>
        <v>156168211.19999996</v>
      </c>
      <c r="H12" s="427">
        <f>+G12/'2024'!T7</f>
        <v>2.1452561396760848E-2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Januar</v>
      </c>
      <c r="G15" s="122" t="str">
        <f>+Master!G275</f>
        <v>Rashodi za period Januar - Januar</v>
      </c>
      <c r="J15" s="121"/>
    </row>
    <row r="16" spans="3:10">
      <c r="C16" s="120"/>
      <c r="D16" s="123">
        <f>+'Analitika 2025'!G29</f>
        <v>154176756.43999997</v>
      </c>
      <c r="E16" s="427">
        <f>+D16/'2025'!T7</f>
        <v>1.9355808426444368E-2</v>
      </c>
      <c r="G16" s="123">
        <f>+'Analitika 2025'!G29</f>
        <v>154176756.43999997</v>
      </c>
      <c r="H16" s="427">
        <f>+G16/'2024'!T7</f>
        <v>2.1178998645548577E-2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Januar</v>
      </c>
      <c r="G19" s="122" t="str">
        <f>+Master!G276</f>
        <v>Suficit/Deficit za period Januar - Januar</v>
      </c>
      <c r="J19" s="121"/>
    </row>
    <row r="20" spans="3:11">
      <c r="C20" s="120"/>
      <c r="D20" s="123">
        <f>+'Analitika 2025'!G53</f>
        <v>1991454.7599999905</v>
      </c>
      <c r="E20" s="427">
        <f>+D20/'2025'!T7</f>
        <v>2.5001315188188797E-4</v>
      </c>
      <c r="G20" s="123">
        <f>+'Analitika 2025'!G53</f>
        <v>1991454.7599999905</v>
      </c>
      <c r="H20" s="427">
        <f>+G20/'2024'!T7</f>
        <v>2.735627512122739E-4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O0q0WTN3svxpC4d2rVkwsYALkfVJqu8pV9Q0lxTqLgS1SlcF9lqtB7QgsEIxr/ZvBFdvNLIovwnUwI7hAdS19w==" saltValue="eQu5tDtP/MiASknGrfZ1i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N5" sqref="N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hidden="1" customWidth="1"/>
    <col min="8" max="8" width="12.42578125" style="4" hidden="1" customWidth="1"/>
    <col min="9" max="9" width="12.5703125" style="4" hidden="1" customWidth="1"/>
    <col min="10" max="10" width="12.7109375" style="4" hidden="1" customWidth="1"/>
    <col min="11" max="13" width="12.42578125" style="4" hidden="1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2025-01</v>
      </c>
      <c r="O6" s="128" t="str">
        <f>+CONCATENATE(N6,"p")</f>
        <v>2025-01p</v>
      </c>
      <c r="P6" s="116"/>
      <c r="Q6" s="116"/>
      <c r="R6" s="128" t="str">
        <f>+IF(Master!B3-10&gt;=0,CONCATENATE(Master!B4-1,"-",Master!B3),CONCATENATE(Master!B4-1,"-0",Master!B3))</f>
        <v>2024-01</v>
      </c>
      <c r="S6" s="116"/>
      <c r="T6" s="116"/>
    </row>
    <row r="7" spans="1:25" ht="14.25" customHeight="1">
      <c r="A7" s="129"/>
      <c r="B7" s="592" t="str">
        <f>+Master!G254</f>
        <v>Analitika za period Jan - Jan</v>
      </c>
      <c r="C7" s="593"/>
      <c r="D7" s="593"/>
      <c r="E7" s="593"/>
      <c r="F7" s="593"/>
      <c r="G7" s="601" t="str">
        <f>+Master!G246</f>
        <v>Jan - Jan</v>
      </c>
      <c r="H7" s="602"/>
      <c r="I7" s="602"/>
      <c r="J7" s="602"/>
      <c r="K7" s="602"/>
      <c r="L7" s="602"/>
      <c r="M7" s="605"/>
      <c r="N7" s="602" t="str">
        <f>+Master!G245</f>
        <v>Januar</v>
      </c>
      <c r="O7" s="602"/>
      <c r="P7" s="602"/>
      <c r="Q7" s="602"/>
      <c r="R7" s="602"/>
      <c r="S7" s="602"/>
      <c r="T7" s="605"/>
    </row>
    <row r="8" spans="1:25" ht="29.25" customHeight="1">
      <c r="A8" s="129"/>
      <c r="B8" s="594"/>
      <c r="C8" s="595"/>
      <c r="D8" s="595"/>
      <c r="E8" s="595"/>
      <c r="F8" s="596"/>
      <c r="G8" s="487" t="str">
        <f>+Master!G26</f>
        <v>Ostvarenje</v>
      </c>
      <c r="H8" s="330" t="str">
        <f>+Master!G25</f>
        <v>Plan</v>
      </c>
      <c r="I8" s="590" t="str">
        <f>+Master!G261</f>
        <v>Odstupanje</v>
      </c>
      <c r="J8" s="590"/>
      <c r="K8" s="130" t="str">
        <f>+CONCATENATE(Master!G246," ",Master!B4-1)</f>
        <v>Jan - Jan 2024</v>
      </c>
      <c r="L8" s="590" t="str">
        <f>+I8</f>
        <v>Odstupanje</v>
      </c>
      <c r="M8" s="591"/>
      <c r="N8" s="487" t="str">
        <f>+G8</f>
        <v>Ostvarenje</v>
      </c>
      <c r="O8" s="130" t="str">
        <f>+H8</f>
        <v>Plan</v>
      </c>
      <c r="P8" s="590" t="str">
        <f>+I8</f>
        <v>Odstupanje</v>
      </c>
      <c r="Q8" s="590"/>
      <c r="R8" s="130" t="str">
        <f>+CONCATENATE(Master!G245," ",Master!B4-1)</f>
        <v>Januar 2024</v>
      </c>
      <c r="S8" s="590" t="str">
        <f>+P8</f>
        <v>Odstupanje</v>
      </c>
      <c r="T8" s="591"/>
    </row>
    <row r="9" spans="1:25" ht="15.75" thickBot="1">
      <c r="A9" s="129"/>
      <c r="B9" s="597"/>
      <c r="C9" s="598"/>
      <c r="D9" s="598"/>
      <c r="E9" s="598"/>
      <c r="F9" s="599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136">
        <f>'2025'!S10</f>
        <v>156168211.19999996</v>
      </c>
      <c r="H10" s="136">
        <f>'2025'!G86</f>
        <v>156165361.56999999</v>
      </c>
      <c r="I10" s="137">
        <f>+G10-H10</f>
        <v>2849.6299999654293</v>
      </c>
      <c r="J10" s="139">
        <f>IF(+IF(ISERROR(G10/H10),"…",G10/H10-1)&gt;200%,"...",IF(ISERROR(G10/H10),"…",G10/H10-1))</f>
        <v>1.824751642298672E-5</v>
      </c>
      <c r="K10" s="136">
        <f>'2024'!G10</f>
        <v>150930823.46000001</v>
      </c>
      <c r="L10" s="137">
        <f>+G10-K10</f>
        <v>5237387.7399999499</v>
      </c>
      <c r="M10" s="141">
        <f>IF(+IF(ISERROR(G10/K10),"…",G10/K10-1)&gt;200%,"...",IF(ISERROR(G10/K10),"…",G10/K10-1))</f>
        <v>3.4700584147995261E-2</v>
      </c>
      <c r="N10" s="136">
        <f>'2025'!S10</f>
        <v>156168211.19999996</v>
      </c>
      <c r="O10" s="136">
        <f>'2025'!G86</f>
        <v>156165361.56999999</v>
      </c>
      <c r="P10" s="137">
        <f>+N10-O10</f>
        <v>2849.6299999654293</v>
      </c>
      <c r="Q10" s="139">
        <f>IF(+IF(ISERROR(N10/O10),"…",N10/O10-1)&gt;200%,"...",IF(ISERROR(N10/O10),"…",N10/O10-1))</f>
        <v>1.824751642298672E-5</v>
      </c>
      <c r="R10" s="136">
        <f>'2024'!G10</f>
        <v>150930823.46000001</v>
      </c>
      <c r="S10" s="137">
        <f>+N10-R10</f>
        <v>5237387.7399999499</v>
      </c>
      <c r="T10" s="141">
        <f>IF(+IF(ISERROR(N10/R10),"…",N10/R10-1)&gt;200%,"...",IF(ISERROR(N10/R10),"…",N10/R10-1))</f>
        <v>3.4700584147995261E-2</v>
      </c>
      <c r="W10" s="470"/>
      <c r="Y10" s="470"/>
    </row>
    <row r="11" spans="1:25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262">
        <f>'2025'!S11</f>
        <v>132702629.50999998</v>
      </c>
      <c r="H11" s="262">
        <f>'2025'!G87</f>
        <v>132702629.50999999</v>
      </c>
      <c r="I11" s="143">
        <f t="shared" ref="I11:I57" si="0">+G11-H11</f>
        <v>0</v>
      </c>
      <c r="J11" s="145">
        <f t="shared" ref="J11:J66" si="1">IF(+IF(ISERROR(G11/H11-1),"…",G11/H11-1)&gt;200%,"...",IF(ISERROR(G11/H11-1),"…",G11/H11-1))</f>
        <v>-1.1102230246251565E-16</v>
      </c>
      <c r="K11" s="262">
        <f>'2024'!G11</f>
        <v>122011952.05999999</v>
      </c>
      <c r="L11" s="143">
        <f>+G11-K11</f>
        <v>10690677.449999988</v>
      </c>
      <c r="M11" s="147">
        <f t="shared" ref="M11:M66" si="2">IF(+IF(ISERROR(G11/K11),"…",G11/K11-1)&gt;200%,"...",IF(ISERROR(G11/K11),"…",G11/K11-1))</f>
        <v>8.7619919766079857E-2</v>
      </c>
      <c r="N11" s="262">
        <f>'2025'!S11</f>
        <v>132702629.50999998</v>
      </c>
      <c r="O11" s="262">
        <f>'2025'!G87</f>
        <v>132702629.50999999</v>
      </c>
      <c r="P11" s="143">
        <f>+N11-O11</f>
        <v>0</v>
      </c>
      <c r="Q11" s="145">
        <f t="shared" ref="Q11:Q66" si="3">IF(+IF(ISERROR(N11/O11),"…",N11/O11-1)&gt;200%,"...",IF(ISERROR(N11/O11),"…",N11/O11-1))</f>
        <v>-1.1102230246251565E-16</v>
      </c>
      <c r="R11" s="262">
        <f>'2024'!G11</f>
        <v>122011952.05999999</v>
      </c>
      <c r="S11" s="143">
        <f t="shared" ref="S11:S57" si="4">+N11-R11</f>
        <v>10690677.449999988</v>
      </c>
      <c r="T11" s="147">
        <f t="shared" ref="T11:T66" si="5">IF(+IF(ISERROR(N11/R11),"…",N11/R11-1)&gt;200%,"...",IF(ISERROR(N11/R11),"…",N11/R11-1))</f>
        <v>8.7619919766079857E-2</v>
      </c>
      <c r="W11" s="470"/>
      <c r="Y11" s="470"/>
    </row>
    <row r="12" spans="1:25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f>'2025'!S12</f>
        <v>3030555.430000002</v>
      </c>
      <c r="H12" s="148">
        <f>'2025'!G88</f>
        <v>3030555.43</v>
      </c>
      <c r="I12" s="149">
        <f t="shared" si="0"/>
        <v>0</v>
      </c>
      <c r="J12" s="151">
        <f t="shared" si="1"/>
        <v>6.6613381477509392E-16</v>
      </c>
      <c r="K12" s="148">
        <f>'2024'!G12</f>
        <v>1998079.15</v>
      </c>
      <c r="L12" s="149">
        <f>+G12-K12</f>
        <v>1032476.2800000021</v>
      </c>
      <c r="M12" s="153">
        <f t="shared" si="2"/>
        <v>0.5167344246598049</v>
      </c>
      <c r="N12" s="148">
        <f>'2025'!S12</f>
        <v>3030555.430000002</v>
      </c>
      <c r="O12" s="148">
        <f>'2025'!G88</f>
        <v>3030555.43</v>
      </c>
      <c r="P12" s="149">
        <f t="shared" ref="P12:P57" si="6">+N12-O12</f>
        <v>0</v>
      </c>
      <c r="Q12" s="151">
        <f t="shared" si="3"/>
        <v>6.6613381477509392E-16</v>
      </c>
      <c r="R12" s="148">
        <f>'2024'!G12</f>
        <v>1998079.15</v>
      </c>
      <c r="S12" s="149">
        <f t="shared" si="4"/>
        <v>1032476.2800000021</v>
      </c>
      <c r="T12" s="153">
        <f t="shared" si="5"/>
        <v>0.5167344246598049</v>
      </c>
      <c r="W12" s="470"/>
      <c r="Y12" s="470"/>
    </row>
    <row r="13" spans="1:25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f>'2025'!S13</f>
        <v>4758743.2199999988</v>
      </c>
      <c r="H13" s="148">
        <f>'2025'!G89</f>
        <v>4758743.22</v>
      </c>
      <c r="I13" s="149">
        <f t="shared" si="0"/>
        <v>0</v>
      </c>
      <c r="J13" s="151">
        <f t="shared" si="1"/>
        <v>-2.2204460492503131E-16</v>
      </c>
      <c r="K13" s="148">
        <f>'2024'!G13</f>
        <v>1951464.9</v>
      </c>
      <c r="L13" s="149">
        <f t="shared" ref="L13:L57" si="7">+G13-K13</f>
        <v>2807278.3199999989</v>
      </c>
      <c r="M13" s="153">
        <f t="shared" si="2"/>
        <v>1.4385492252512453</v>
      </c>
      <c r="N13" s="148">
        <f>'2025'!S13</f>
        <v>4758743.2199999988</v>
      </c>
      <c r="O13" s="148">
        <f>'2025'!G89</f>
        <v>4758743.22</v>
      </c>
      <c r="P13" s="149">
        <f t="shared" si="6"/>
        <v>0</v>
      </c>
      <c r="Q13" s="151">
        <f t="shared" si="3"/>
        <v>-2.2204460492503131E-16</v>
      </c>
      <c r="R13" s="148">
        <f>'2024'!G13</f>
        <v>1951464.9</v>
      </c>
      <c r="S13" s="149">
        <f t="shared" si="4"/>
        <v>2807278.3199999989</v>
      </c>
      <c r="T13" s="153">
        <f t="shared" si="5"/>
        <v>1.4385492252512453</v>
      </c>
      <c r="W13" s="470"/>
      <c r="Y13" s="470"/>
    </row>
    <row r="14" spans="1:25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f>'2025'!S14</f>
        <v>0</v>
      </c>
      <c r="H14" s="148">
        <f>'2025'!G90</f>
        <v>0</v>
      </c>
      <c r="I14" s="149">
        <f t="shared" si="0"/>
        <v>0</v>
      </c>
      <c r="J14" s="151" t="str">
        <f t="shared" si="1"/>
        <v>...</v>
      </c>
      <c r="K14" s="148">
        <f>'2024'!G14</f>
        <v>0</v>
      </c>
      <c r="L14" s="149">
        <f t="shared" si="7"/>
        <v>0</v>
      </c>
      <c r="M14" s="153" t="str">
        <f t="shared" si="2"/>
        <v>...</v>
      </c>
      <c r="N14" s="148">
        <f>'2025'!S14</f>
        <v>0</v>
      </c>
      <c r="O14" s="148">
        <f>'2025'!G90</f>
        <v>0</v>
      </c>
      <c r="P14" s="149">
        <f t="shared" si="6"/>
        <v>0</v>
      </c>
      <c r="Q14" s="151" t="str">
        <f t="shared" si="3"/>
        <v>...</v>
      </c>
      <c r="R14" s="148">
        <f>'2024'!G14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f>'2025'!S15</f>
        <v>96606704.819999978</v>
      </c>
      <c r="H15" s="148">
        <f>'2025'!G91</f>
        <v>96606704.819999993</v>
      </c>
      <c r="I15" s="149">
        <f t="shared" si="0"/>
        <v>0</v>
      </c>
      <c r="J15" s="151">
        <f t="shared" si="1"/>
        <v>-1.1102230246251565E-16</v>
      </c>
      <c r="K15" s="148">
        <f>'2024'!G15</f>
        <v>91572726.909999996</v>
      </c>
      <c r="L15" s="149">
        <f t="shared" si="7"/>
        <v>5033977.9099999815</v>
      </c>
      <c r="M15" s="153">
        <f t="shared" si="2"/>
        <v>5.4972458283867764E-2</v>
      </c>
      <c r="N15" s="148">
        <f>'2025'!S15</f>
        <v>96606704.819999978</v>
      </c>
      <c r="O15" s="148">
        <f>'2025'!G91</f>
        <v>96606704.819999993</v>
      </c>
      <c r="P15" s="149">
        <f t="shared" si="6"/>
        <v>0</v>
      </c>
      <c r="Q15" s="151">
        <f t="shared" si="3"/>
        <v>-1.1102230246251565E-16</v>
      </c>
      <c r="R15" s="148">
        <f>'2024'!G15</f>
        <v>91572726.909999996</v>
      </c>
      <c r="S15" s="149">
        <f t="shared" si="4"/>
        <v>5033977.9099999815</v>
      </c>
      <c r="T15" s="153">
        <f t="shared" si="5"/>
        <v>5.4972458283867764E-2</v>
      </c>
      <c r="W15" s="470"/>
      <c r="Y15" s="470"/>
    </row>
    <row r="16" spans="1:25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f>'2025'!S16</f>
        <v>23651764.849999998</v>
      </c>
      <c r="H16" s="148">
        <f>'2025'!G92</f>
        <v>23651764.850000001</v>
      </c>
      <c r="I16" s="149">
        <f t="shared" si="0"/>
        <v>0</v>
      </c>
      <c r="J16" s="151">
        <f t="shared" si="1"/>
        <v>-1.1102230246251565E-16</v>
      </c>
      <c r="K16" s="148">
        <f>'2024'!G16</f>
        <v>22556344.960000001</v>
      </c>
      <c r="L16" s="149">
        <f t="shared" si="7"/>
        <v>1095419.8899999969</v>
      </c>
      <c r="M16" s="153">
        <f t="shared" si="2"/>
        <v>4.856371419849026E-2</v>
      </c>
      <c r="N16" s="148">
        <f>'2025'!S16</f>
        <v>23651764.849999998</v>
      </c>
      <c r="O16" s="148">
        <f>'2025'!G92</f>
        <v>23651764.850000001</v>
      </c>
      <c r="P16" s="149">
        <f t="shared" si="6"/>
        <v>0</v>
      </c>
      <c r="Q16" s="151">
        <f t="shared" si="3"/>
        <v>-1.1102230246251565E-16</v>
      </c>
      <c r="R16" s="148">
        <f>'2024'!G16</f>
        <v>22556344.960000001</v>
      </c>
      <c r="S16" s="149">
        <f t="shared" si="4"/>
        <v>1095419.8899999969</v>
      </c>
      <c r="T16" s="153">
        <f t="shared" si="5"/>
        <v>4.856371419849026E-2</v>
      </c>
      <c r="W16" s="470"/>
      <c r="Y16" s="470"/>
    </row>
    <row r="17" spans="1:25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f>'2025'!S17</f>
        <v>3527264.1999999993</v>
      </c>
      <c r="H17" s="148">
        <f>'2025'!G93</f>
        <v>3527264.2</v>
      </c>
      <c r="I17" s="149">
        <f t="shared" si="0"/>
        <v>0</v>
      </c>
      <c r="J17" s="151">
        <f t="shared" si="1"/>
        <v>-2.2204460492503131E-16</v>
      </c>
      <c r="K17" s="148">
        <f>'2024'!G17</f>
        <v>2997811.11</v>
      </c>
      <c r="L17" s="149">
        <f t="shared" si="7"/>
        <v>529453.08999999939</v>
      </c>
      <c r="M17" s="153">
        <f t="shared" si="2"/>
        <v>0.17661322564115767</v>
      </c>
      <c r="N17" s="148">
        <f>'2025'!S17</f>
        <v>3527264.1999999993</v>
      </c>
      <c r="O17" s="148">
        <f>'2025'!G93</f>
        <v>3527264.2</v>
      </c>
      <c r="P17" s="149" t="s">
        <v>92</v>
      </c>
      <c r="Q17" s="151">
        <f>IF(+IF(ISERROR(N17/O17),"…",N17/O17-1)&gt;200%,"...",IF(ISERROR(N17/O17),"…",N17/O17-1))</f>
        <v>-2.2204460492503131E-16</v>
      </c>
      <c r="R17" s="148">
        <f>'2024'!G17</f>
        <v>2997811.11</v>
      </c>
      <c r="S17" s="149">
        <f t="shared" si="4"/>
        <v>529453.08999999939</v>
      </c>
      <c r="T17" s="153">
        <f t="shared" si="5"/>
        <v>0.17661322564115767</v>
      </c>
      <c r="W17" s="470"/>
      <c r="Y17" s="470"/>
    </row>
    <row r="18" spans="1:25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f>'2025'!S18</f>
        <v>1127596.9900000002</v>
      </c>
      <c r="H18" s="148">
        <f>'2025'!G94</f>
        <v>1127596.99</v>
      </c>
      <c r="I18" s="149">
        <f t="shared" si="0"/>
        <v>0</v>
      </c>
      <c r="J18" s="151">
        <f t="shared" si="1"/>
        <v>2.2204460492503131E-16</v>
      </c>
      <c r="K18" s="148">
        <f>'2024'!G18</f>
        <v>935525.03</v>
      </c>
      <c r="L18" s="149">
        <f t="shared" si="7"/>
        <v>192071.9600000002</v>
      </c>
      <c r="M18" s="153">
        <f t="shared" si="2"/>
        <v>0.20530926895670576</v>
      </c>
      <c r="N18" s="148">
        <f>'2025'!S18</f>
        <v>1127596.9900000002</v>
      </c>
      <c r="O18" s="148">
        <f>'2025'!G94</f>
        <v>1127596.99</v>
      </c>
      <c r="P18" s="149">
        <f t="shared" si="6"/>
        <v>0</v>
      </c>
      <c r="Q18" s="151">
        <f t="shared" si="3"/>
        <v>2.2204460492503131E-16</v>
      </c>
      <c r="R18" s="148">
        <f>'2024'!G18</f>
        <v>935525.03</v>
      </c>
      <c r="S18" s="149">
        <f t="shared" si="4"/>
        <v>192071.9600000002</v>
      </c>
      <c r="T18" s="153">
        <f t="shared" si="5"/>
        <v>0.20530926895670576</v>
      </c>
      <c r="W18" s="470"/>
      <c r="Y18" s="470"/>
    </row>
    <row r="19" spans="1:25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154">
        <f>'2025'!S19</f>
        <v>16612975.690000001</v>
      </c>
      <c r="H19" s="154">
        <f>'2025'!G95</f>
        <v>16612975.690000001</v>
      </c>
      <c r="I19" s="155">
        <f t="shared" si="0"/>
        <v>0</v>
      </c>
      <c r="J19" s="157">
        <f t="shared" si="1"/>
        <v>0</v>
      </c>
      <c r="K19" s="154">
        <f>'2024'!G19</f>
        <v>13548213.42</v>
      </c>
      <c r="L19" s="155">
        <f t="shared" si="7"/>
        <v>3064762.2700000014</v>
      </c>
      <c r="M19" s="159">
        <f t="shared" si="2"/>
        <v>0.22621154354387207</v>
      </c>
      <c r="N19" s="154">
        <f>'2025'!S19</f>
        <v>16612975.690000001</v>
      </c>
      <c r="O19" s="154">
        <f>'2025'!G95</f>
        <v>16612975.690000001</v>
      </c>
      <c r="P19" s="155">
        <f t="shared" si="6"/>
        <v>0</v>
      </c>
      <c r="Q19" s="157">
        <f t="shared" si="3"/>
        <v>0</v>
      </c>
      <c r="R19" s="154">
        <f>'2024'!G19</f>
        <v>13548213.42</v>
      </c>
      <c r="S19" s="155">
        <f t="shared" si="4"/>
        <v>3064762.2700000014</v>
      </c>
      <c r="T19" s="159">
        <f t="shared" si="5"/>
        <v>0.22621154354387207</v>
      </c>
      <c r="W19" s="470"/>
      <c r="Y19" s="470"/>
    </row>
    <row r="20" spans="1:25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f>'2025'!S20</f>
        <v>14262452.49</v>
      </c>
      <c r="H20" s="148">
        <f>'2025'!G96</f>
        <v>14262452.49</v>
      </c>
      <c r="I20" s="149">
        <f t="shared" si="0"/>
        <v>0</v>
      </c>
      <c r="J20" s="151">
        <f t="shared" si="1"/>
        <v>0</v>
      </c>
      <c r="K20" s="148">
        <f>'2024'!G20</f>
        <v>12277377.310000001</v>
      </c>
      <c r="L20" s="149">
        <f t="shared" si="7"/>
        <v>1985075.1799999997</v>
      </c>
      <c r="M20" s="153">
        <f t="shared" si="2"/>
        <v>0.16168560514818942</v>
      </c>
      <c r="N20" s="148">
        <f>'2025'!S20</f>
        <v>14262452.49</v>
      </c>
      <c r="O20" s="148">
        <f>'2025'!G96</f>
        <v>14262452.49</v>
      </c>
      <c r="P20" s="149">
        <f t="shared" si="6"/>
        <v>0</v>
      </c>
      <c r="Q20" s="151">
        <f t="shared" si="3"/>
        <v>0</v>
      </c>
      <c r="R20" s="148">
        <f>'2024'!G20</f>
        <v>12277377.310000001</v>
      </c>
      <c r="S20" s="149">
        <f t="shared" si="4"/>
        <v>1985075.1799999997</v>
      </c>
      <c r="T20" s="153">
        <f t="shared" si="5"/>
        <v>0.16168560514818942</v>
      </c>
      <c r="W20" s="470"/>
      <c r="Y20" s="470"/>
    </row>
    <row r="21" spans="1:25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f>'2025'!S21</f>
        <v>314658.87999999989</v>
      </c>
      <c r="H21" s="148">
        <f>'2025'!G97</f>
        <v>314658.88</v>
      </c>
      <c r="I21" s="149">
        <f t="shared" si="0"/>
        <v>0</v>
      </c>
      <c r="J21" s="151">
        <f t="shared" si="1"/>
        <v>-3.3306690738754696E-16</v>
      </c>
      <c r="K21" s="148">
        <f>'2024'!G21</f>
        <v>307850.36</v>
      </c>
      <c r="L21" s="149">
        <f t="shared" si="7"/>
        <v>6808.5199999999022</v>
      </c>
      <c r="M21" s="153">
        <f t="shared" si="2"/>
        <v>2.2116329505022847E-2</v>
      </c>
      <c r="N21" s="148">
        <f>'2025'!S21</f>
        <v>314658.87999999989</v>
      </c>
      <c r="O21" s="148">
        <f>'2025'!G97</f>
        <v>314658.88</v>
      </c>
      <c r="P21" s="149">
        <f t="shared" si="6"/>
        <v>0</v>
      </c>
      <c r="Q21" s="151">
        <f t="shared" si="3"/>
        <v>-3.3306690738754696E-16</v>
      </c>
      <c r="R21" s="148">
        <f>'2024'!G21</f>
        <v>307850.36</v>
      </c>
      <c r="S21" s="149">
        <f t="shared" si="4"/>
        <v>6808.5199999999022</v>
      </c>
      <c r="T21" s="153">
        <f t="shared" si="5"/>
        <v>2.2116329505022847E-2</v>
      </c>
      <c r="W21" s="470"/>
      <c r="Y21" s="470"/>
    </row>
    <row r="22" spans="1:25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f>'2025'!S22</f>
        <v>1216722.5599999998</v>
      </c>
      <c r="H22" s="148">
        <f>'2025'!G98</f>
        <v>1216722.56</v>
      </c>
      <c r="I22" s="149">
        <f t="shared" si="0"/>
        <v>0</v>
      </c>
      <c r="J22" s="151">
        <f t="shared" si="1"/>
        <v>-2.2204460492503131E-16</v>
      </c>
      <c r="K22" s="148">
        <f>'2024'!G22</f>
        <v>569229.31000000006</v>
      </c>
      <c r="L22" s="149">
        <f t="shared" si="7"/>
        <v>647493.24999999977</v>
      </c>
      <c r="M22" s="153">
        <f t="shared" si="2"/>
        <v>1.1374910578655899</v>
      </c>
      <c r="N22" s="148">
        <f>'2025'!S22</f>
        <v>1216722.5599999998</v>
      </c>
      <c r="O22" s="148">
        <f>'2025'!G98</f>
        <v>1216722.56</v>
      </c>
      <c r="P22" s="149">
        <f t="shared" si="6"/>
        <v>0</v>
      </c>
      <c r="Q22" s="151">
        <f t="shared" si="3"/>
        <v>-2.2204460492503131E-16</v>
      </c>
      <c r="R22" s="148">
        <f>'2024'!G22</f>
        <v>569229.31000000006</v>
      </c>
      <c r="S22" s="149">
        <f t="shared" si="4"/>
        <v>647493.24999999977</v>
      </c>
      <c r="T22" s="153">
        <f t="shared" si="5"/>
        <v>1.1374910578655899</v>
      </c>
      <c r="W22" s="470"/>
      <c r="Y22" s="470"/>
    </row>
    <row r="23" spans="1:25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f>'2025'!S23</f>
        <v>819141.76</v>
      </c>
      <c r="H23" s="148">
        <f>'2025'!G99</f>
        <v>819141.76</v>
      </c>
      <c r="I23" s="149">
        <f t="shared" si="0"/>
        <v>0</v>
      </c>
      <c r="J23" s="151">
        <f t="shared" si="1"/>
        <v>0</v>
      </c>
      <c r="K23" s="148">
        <f>'2024'!G23</f>
        <v>393756.44</v>
      </c>
      <c r="L23" s="149">
        <f t="shared" si="7"/>
        <v>425385.32</v>
      </c>
      <c r="M23" s="153">
        <f t="shared" si="2"/>
        <v>1.0803260005093502</v>
      </c>
      <c r="N23" s="148">
        <f>'2025'!S23</f>
        <v>819141.76</v>
      </c>
      <c r="O23" s="148">
        <f>'2025'!G99</f>
        <v>819141.76</v>
      </c>
      <c r="P23" s="149">
        <f t="shared" si="6"/>
        <v>0</v>
      </c>
      <c r="Q23" s="151">
        <f t="shared" si="3"/>
        <v>0</v>
      </c>
      <c r="R23" s="148">
        <f>'2024'!G23</f>
        <v>393756.44</v>
      </c>
      <c r="S23" s="149">
        <f t="shared" si="4"/>
        <v>425385.32</v>
      </c>
      <c r="T23" s="153">
        <f t="shared" si="5"/>
        <v>1.0803260005093502</v>
      </c>
      <c r="W23" s="470"/>
      <c r="Y23" s="470"/>
    </row>
    <row r="24" spans="1:25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f>'2025'!S24</f>
        <v>856323.9500000003</v>
      </c>
      <c r="H24" s="160">
        <f>'2025'!G100</f>
        <v>856323.95</v>
      </c>
      <c r="I24" s="161">
        <f t="shared" si="0"/>
        <v>0</v>
      </c>
      <c r="J24" s="163">
        <f t="shared" si="1"/>
        <v>4.4408920985006262E-16</v>
      </c>
      <c r="K24" s="160">
        <f>'2024'!G24</f>
        <v>859681.09</v>
      </c>
      <c r="L24" s="161">
        <f t="shared" si="7"/>
        <v>-3357.1399999996647</v>
      </c>
      <c r="M24" s="165">
        <f t="shared" si="2"/>
        <v>-3.9050992734988021E-3</v>
      </c>
      <c r="N24" s="160">
        <f>'2025'!S24</f>
        <v>856323.9500000003</v>
      </c>
      <c r="O24" s="160">
        <f>'2025'!G100</f>
        <v>856323.95</v>
      </c>
      <c r="P24" s="161">
        <f t="shared" si="6"/>
        <v>0</v>
      </c>
      <c r="Q24" s="163">
        <f t="shared" si="3"/>
        <v>4.4408920985006262E-16</v>
      </c>
      <c r="R24" s="160">
        <f>'2024'!G24</f>
        <v>859681.09</v>
      </c>
      <c r="S24" s="161">
        <f t="shared" si="4"/>
        <v>-3357.1399999996647</v>
      </c>
      <c r="T24" s="165">
        <f t="shared" si="5"/>
        <v>-3.9050992734988021E-3</v>
      </c>
      <c r="W24" s="470"/>
      <c r="Y24" s="470"/>
    </row>
    <row r="25" spans="1:25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f>'2025'!S25</f>
        <v>4273770.1400000006</v>
      </c>
      <c r="H25" s="160">
        <f>'2025'!G101</f>
        <v>4273770.1400000006</v>
      </c>
      <c r="I25" s="161">
        <f t="shared" si="0"/>
        <v>0</v>
      </c>
      <c r="J25" s="163">
        <f t="shared" si="1"/>
        <v>0</v>
      </c>
      <c r="K25" s="160">
        <f>'2024'!G25</f>
        <v>2491580.6799999997</v>
      </c>
      <c r="L25" s="161">
        <f t="shared" si="7"/>
        <v>1782189.4600000009</v>
      </c>
      <c r="M25" s="165">
        <f t="shared" si="2"/>
        <v>0.71528466820508552</v>
      </c>
      <c r="N25" s="160">
        <f>'2025'!S25</f>
        <v>4273770.1400000006</v>
      </c>
      <c r="O25" s="160">
        <f>'2025'!G101</f>
        <v>4273770.1400000006</v>
      </c>
      <c r="P25" s="161">
        <f t="shared" si="6"/>
        <v>0</v>
      </c>
      <c r="Q25" s="163">
        <f t="shared" si="3"/>
        <v>0</v>
      </c>
      <c r="R25" s="160">
        <f>'2024'!G25</f>
        <v>2491580.6799999997</v>
      </c>
      <c r="S25" s="161">
        <f t="shared" si="4"/>
        <v>1782189.4600000009</v>
      </c>
      <c r="T25" s="165">
        <f t="shared" si="5"/>
        <v>0.71528466820508552</v>
      </c>
      <c r="W25" s="470"/>
      <c r="Y25" s="470"/>
    </row>
    <row r="26" spans="1:25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f>'2025'!S26</f>
        <v>1722511.9099999997</v>
      </c>
      <c r="H26" s="160">
        <f>'2025'!G102</f>
        <v>1719662.2799999998</v>
      </c>
      <c r="I26" s="161">
        <f t="shared" si="0"/>
        <v>2849.6299999998882</v>
      </c>
      <c r="J26" s="163">
        <f t="shared" si="1"/>
        <v>1.6570869950114364E-3</v>
      </c>
      <c r="K26" s="160">
        <f>'2024'!G26</f>
        <v>7787071.8500000006</v>
      </c>
      <c r="L26" s="161">
        <f t="shared" si="7"/>
        <v>-6064559.9400000013</v>
      </c>
      <c r="M26" s="165">
        <f t="shared" si="2"/>
        <v>-0.77879850819663365</v>
      </c>
      <c r="N26" s="160">
        <f>'2025'!S26</f>
        <v>1722511.9099999997</v>
      </c>
      <c r="O26" s="160">
        <f>'2025'!G102</f>
        <v>1719662.2799999998</v>
      </c>
      <c r="P26" s="161">
        <f t="shared" si="6"/>
        <v>2849.6299999998882</v>
      </c>
      <c r="Q26" s="163">
        <f t="shared" si="3"/>
        <v>1.6570869950114364E-3</v>
      </c>
      <c r="R26" s="160">
        <f>'2024'!G26</f>
        <v>7787071.8500000006</v>
      </c>
      <c r="S26" s="161">
        <f t="shared" si="4"/>
        <v>-6064559.9400000013</v>
      </c>
      <c r="T26" s="165">
        <f t="shared" si="5"/>
        <v>-0.77879850819663365</v>
      </c>
      <c r="W26" s="470"/>
      <c r="Y26" s="470"/>
    </row>
    <row r="27" spans="1:25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f>'2025'!S27</f>
        <v>0</v>
      </c>
      <c r="H27" s="160">
        <f>'2025'!G103</f>
        <v>0</v>
      </c>
      <c r="I27" s="161">
        <f t="shared" si="0"/>
        <v>0</v>
      </c>
      <c r="J27" s="163" t="str">
        <f t="shared" si="1"/>
        <v>...</v>
      </c>
      <c r="K27" s="160">
        <f>'2024'!G27</f>
        <v>0</v>
      </c>
      <c r="L27" s="161">
        <f t="shared" si="7"/>
        <v>0</v>
      </c>
      <c r="M27" s="165" t="str">
        <f t="shared" si="2"/>
        <v>...</v>
      </c>
      <c r="N27" s="160">
        <f>'2025'!S27</f>
        <v>0</v>
      </c>
      <c r="O27" s="160">
        <f>'2025'!G103</f>
        <v>0</v>
      </c>
      <c r="P27" s="161">
        <f t="shared" si="6"/>
        <v>0</v>
      </c>
      <c r="Q27" s="163" t="str">
        <f t="shared" si="3"/>
        <v>...</v>
      </c>
      <c r="R27" s="160">
        <f>'2024'!G27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70" t="str">
        <f>+VLOOKUP($A28,Master!$D$30:$G$226,4,FALSE)</f>
        <v>Donacije i transferi</v>
      </c>
      <c r="C28" s="571"/>
      <c r="D28" s="571"/>
      <c r="E28" s="571"/>
      <c r="F28" s="571"/>
      <c r="G28" s="160">
        <f>'2025'!S28</f>
        <v>0</v>
      </c>
      <c r="H28" s="160">
        <f>'2025'!G104</f>
        <v>0</v>
      </c>
      <c r="I28" s="161">
        <f t="shared" si="0"/>
        <v>0</v>
      </c>
      <c r="J28" s="163" t="str">
        <f t="shared" si="1"/>
        <v>...</v>
      </c>
      <c r="K28" s="160">
        <f>'2024'!G28</f>
        <v>4232324.3600000003</v>
      </c>
      <c r="L28" s="161">
        <f t="shared" si="7"/>
        <v>-4232324.3600000003</v>
      </c>
      <c r="M28" s="165">
        <f t="shared" si="2"/>
        <v>-1</v>
      </c>
      <c r="N28" s="160">
        <f>'2025'!S28</f>
        <v>0</v>
      </c>
      <c r="O28" s="160">
        <f>'2025'!G104</f>
        <v>0</v>
      </c>
      <c r="P28" s="161">
        <f t="shared" si="6"/>
        <v>0</v>
      </c>
      <c r="Q28" s="163" t="str">
        <f t="shared" si="3"/>
        <v>...</v>
      </c>
      <c r="R28" s="160">
        <f>'2024'!G28</f>
        <v>4232324.3600000003</v>
      </c>
      <c r="S28" s="161">
        <f t="shared" si="4"/>
        <v>-4232324.3600000003</v>
      </c>
      <c r="T28" s="165">
        <f t="shared" si="5"/>
        <v>-1</v>
      </c>
      <c r="W28" s="470"/>
      <c r="Y28" s="470"/>
    </row>
    <row r="29" spans="1:25" ht="15.7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'2025'!S29</f>
        <v>154176756.43999997</v>
      </c>
      <c r="H29" s="136">
        <f>'2025'!G105</f>
        <v>211460637.94000006</v>
      </c>
      <c r="I29" s="137">
        <f t="shared" si="0"/>
        <v>-57283881.500000089</v>
      </c>
      <c r="J29" s="139">
        <f t="shared" si="1"/>
        <v>-0.27089619164136758</v>
      </c>
      <c r="K29" s="136">
        <f>'2024'!G29</f>
        <v>137917013.63</v>
      </c>
      <c r="L29" s="137">
        <f t="shared" si="7"/>
        <v>16259742.809999973</v>
      </c>
      <c r="M29" s="141">
        <f t="shared" si="2"/>
        <v>0.11789511955081311</v>
      </c>
      <c r="N29" s="136">
        <f>'2025'!S29</f>
        <v>154176756.43999997</v>
      </c>
      <c r="O29" s="136">
        <f>'2025'!G105</f>
        <v>211460637.94000006</v>
      </c>
      <c r="P29" s="137">
        <f t="shared" si="6"/>
        <v>-57283881.500000089</v>
      </c>
      <c r="Q29" s="139">
        <f t="shared" si="3"/>
        <v>-0.27089619164136758</v>
      </c>
      <c r="R29" s="136">
        <f>'2024'!G29</f>
        <v>137917013.63</v>
      </c>
      <c r="S29" s="137">
        <f t="shared" si="4"/>
        <v>16259742.809999973</v>
      </c>
      <c r="T29" s="141">
        <f t="shared" si="5"/>
        <v>0.11789511955081311</v>
      </c>
      <c r="W29" s="470"/>
      <c r="Y29" s="470"/>
    </row>
    <row r="30" spans="1:25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294">
        <f>'2025'!S30</f>
        <v>61826506.519999981</v>
      </c>
      <c r="H30" s="294">
        <f>'2025'!G106</f>
        <v>80398871.150000021</v>
      </c>
      <c r="I30" s="173">
        <f t="shared" si="0"/>
        <v>-18572364.63000004</v>
      </c>
      <c r="J30" s="556">
        <f t="shared" si="1"/>
        <v>-0.23100280345167556</v>
      </c>
      <c r="K30" s="294">
        <f>'2024'!G30</f>
        <v>61605376.840000004</v>
      </c>
      <c r="L30" s="173">
        <f t="shared" si="7"/>
        <v>221129.67999997735</v>
      </c>
      <c r="M30" s="177">
        <f t="shared" si="2"/>
        <v>3.5894542220606951E-3</v>
      </c>
      <c r="N30" s="294">
        <f>'2025'!S30</f>
        <v>61826506.519999981</v>
      </c>
      <c r="O30" s="294">
        <f>'2025'!G106</f>
        <v>80398871.150000021</v>
      </c>
      <c r="P30" s="173">
        <f t="shared" si="6"/>
        <v>-18572364.63000004</v>
      </c>
      <c r="Q30" s="175">
        <f t="shared" si="3"/>
        <v>-0.23100280345167556</v>
      </c>
      <c r="R30" s="294">
        <f>'2024'!G30</f>
        <v>61605376.840000004</v>
      </c>
      <c r="S30" s="173">
        <f t="shared" si="4"/>
        <v>221129.67999997735</v>
      </c>
      <c r="T30" s="177">
        <f t="shared" si="5"/>
        <v>3.5894542220606951E-3</v>
      </c>
      <c r="W30" s="470"/>
      <c r="Y30" s="470"/>
    </row>
    <row r="31" spans="1:25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f>'2025'!S31</f>
        <v>55835076.819999978</v>
      </c>
      <c r="H31" s="148">
        <f>'2025'!G107</f>
        <v>56135491.560000025</v>
      </c>
      <c r="I31" s="149">
        <f t="shared" si="0"/>
        <v>-300414.74000004679</v>
      </c>
      <c r="J31" s="557">
        <f t="shared" si="1"/>
        <v>-5.3516007725513681E-3</v>
      </c>
      <c r="K31" s="148">
        <f>'2024'!G31</f>
        <v>55136615.750000007</v>
      </c>
      <c r="L31" s="149">
        <f t="shared" si="7"/>
        <v>698461.0699999705</v>
      </c>
      <c r="M31" s="153">
        <f t="shared" si="2"/>
        <v>1.2667826280215122E-2</v>
      </c>
      <c r="N31" s="148">
        <f>'2025'!S31</f>
        <v>55835076.819999978</v>
      </c>
      <c r="O31" s="148">
        <f>'2025'!G107</f>
        <v>56135491.560000025</v>
      </c>
      <c r="P31" s="149">
        <f>+N31-O31</f>
        <v>-300414.74000004679</v>
      </c>
      <c r="Q31" s="151">
        <f>IF(+IF(ISERROR(N31/O31),"…",N31/O31-1)&gt;200%,"...",IF(ISERROR(N31/O31),"…",N31/O31-1))</f>
        <v>-5.3516007725513681E-3</v>
      </c>
      <c r="R31" s="148">
        <f>'2024'!G31</f>
        <v>55136615.750000007</v>
      </c>
      <c r="S31" s="149">
        <f t="shared" si="4"/>
        <v>698461.0699999705</v>
      </c>
      <c r="T31" s="153">
        <f t="shared" si="5"/>
        <v>1.2667826280215122E-2</v>
      </c>
      <c r="W31" s="470"/>
      <c r="Y31" s="470"/>
    </row>
    <row r="32" spans="1:25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f>'2025'!S32</f>
        <v>31766.52</v>
      </c>
      <c r="H32" s="148">
        <f>'2025'!G108</f>
        <v>1760941.9700000007</v>
      </c>
      <c r="I32" s="149">
        <f t="shared" si="0"/>
        <v>-1729175.4500000007</v>
      </c>
      <c r="J32" s="557">
        <f t="shared" si="1"/>
        <v>-0.98196049583621425</v>
      </c>
      <c r="K32" s="148">
        <f>'2024'!G32</f>
        <v>104790.61</v>
      </c>
      <c r="L32" s="149">
        <f t="shared" si="7"/>
        <v>-73024.09</v>
      </c>
      <c r="M32" s="153">
        <f t="shared" si="2"/>
        <v>-0.69685718978064926</v>
      </c>
      <c r="N32" s="148">
        <f>'2025'!S32</f>
        <v>31766.52</v>
      </c>
      <c r="O32" s="148">
        <f>'2025'!G108</f>
        <v>1760941.9700000007</v>
      </c>
      <c r="P32" s="149">
        <f t="shared" si="6"/>
        <v>-1729175.4500000007</v>
      </c>
      <c r="Q32" s="151">
        <f t="shared" si="3"/>
        <v>-0.98196049583621425</v>
      </c>
      <c r="R32" s="148">
        <f>'2024'!G32</f>
        <v>104790.61</v>
      </c>
      <c r="S32" s="149">
        <f t="shared" si="4"/>
        <v>-73024.09</v>
      </c>
      <c r="T32" s="153">
        <f t="shared" si="5"/>
        <v>-0.69685718978064926</v>
      </c>
      <c r="W32" s="470"/>
      <c r="Y32" s="470"/>
    </row>
    <row r="33" spans="1:25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f>'2025'!S33</f>
        <v>39625.339999999997</v>
      </c>
      <c r="H33" s="148">
        <f>'2025'!G109</f>
        <v>1797949.1899999997</v>
      </c>
      <c r="I33" s="149">
        <f t="shared" si="0"/>
        <v>-1758323.8499999996</v>
      </c>
      <c r="J33" s="557">
        <f t="shared" si="1"/>
        <v>-0.97796081211838914</v>
      </c>
      <c r="K33" s="148">
        <f>'2024'!G33</f>
        <v>201738.93999999997</v>
      </c>
      <c r="L33" s="149">
        <f t="shared" si="7"/>
        <v>-162113.59999999998</v>
      </c>
      <c r="M33" s="153">
        <f t="shared" si="2"/>
        <v>-0.80358110338043809</v>
      </c>
      <c r="N33" s="148">
        <f>'2025'!S33</f>
        <v>39625.339999999997</v>
      </c>
      <c r="O33" s="148">
        <f>'2025'!G109</f>
        <v>1797949.1899999997</v>
      </c>
      <c r="P33" s="149">
        <f t="shared" si="6"/>
        <v>-1758323.8499999996</v>
      </c>
      <c r="Q33" s="151">
        <f t="shared" si="3"/>
        <v>-0.97796081211838914</v>
      </c>
      <c r="R33" s="148">
        <f>'2024'!G33</f>
        <v>201738.93999999997</v>
      </c>
      <c r="S33" s="149">
        <f t="shared" si="4"/>
        <v>-162113.59999999998</v>
      </c>
      <c r="T33" s="153">
        <f t="shared" si="5"/>
        <v>-0.80358110338043809</v>
      </c>
      <c r="W33" s="470"/>
      <c r="Y33" s="470"/>
    </row>
    <row r="34" spans="1:25">
      <c r="A34" s="135">
        <v>414</v>
      </c>
      <c r="B34" s="564" t="str">
        <f>+VLOOKUP($A34,Master!$D$30:$G$226,4,FALSE)</f>
        <v>Rashodi za usluge</v>
      </c>
      <c r="C34" s="565"/>
      <c r="D34" s="565"/>
      <c r="E34" s="565"/>
      <c r="F34" s="565"/>
      <c r="G34" s="148">
        <f>'2025'!S34</f>
        <v>1029193.8700000001</v>
      </c>
      <c r="H34" s="148">
        <f>'2025'!G110</f>
        <v>4145716.3000000026</v>
      </c>
      <c r="I34" s="149">
        <f t="shared" si="0"/>
        <v>-3116522.4300000025</v>
      </c>
      <c r="J34" s="557">
        <f t="shared" si="1"/>
        <v>-0.75174522434156932</v>
      </c>
      <c r="K34" s="148">
        <f>'2024'!G34</f>
        <v>768611.57000000007</v>
      </c>
      <c r="L34" s="149">
        <f t="shared" si="7"/>
        <v>260582.30000000005</v>
      </c>
      <c r="M34" s="153">
        <f t="shared" si="2"/>
        <v>0.33902989516538251</v>
      </c>
      <c r="N34" s="148">
        <f>'2025'!S34</f>
        <v>1029193.8700000001</v>
      </c>
      <c r="O34" s="148">
        <f>'2025'!G110</f>
        <v>4145716.3000000026</v>
      </c>
      <c r="P34" s="149">
        <f t="shared" si="6"/>
        <v>-3116522.4300000025</v>
      </c>
      <c r="Q34" s="151">
        <f t="shared" si="3"/>
        <v>-0.75174522434156932</v>
      </c>
      <c r="R34" s="148">
        <f>'2024'!G34</f>
        <v>768611.57000000007</v>
      </c>
      <c r="S34" s="149">
        <f t="shared" si="4"/>
        <v>260582.30000000005</v>
      </c>
      <c r="T34" s="153">
        <f t="shared" si="5"/>
        <v>0.33902989516538251</v>
      </c>
      <c r="W34" s="470"/>
      <c r="Y34" s="470"/>
    </row>
    <row r="35" spans="1:25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f>'2025'!S35</f>
        <v>1721.01</v>
      </c>
      <c r="H35" s="148">
        <f>'2025'!G111</f>
        <v>2624464.0299999998</v>
      </c>
      <c r="I35" s="149">
        <f t="shared" si="0"/>
        <v>-2622743.02</v>
      </c>
      <c r="J35" s="557">
        <f t="shared" si="1"/>
        <v>-0.99934424325106863</v>
      </c>
      <c r="K35" s="148">
        <f>'2024'!G35</f>
        <v>4201.5999999999995</v>
      </c>
      <c r="L35" s="149">
        <f t="shared" si="7"/>
        <v>-2480.5899999999992</v>
      </c>
      <c r="M35" s="153">
        <f t="shared" si="2"/>
        <v>-0.59039175552170597</v>
      </c>
      <c r="N35" s="148">
        <f>'2025'!S35</f>
        <v>1721.01</v>
      </c>
      <c r="O35" s="148">
        <f>'2025'!G111</f>
        <v>2624464.0299999998</v>
      </c>
      <c r="P35" s="149">
        <f t="shared" si="6"/>
        <v>-2622743.02</v>
      </c>
      <c r="Q35" s="151">
        <f t="shared" si="3"/>
        <v>-0.99934424325106863</v>
      </c>
      <c r="R35" s="148">
        <f>'2024'!G35</f>
        <v>4201.5999999999995</v>
      </c>
      <c r="S35" s="149">
        <f t="shared" si="4"/>
        <v>-2480.5899999999992</v>
      </c>
      <c r="T35" s="153">
        <f t="shared" si="5"/>
        <v>-0.59039175552170597</v>
      </c>
      <c r="W35" s="470"/>
      <c r="Y35" s="470"/>
    </row>
    <row r="36" spans="1:25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f>'2025'!S36</f>
        <v>3788619.5500000003</v>
      </c>
      <c r="H36" s="148">
        <f>'2025'!G112</f>
        <v>3805233.67</v>
      </c>
      <c r="I36" s="149">
        <f t="shared" si="0"/>
        <v>-16614.119999999646</v>
      </c>
      <c r="J36" s="557">
        <f t="shared" si="1"/>
        <v>-4.366123460691318E-3</v>
      </c>
      <c r="K36" s="148">
        <f>'2024'!G36</f>
        <v>4029329.47</v>
      </c>
      <c r="L36" s="149">
        <f t="shared" si="7"/>
        <v>-240709.91999999993</v>
      </c>
      <c r="M36" s="153">
        <f t="shared" si="2"/>
        <v>-5.9739448410010443E-2</v>
      </c>
      <c r="N36" s="148">
        <f>'2025'!S36</f>
        <v>3788619.5500000003</v>
      </c>
      <c r="O36" s="148">
        <f>'2025'!G112</f>
        <v>3805233.67</v>
      </c>
      <c r="P36" s="149">
        <f t="shared" si="6"/>
        <v>-16614.119999999646</v>
      </c>
      <c r="Q36" s="151">
        <f t="shared" si="3"/>
        <v>-4.366123460691318E-3</v>
      </c>
      <c r="R36" s="148">
        <f>'2024'!G36</f>
        <v>4029329.47</v>
      </c>
      <c r="S36" s="149">
        <f t="shared" si="4"/>
        <v>-240709.91999999993</v>
      </c>
      <c r="T36" s="153">
        <f t="shared" si="5"/>
        <v>-5.9739448410010443E-2</v>
      </c>
      <c r="W36" s="470"/>
      <c r="Y36" s="470"/>
    </row>
    <row r="37" spans="1:25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f>'2025'!S37</f>
        <v>17739.240000000002</v>
      </c>
      <c r="H37" s="148">
        <f>'2025'!G113</f>
        <v>1102134.17</v>
      </c>
      <c r="I37" s="149">
        <f t="shared" si="0"/>
        <v>-1084394.93</v>
      </c>
      <c r="J37" s="557">
        <f t="shared" si="1"/>
        <v>-0.98390464565670799</v>
      </c>
      <c r="K37" s="148">
        <f>'2024'!G37</f>
        <v>155.47</v>
      </c>
      <c r="L37" s="149">
        <f t="shared" si="7"/>
        <v>17583.77</v>
      </c>
      <c r="M37" s="153" t="str">
        <f t="shared" si="2"/>
        <v>...</v>
      </c>
      <c r="N37" s="148">
        <f>'2025'!S37</f>
        <v>17739.240000000002</v>
      </c>
      <c r="O37" s="148">
        <f>'2025'!G113</f>
        <v>1102134.17</v>
      </c>
      <c r="P37" s="149">
        <f t="shared" si="6"/>
        <v>-1084394.93</v>
      </c>
      <c r="Q37" s="151">
        <f t="shared" si="3"/>
        <v>-0.98390464565670799</v>
      </c>
      <c r="R37" s="148">
        <f>'2024'!G37</f>
        <v>155.47</v>
      </c>
      <c r="S37" s="149">
        <f t="shared" si="4"/>
        <v>17583.77</v>
      </c>
      <c r="T37" s="153" t="str">
        <f t="shared" si="5"/>
        <v>...</v>
      </c>
      <c r="W37" s="470"/>
      <c r="Y37" s="470"/>
    </row>
    <row r="38" spans="1:25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f>'2025'!S38</f>
        <v>652762.92999999982</v>
      </c>
      <c r="H38" s="148">
        <f>'2025'!G114</f>
        <v>5746355.0200000005</v>
      </c>
      <c r="I38" s="149">
        <f t="shared" si="0"/>
        <v>-5093592.0900000008</v>
      </c>
      <c r="J38" s="557">
        <f t="shared" si="1"/>
        <v>-0.88640400258458107</v>
      </c>
      <c r="K38" s="148">
        <f>'2024'!G38</f>
        <v>1261570.0099999986</v>
      </c>
      <c r="L38" s="149">
        <f t="shared" si="7"/>
        <v>-608807.07999999879</v>
      </c>
      <c r="M38" s="153">
        <f t="shared" si="2"/>
        <v>-0.48257890975071571</v>
      </c>
      <c r="N38" s="148">
        <f>'2025'!S38</f>
        <v>652762.92999999982</v>
      </c>
      <c r="O38" s="148">
        <f>'2025'!G114</f>
        <v>5746355.0200000005</v>
      </c>
      <c r="P38" s="149">
        <f t="shared" si="6"/>
        <v>-5093592.0900000008</v>
      </c>
      <c r="Q38" s="151">
        <f t="shared" si="3"/>
        <v>-0.88640400258458107</v>
      </c>
      <c r="R38" s="148">
        <f>'2024'!G38</f>
        <v>1261570.0099999986</v>
      </c>
      <c r="S38" s="149">
        <f t="shared" si="4"/>
        <v>-608807.07999999879</v>
      </c>
      <c r="T38" s="153">
        <f t="shared" si="5"/>
        <v>-0.48257890975071571</v>
      </c>
      <c r="W38" s="470"/>
      <c r="Y38" s="470"/>
    </row>
    <row r="39" spans="1:25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148">
        <f>'2025'!S39</f>
        <v>430001.24</v>
      </c>
      <c r="H39" s="148">
        <f>'2025'!G115</f>
        <v>3280585.2400000012</v>
      </c>
      <c r="I39" s="149">
        <f t="shared" si="0"/>
        <v>-2850584.0000000009</v>
      </c>
      <c r="J39" s="557">
        <f t="shared" si="1"/>
        <v>-0.86892544819228656</v>
      </c>
      <c r="K39" s="148">
        <f>'2024'!G39</f>
        <v>98363.42</v>
      </c>
      <c r="L39" s="149">
        <f t="shared" si="7"/>
        <v>331637.82</v>
      </c>
      <c r="M39" s="153" t="str">
        <f t="shared" si="2"/>
        <v>...</v>
      </c>
      <c r="N39" s="148">
        <f>'2025'!S39</f>
        <v>430001.24</v>
      </c>
      <c r="O39" s="148">
        <f>'2025'!G115</f>
        <v>3280585.2400000012</v>
      </c>
      <c r="P39" s="149">
        <f t="shared" si="6"/>
        <v>-2850584.0000000009</v>
      </c>
      <c r="Q39" s="151">
        <f t="shared" si="3"/>
        <v>-0.86892544819228656</v>
      </c>
      <c r="R39" s="148">
        <f>'2024'!G39</f>
        <v>98363.42</v>
      </c>
      <c r="S39" s="149">
        <f t="shared" si="4"/>
        <v>331637.82</v>
      </c>
      <c r="T39" s="153" t="str">
        <f t="shared" si="5"/>
        <v>...</v>
      </c>
      <c r="W39" s="470"/>
      <c r="Y39" s="470"/>
    </row>
    <row r="40" spans="1:25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'2025'!S40</f>
        <v>82171954.539999992</v>
      </c>
      <c r="H40" s="178">
        <f>'2025'!G116</f>
        <v>86392001.569999993</v>
      </c>
      <c r="I40" s="179">
        <f t="shared" si="0"/>
        <v>-4220047.0300000012</v>
      </c>
      <c r="J40" s="181">
        <f t="shared" si="1"/>
        <v>-4.8847658965056717E-2</v>
      </c>
      <c r="K40" s="178">
        <f>'2024'!G40</f>
        <v>68104395.889999986</v>
      </c>
      <c r="L40" s="179">
        <f t="shared" si="7"/>
        <v>14067558.650000006</v>
      </c>
      <c r="M40" s="183">
        <f t="shared" si="2"/>
        <v>0.20655874655611761</v>
      </c>
      <c r="N40" s="178">
        <f>'2025'!S40</f>
        <v>82171954.539999992</v>
      </c>
      <c r="O40" s="178">
        <f>'2025'!G116</f>
        <v>86392001.569999993</v>
      </c>
      <c r="P40" s="179">
        <f t="shared" si="6"/>
        <v>-4220047.0300000012</v>
      </c>
      <c r="Q40" s="181">
        <f t="shared" si="3"/>
        <v>-4.8847658965056717E-2</v>
      </c>
      <c r="R40" s="178">
        <f>'2024'!G40</f>
        <v>68104395.889999986</v>
      </c>
      <c r="S40" s="179">
        <f t="shared" si="4"/>
        <v>14067558.650000006</v>
      </c>
      <c r="T40" s="183">
        <f t="shared" si="5"/>
        <v>0.20655874655611761</v>
      </c>
      <c r="W40" s="470"/>
      <c r="Y40" s="470"/>
    </row>
    <row r="41" spans="1:25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f>'2025'!S41</f>
        <v>19200151.200000003</v>
      </c>
      <c r="H41" s="148">
        <f>'2025'!G117</f>
        <v>19200151.200000003</v>
      </c>
      <c r="I41" s="149">
        <f t="shared" si="0"/>
        <v>0</v>
      </c>
      <c r="J41" s="151">
        <f t="shared" si="1"/>
        <v>0</v>
      </c>
      <c r="K41" s="148">
        <f>'2024'!G41</f>
        <v>17183646.739999998</v>
      </c>
      <c r="L41" s="149">
        <f t="shared" si="7"/>
        <v>2016504.4600000046</v>
      </c>
      <c r="M41" s="153">
        <f t="shared" si="2"/>
        <v>0.1173502045585002</v>
      </c>
      <c r="N41" s="148">
        <f>'2025'!S41</f>
        <v>19200151.200000003</v>
      </c>
      <c r="O41" s="148">
        <f>'2025'!G117</f>
        <v>19200151.200000003</v>
      </c>
      <c r="P41" s="149">
        <f t="shared" si="6"/>
        <v>0</v>
      </c>
      <c r="Q41" s="151">
        <f t="shared" si="3"/>
        <v>0</v>
      </c>
      <c r="R41" s="148">
        <f>'2024'!G41</f>
        <v>17183646.739999998</v>
      </c>
      <c r="S41" s="149">
        <f t="shared" si="4"/>
        <v>2016504.4600000046</v>
      </c>
      <c r="T41" s="153">
        <f t="shared" si="5"/>
        <v>0.1173502045585002</v>
      </c>
      <c r="W41" s="470"/>
      <c r="Y41" s="470"/>
    </row>
    <row r="42" spans="1:25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f>'2025'!S42</f>
        <v>40500</v>
      </c>
      <c r="H42" s="148">
        <f>'2025'!G118</f>
        <v>2213718.67</v>
      </c>
      <c r="I42" s="149">
        <f t="shared" si="0"/>
        <v>-2173218.67</v>
      </c>
      <c r="J42" s="151">
        <f t="shared" si="1"/>
        <v>-0.98170499235117348</v>
      </c>
      <c r="K42" s="148">
        <f>'2024'!G42</f>
        <v>0</v>
      </c>
      <c r="L42" s="149">
        <f t="shared" si="7"/>
        <v>40500</v>
      </c>
      <c r="M42" s="153" t="str">
        <f t="shared" si="2"/>
        <v>...</v>
      </c>
      <c r="N42" s="148">
        <f>'2025'!S42</f>
        <v>40500</v>
      </c>
      <c r="O42" s="148">
        <f>'2025'!G118</f>
        <v>2213718.67</v>
      </c>
      <c r="P42" s="149">
        <f t="shared" si="6"/>
        <v>-2173218.67</v>
      </c>
      <c r="Q42" s="151">
        <f t="shared" si="3"/>
        <v>-0.98170499235117348</v>
      </c>
      <c r="R42" s="148">
        <f>'2024'!G42</f>
        <v>0</v>
      </c>
      <c r="S42" s="149">
        <f t="shared" si="4"/>
        <v>40500</v>
      </c>
      <c r="T42" s="153" t="str">
        <f t="shared" si="5"/>
        <v>...</v>
      </c>
      <c r="W42" s="470"/>
      <c r="Y42" s="470"/>
    </row>
    <row r="43" spans="1:25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f>'2025'!S43</f>
        <v>62931303.339999989</v>
      </c>
      <c r="H43" s="148">
        <f>'2025'!G119</f>
        <v>63002630.410000004</v>
      </c>
      <c r="I43" s="149">
        <f t="shared" si="0"/>
        <v>-71327.070000015199</v>
      </c>
      <c r="J43" s="151">
        <f t="shared" si="1"/>
        <v>-1.132128445048175E-3</v>
      </c>
      <c r="K43" s="148">
        <f>'2024'!G43</f>
        <v>49992836.859999999</v>
      </c>
      <c r="L43" s="149">
        <f t="shared" si="7"/>
        <v>12938466.479999989</v>
      </c>
      <c r="M43" s="153">
        <f t="shared" si="2"/>
        <v>0.25880640693051449</v>
      </c>
      <c r="N43" s="148">
        <f>'2025'!S43</f>
        <v>62931303.339999989</v>
      </c>
      <c r="O43" s="148">
        <f>'2025'!G119</f>
        <v>63002630.410000004</v>
      </c>
      <c r="P43" s="149">
        <f t="shared" si="6"/>
        <v>-71327.070000015199</v>
      </c>
      <c r="Q43" s="151">
        <f t="shared" si="3"/>
        <v>-1.132128445048175E-3</v>
      </c>
      <c r="R43" s="148">
        <f>'2024'!G43</f>
        <v>49992836.859999999</v>
      </c>
      <c r="S43" s="149">
        <f t="shared" si="4"/>
        <v>12938466.479999989</v>
      </c>
      <c r="T43" s="153">
        <f t="shared" si="5"/>
        <v>0.25880640693051449</v>
      </c>
      <c r="W43" s="470"/>
      <c r="Y43" s="470"/>
    </row>
    <row r="44" spans="1:25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f>'2025'!S44</f>
        <v>0</v>
      </c>
      <c r="H44" s="148">
        <f>'2025'!G120</f>
        <v>1296116.4099999999</v>
      </c>
      <c r="I44" s="149">
        <f t="shared" si="0"/>
        <v>-1296116.4099999999</v>
      </c>
      <c r="J44" s="151">
        <f t="shared" si="1"/>
        <v>-1</v>
      </c>
      <c r="K44" s="148">
        <f>'2024'!G44</f>
        <v>893164.23999999976</v>
      </c>
      <c r="L44" s="149">
        <f t="shared" si="7"/>
        <v>-893164.23999999976</v>
      </c>
      <c r="M44" s="153">
        <f t="shared" si="2"/>
        <v>-1</v>
      </c>
      <c r="N44" s="148">
        <f>'2025'!S44</f>
        <v>0</v>
      </c>
      <c r="O44" s="148">
        <f>'2025'!G120</f>
        <v>1296116.4099999999</v>
      </c>
      <c r="P44" s="149">
        <f t="shared" si="6"/>
        <v>-1296116.4099999999</v>
      </c>
      <c r="Q44" s="151">
        <f t="shared" si="3"/>
        <v>-1</v>
      </c>
      <c r="R44" s="148">
        <f>'2024'!G44</f>
        <v>893164.23999999976</v>
      </c>
      <c r="S44" s="149">
        <f t="shared" si="4"/>
        <v>-893164.23999999976</v>
      </c>
      <c r="T44" s="153">
        <f t="shared" si="5"/>
        <v>-1</v>
      </c>
      <c r="W44" s="470"/>
      <c r="Y44" s="470"/>
    </row>
    <row r="45" spans="1:25">
      <c r="A45" s="135">
        <v>425</v>
      </c>
      <c r="B45" s="564" t="str">
        <f>+VLOOKUP($A45,Master!$D$30:$G$226,4,FALSE)</f>
        <v>Ostala prava iz zdravstvenog osiguranja</v>
      </c>
      <c r="C45" s="565"/>
      <c r="D45" s="565"/>
      <c r="E45" s="565"/>
      <c r="F45" s="565"/>
      <c r="G45" s="148">
        <f>'2025'!S45</f>
        <v>0</v>
      </c>
      <c r="H45" s="148">
        <f>'2025'!G121</f>
        <v>679384.88</v>
      </c>
      <c r="I45" s="149">
        <f t="shared" si="0"/>
        <v>-679384.88</v>
      </c>
      <c r="J45" s="151">
        <f t="shared" si="1"/>
        <v>-1</v>
      </c>
      <c r="K45" s="148">
        <f>'2024'!G45</f>
        <v>34748.049999999996</v>
      </c>
      <c r="L45" s="149">
        <f t="shared" si="7"/>
        <v>-34748.049999999996</v>
      </c>
      <c r="M45" s="153">
        <f t="shared" si="2"/>
        <v>-1</v>
      </c>
      <c r="N45" s="148">
        <f>'2025'!S45</f>
        <v>0</v>
      </c>
      <c r="O45" s="148">
        <f>'2025'!G121</f>
        <v>679384.88</v>
      </c>
      <c r="P45" s="149">
        <f t="shared" si="6"/>
        <v>-679384.88</v>
      </c>
      <c r="Q45" s="151">
        <f t="shared" si="3"/>
        <v>-1</v>
      </c>
      <c r="R45" s="148">
        <f>'2024'!G45</f>
        <v>34748.049999999996</v>
      </c>
      <c r="S45" s="149">
        <f t="shared" si="4"/>
        <v>-34748.049999999996</v>
      </c>
      <c r="T45" s="153">
        <f t="shared" si="5"/>
        <v>-1</v>
      </c>
      <c r="W45" s="470"/>
      <c r="Y45" s="470"/>
    </row>
    <row r="46" spans="1:25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f>'2025'!S46</f>
        <v>4939804.07</v>
      </c>
      <c r="H46" s="160">
        <f>'2025'!G122</f>
        <v>24933803.300000001</v>
      </c>
      <c r="I46" s="161">
        <f t="shared" si="0"/>
        <v>-19993999.23</v>
      </c>
      <c r="J46" s="163">
        <f t="shared" si="1"/>
        <v>-0.80188325019793516</v>
      </c>
      <c r="K46" s="160">
        <f>'2024'!G46</f>
        <v>3021521.19</v>
      </c>
      <c r="L46" s="161">
        <f t="shared" si="7"/>
        <v>1918282.8800000004</v>
      </c>
      <c r="M46" s="165">
        <f t="shared" si="2"/>
        <v>0.6348732176192351</v>
      </c>
      <c r="N46" s="160">
        <f>'2025'!S46</f>
        <v>4939804.07</v>
      </c>
      <c r="O46" s="160">
        <f>'2025'!G122</f>
        <v>24933803.300000001</v>
      </c>
      <c r="P46" s="161">
        <f t="shared" si="6"/>
        <v>-19993999.23</v>
      </c>
      <c r="Q46" s="163">
        <f t="shared" si="3"/>
        <v>-0.80188325019793516</v>
      </c>
      <c r="R46" s="160">
        <f>'2024'!G46</f>
        <v>3021521.19</v>
      </c>
      <c r="S46" s="161">
        <f t="shared" si="4"/>
        <v>1918282.8800000004</v>
      </c>
      <c r="T46" s="165">
        <f t="shared" si="5"/>
        <v>0.6348732176192351</v>
      </c>
      <c r="W46" s="470"/>
      <c r="Y46" s="470"/>
    </row>
    <row r="47" spans="1:25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f>'2025'!S47</f>
        <v>125807.52</v>
      </c>
      <c r="H47" s="160">
        <f>'2025'!G123</f>
        <v>5503773.2700000005</v>
      </c>
      <c r="I47" s="161">
        <f t="shared" si="0"/>
        <v>-5377965.7500000009</v>
      </c>
      <c r="J47" s="163">
        <f t="shared" si="1"/>
        <v>-0.97714158744769664</v>
      </c>
      <c r="K47" s="160">
        <f>'2024'!G47</f>
        <v>3531423.4500000007</v>
      </c>
      <c r="L47" s="161">
        <f t="shared" si="7"/>
        <v>-3405615.9300000006</v>
      </c>
      <c r="M47" s="165">
        <f t="shared" si="2"/>
        <v>-0.96437484153875686</v>
      </c>
      <c r="N47" s="160">
        <f>'2025'!S47</f>
        <v>125807.52</v>
      </c>
      <c r="O47" s="160">
        <f>'2025'!G123</f>
        <v>5503773.2700000005</v>
      </c>
      <c r="P47" s="161">
        <f t="shared" si="6"/>
        <v>-5377965.7500000009</v>
      </c>
      <c r="Q47" s="163">
        <f t="shared" si="3"/>
        <v>-0.97714158744769664</v>
      </c>
      <c r="R47" s="160">
        <f>'2024'!G47</f>
        <v>3531423.4500000007</v>
      </c>
      <c r="S47" s="161">
        <f t="shared" si="4"/>
        <v>-3405615.9300000006</v>
      </c>
      <c r="T47" s="165">
        <f t="shared" si="5"/>
        <v>-0.96437484153875686</v>
      </c>
      <c r="W47" s="470"/>
      <c r="Y47" s="470"/>
    </row>
    <row r="48" spans="1:25">
      <c r="A48" s="135">
        <v>451</v>
      </c>
      <c r="B48" s="582" t="str">
        <f>+VLOOKUP($A48,Master!$D$30:$G$226,4,FALSE)</f>
        <v>Pozajmice i krediti</v>
      </c>
      <c r="C48" s="583"/>
      <c r="D48" s="583"/>
      <c r="E48" s="583"/>
      <c r="F48" s="583"/>
      <c r="G48" s="148">
        <f>'2025'!S48</f>
        <v>0</v>
      </c>
      <c r="H48" s="148">
        <f>'2025'!G124</f>
        <v>0</v>
      </c>
      <c r="I48" s="149">
        <f>G48-H48</f>
        <v>0</v>
      </c>
      <c r="J48" s="266" t="str">
        <f t="shared" si="1"/>
        <v>...</v>
      </c>
      <c r="K48" s="148">
        <f>'2024'!G48</f>
        <v>0</v>
      </c>
      <c r="L48" s="263">
        <f t="shared" si="7"/>
        <v>0</v>
      </c>
      <c r="M48" s="475" t="str">
        <f t="shared" si="2"/>
        <v>...</v>
      </c>
      <c r="N48" s="148">
        <f>'2025'!S48</f>
        <v>0</v>
      </c>
      <c r="O48" s="148">
        <f>'2025'!G124</f>
        <v>0</v>
      </c>
      <c r="P48" s="149">
        <f t="shared" si="6"/>
        <v>0</v>
      </c>
      <c r="Q48" s="266" t="str">
        <f t="shared" si="3"/>
        <v>...</v>
      </c>
      <c r="R48" s="148">
        <f>'2024'!G48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82" t="str">
        <f>+VLOOKUP($A49,Master!$D$30:$G$226,4,FALSE)</f>
        <v>Rezerve</v>
      </c>
      <c r="C49" s="583"/>
      <c r="D49" s="583"/>
      <c r="E49" s="583"/>
      <c r="F49" s="583"/>
      <c r="G49" s="148">
        <f>'2025'!S49</f>
        <v>0</v>
      </c>
      <c r="H49" s="148">
        <f>'2025'!G125</f>
        <v>8050000</v>
      </c>
      <c r="I49" s="149">
        <f t="shared" ref="I49:I50" si="8">G49-H49</f>
        <v>-8050000</v>
      </c>
      <c r="J49" s="267">
        <f t="shared" si="1"/>
        <v>-1</v>
      </c>
      <c r="K49" s="148">
        <f>'2024'!G49</f>
        <v>0</v>
      </c>
      <c r="L49" s="264">
        <f t="shared" si="7"/>
        <v>0</v>
      </c>
      <c r="M49" s="476" t="str">
        <f t="shared" si="2"/>
        <v>...</v>
      </c>
      <c r="N49" s="148">
        <f>'2025'!S49</f>
        <v>0</v>
      </c>
      <c r="O49" s="148">
        <f>'2025'!G125</f>
        <v>8050000</v>
      </c>
      <c r="P49" s="149">
        <f t="shared" si="6"/>
        <v>-8050000</v>
      </c>
      <c r="Q49" s="267">
        <f t="shared" si="3"/>
        <v>-1</v>
      </c>
      <c r="R49" s="148">
        <f>'2024'!G49</f>
        <v>0</v>
      </c>
      <c r="S49" s="264">
        <f t="shared" si="4"/>
        <v>0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f>'2025'!S50</f>
        <v>4062322.96</v>
      </c>
      <c r="H50" s="148">
        <f>'2025'!G126</f>
        <v>4100000</v>
      </c>
      <c r="I50" s="149">
        <f t="shared" si="8"/>
        <v>-37677.040000000037</v>
      </c>
      <c r="J50" s="268">
        <f t="shared" si="1"/>
        <v>-9.1895219512194704E-3</v>
      </c>
      <c r="K50" s="148">
        <f>'2024'!G50</f>
        <v>0</v>
      </c>
      <c r="L50" s="264">
        <f t="shared" si="7"/>
        <v>4062322.96</v>
      </c>
      <c r="M50" s="477" t="str">
        <f t="shared" si="2"/>
        <v>...</v>
      </c>
      <c r="N50" s="148">
        <f>'2025'!S50</f>
        <v>4062322.96</v>
      </c>
      <c r="O50" s="148">
        <f>'2025'!G126</f>
        <v>4100000</v>
      </c>
      <c r="P50" s="149">
        <f t="shared" si="6"/>
        <v>-37677.040000000037</v>
      </c>
      <c r="Q50" s="268">
        <f t="shared" si="3"/>
        <v>-9.1895219512194704E-3</v>
      </c>
      <c r="R50" s="148">
        <f>'2024'!G50</f>
        <v>0</v>
      </c>
      <c r="S50" s="264">
        <f t="shared" si="4"/>
        <v>4062322.96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4" t="str">
        <f>+VLOOKUP($A51,Master!$D$30:$G$226,4,FALSE)</f>
        <v>Otplata obaveza iz prethodnog perioda</v>
      </c>
      <c r="C51" s="585"/>
      <c r="D51" s="585"/>
      <c r="E51" s="585"/>
      <c r="F51" s="585"/>
      <c r="G51" s="295">
        <f>'2025'!S51</f>
        <v>1050360.8299999998</v>
      </c>
      <c r="H51" s="295">
        <f>'2025'!G127</f>
        <v>2082188.6500000046</v>
      </c>
      <c r="I51" s="265">
        <f>G51-H51</f>
        <v>-1031827.8200000047</v>
      </c>
      <c r="J51" s="269">
        <f t="shared" si="1"/>
        <v>-0.49554963235439908</v>
      </c>
      <c r="K51" s="295">
        <f>'2024'!G51</f>
        <v>1654296.2599999998</v>
      </c>
      <c r="L51" s="271">
        <f t="shared" si="7"/>
        <v>-603935.42999999993</v>
      </c>
      <c r="M51" s="478">
        <f t="shared" si="2"/>
        <v>-0.36507090332175451</v>
      </c>
      <c r="N51" s="295">
        <f>'2025'!S51</f>
        <v>1050360.8299999998</v>
      </c>
      <c r="O51" s="295">
        <f>'2025'!G127</f>
        <v>2082188.6500000046</v>
      </c>
      <c r="P51" s="265">
        <f>N51-O51</f>
        <v>-1031827.8200000047</v>
      </c>
      <c r="Q51" s="269">
        <f t="shared" si="3"/>
        <v>-0.49554963235439908</v>
      </c>
      <c r="R51" s="295">
        <f>'2024'!G51</f>
        <v>1654296.2599999998</v>
      </c>
      <c r="S51" s="271">
        <f>+N51-R51</f>
        <v>-603935.42999999993</v>
      </c>
      <c r="T51" s="478">
        <f t="shared" si="5"/>
        <v>-0.36507090332175451</v>
      </c>
      <c r="W51" s="470"/>
      <c r="Y51" s="470"/>
    </row>
    <row r="52" spans="1:25" ht="15.75" thickBot="1">
      <c r="A52" s="129">
        <v>1005</v>
      </c>
      <c r="B52" s="584" t="str">
        <f>+VLOOKUP($A52,Master!$D$30:$G$228,4,FALSE)</f>
        <v>Neto povećanje obaveza</v>
      </c>
      <c r="C52" s="585"/>
      <c r="D52" s="585"/>
      <c r="E52" s="585"/>
      <c r="F52" s="585"/>
      <c r="G52" s="148">
        <f>'2025'!S52</f>
        <v>0</v>
      </c>
      <c r="H52" s="148">
        <f>'2025'!G128</f>
        <v>0</v>
      </c>
      <c r="I52" s="265">
        <f>G52-H52</f>
        <v>0</v>
      </c>
      <c r="J52" s="269" t="str">
        <f t="shared" si="1"/>
        <v>...</v>
      </c>
      <c r="K52" s="148">
        <f>'2024'!G52</f>
        <v>0</v>
      </c>
      <c r="L52" s="271">
        <f t="shared" si="7"/>
        <v>0</v>
      </c>
      <c r="M52" s="478" t="str">
        <f t="shared" si="2"/>
        <v>...</v>
      </c>
      <c r="N52" s="148">
        <f>'2025'!S52</f>
        <v>0</v>
      </c>
      <c r="O52" s="148">
        <f>'2025'!G128</f>
        <v>0</v>
      </c>
      <c r="P52" s="265">
        <f>N52-O52</f>
        <v>0</v>
      </c>
      <c r="Q52" s="269" t="str">
        <f t="shared" si="3"/>
        <v>...</v>
      </c>
      <c r="R52" s="148">
        <f>'2024'!G52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>'2025'!S53</f>
        <v>1991454.7599999905</v>
      </c>
      <c r="H53" s="136">
        <f>'2025'!G129</f>
        <v>-55295276.370000064</v>
      </c>
      <c r="I53" s="299">
        <f>+G53-H53</f>
        <v>57286731.130000055</v>
      </c>
      <c r="J53" s="270">
        <f t="shared" si="1"/>
        <v>-1.0360149164763093</v>
      </c>
      <c r="K53" s="136">
        <f>'2024'!G53</f>
        <v>13013809.830000013</v>
      </c>
      <c r="L53" s="272">
        <f t="shared" si="7"/>
        <v>-11022355.070000023</v>
      </c>
      <c r="M53" s="479">
        <f t="shared" si="2"/>
        <v>-0.84697373128895737</v>
      </c>
      <c r="N53" s="136">
        <f>'2025'!S53</f>
        <v>1991454.7599999905</v>
      </c>
      <c r="O53" s="136">
        <f>'2025'!G129</f>
        <v>-55295276.370000064</v>
      </c>
      <c r="P53" s="299">
        <f>N53-O53</f>
        <v>57286731.130000055</v>
      </c>
      <c r="Q53" s="270">
        <f t="shared" si="3"/>
        <v>-1.0360149164763093</v>
      </c>
      <c r="R53" s="136">
        <f>'2024'!G53</f>
        <v>13013809.830000013</v>
      </c>
      <c r="S53" s="272">
        <f t="shared" si="4"/>
        <v>-11022355.070000023</v>
      </c>
      <c r="T53" s="479">
        <f t="shared" si="5"/>
        <v>-0.84697373128895737</v>
      </c>
      <c r="W53" s="470"/>
      <c r="Y53" s="470"/>
    </row>
    <row r="54" spans="1:25" ht="15.7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36">
        <f>'2025'!S54</f>
        <v>5780074.3099999912</v>
      </c>
      <c r="H54" s="136">
        <f>'2025'!G130</f>
        <v>-51490042.700000063</v>
      </c>
      <c r="I54" s="191">
        <f t="shared" si="0"/>
        <v>57270117.01000005</v>
      </c>
      <c r="J54" s="193">
        <f t="shared" si="1"/>
        <v>-1.112256156858848</v>
      </c>
      <c r="K54" s="136">
        <f>'2024'!G54</f>
        <v>17043139.300000012</v>
      </c>
      <c r="L54" s="191">
        <f t="shared" si="7"/>
        <v>-11263064.990000021</v>
      </c>
      <c r="M54" s="195">
        <f t="shared" si="2"/>
        <v>-0.66085624201874671</v>
      </c>
      <c r="N54" s="136">
        <f>'2025'!S54</f>
        <v>5780074.3099999912</v>
      </c>
      <c r="O54" s="136">
        <f>'2025'!G130</f>
        <v>-51490042.700000063</v>
      </c>
      <c r="P54" s="191">
        <f t="shared" si="6"/>
        <v>57270117.01000005</v>
      </c>
      <c r="Q54" s="193">
        <f t="shared" si="3"/>
        <v>-1.112256156858848</v>
      </c>
      <c r="R54" s="136">
        <f>'2024'!G54</f>
        <v>17043139.300000012</v>
      </c>
      <c r="S54" s="191">
        <f t="shared" si="4"/>
        <v>-11263064.990000021</v>
      </c>
      <c r="T54" s="195">
        <f t="shared" si="5"/>
        <v>-0.66085624201874671</v>
      </c>
      <c r="W54" s="470"/>
      <c r="Y54" s="470"/>
    </row>
    <row r="55" spans="1:25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460">
        <f>'2025'!S55</f>
        <v>34620662.689999998</v>
      </c>
      <c r="H55" s="460">
        <f>'2025'!G131</f>
        <v>34629783.640000001</v>
      </c>
      <c r="I55" s="461">
        <f t="shared" si="0"/>
        <v>-9120.9500000029802</v>
      </c>
      <c r="J55" s="462">
        <f t="shared" si="1"/>
        <v>-2.6338455055974208E-4</v>
      </c>
      <c r="K55" s="460">
        <f>'2024'!G55</f>
        <v>34807942.190000005</v>
      </c>
      <c r="L55" s="461">
        <f t="shared" si="7"/>
        <v>-187279.50000000745</v>
      </c>
      <c r="M55" s="480">
        <f t="shared" si="2"/>
        <v>-5.3803668995351384E-3</v>
      </c>
      <c r="N55" s="460">
        <f>'2025'!S55</f>
        <v>34620662.689999998</v>
      </c>
      <c r="O55" s="460">
        <f>'2025'!G131</f>
        <v>34629783.640000001</v>
      </c>
      <c r="P55" s="461">
        <f t="shared" si="6"/>
        <v>-9120.9500000029802</v>
      </c>
      <c r="Q55" s="462">
        <f t="shared" si="3"/>
        <v>-2.6338455055974208E-4</v>
      </c>
      <c r="R55" s="460">
        <f>'2024'!G55</f>
        <v>34807942.190000005</v>
      </c>
      <c r="S55" s="461">
        <f t="shared" si="4"/>
        <v>-187279.50000000745</v>
      </c>
      <c r="T55" s="480">
        <f t="shared" si="5"/>
        <v>-5.3803668995351384E-3</v>
      </c>
      <c r="W55" s="470"/>
      <c r="Y55" s="470"/>
    </row>
    <row r="56" spans="1:25">
      <c r="A56" s="129">
        <v>4611</v>
      </c>
      <c r="B56" s="582" t="str">
        <f>+VLOOKUP($A56,Master!$D$30:$G$226,4,FALSE)</f>
        <v>Otplata hartija od vrijednosti i kredita rezidentima</v>
      </c>
      <c r="C56" s="583"/>
      <c r="D56" s="583"/>
      <c r="E56" s="583"/>
      <c r="F56" s="583"/>
      <c r="G56" s="148">
        <f>'2025'!S56</f>
        <v>1984895.29</v>
      </c>
      <c r="H56" s="148">
        <f>'2025'!G132</f>
        <v>1994016.24</v>
      </c>
      <c r="I56" s="197">
        <f t="shared" si="0"/>
        <v>-9120.9499999999534</v>
      </c>
      <c r="J56" s="199">
        <f t="shared" si="1"/>
        <v>-4.5741603388345098E-3</v>
      </c>
      <c r="K56" s="148">
        <f>'2024'!G56</f>
        <v>2494755.4499999997</v>
      </c>
      <c r="L56" s="197">
        <f t="shared" si="7"/>
        <v>-509860.15999999968</v>
      </c>
      <c r="M56" s="201">
        <f t="shared" si="2"/>
        <v>-0.20437280135012825</v>
      </c>
      <c r="N56" s="148">
        <f>'2025'!S56</f>
        <v>1984895.29</v>
      </c>
      <c r="O56" s="148">
        <f>'2025'!G132</f>
        <v>1994016.24</v>
      </c>
      <c r="P56" s="197">
        <f t="shared" si="6"/>
        <v>-9120.9499999999534</v>
      </c>
      <c r="Q56" s="199">
        <f t="shared" si="3"/>
        <v>-4.5741603388345098E-3</v>
      </c>
      <c r="R56" s="148">
        <f>'2024'!G56</f>
        <v>2494755.4499999997</v>
      </c>
      <c r="S56" s="197">
        <f t="shared" si="4"/>
        <v>-509860.15999999968</v>
      </c>
      <c r="T56" s="201">
        <f t="shared" si="5"/>
        <v>-0.20437280135012825</v>
      </c>
      <c r="W56" s="470"/>
      <c r="Y56" s="470"/>
    </row>
    <row r="57" spans="1:25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48">
        <f>'2025'!S57</f>
        <v>32635767.399999999</v>
      </c>
      <c r="H57" s="148">
        <f>'2025'!G133</f>
        <v>32635767.399999999</v>
      </c>
      <c r="I57" s="197">
        <f t="shared" si="0"/>
        <v>0</v>
      </c>
      <c r="J57" s="199">
        <f t="shared" si="1"/>
        <v>0</v>
      </c>
      <c r="K57" s="148">
        <f>'2024'!G57</f>
        <v>32313186.740000002</v>
      </c>
      <c r="L57" s="197">
        <f t="shared" si="7"/>
        <v>322580.65999999642</v>
      </c>
      <c r="M57" s="201">
        <f t="shared" si="2"/>
        <v>9.9829417196006798E-3</v>
      </c>
      <c r="N57" s="148">
        <f>'2025'!S57</f>
        <v>32635767.399999999</v>
      </c>
      <c r="O57" s="148">
        <f>'2025'!G133</f>
        <v>32635767.399999999</v>
      </c>
      <c r="P57" s="197">
        <f t="shared" si="6"/>
        <v>0</v>
      </c>
      <c r="Q57" s="199">
        <f t="shared" si="3"/>
        <v>0</v>
      </c>
      <c r="R57" s="148">
        <f>'2024'!G57</f>
        <v>32313186.740000002</v>
      </c>
      <c r="S57" s="197">
        <f t="shared" si="4"/>
        <v>322580.65999999642</v>
      </c>
      <c r="T57" s="201">
        <f t="shared" si="5"/>
        <v>9.9829417196006798E-3</v>
      </c>
      <c r="W57" s="470"/>
      <c r="Y57" s="470"/>
    </row>
    <row r="58" spans="1:25" ht="15.7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313">
        <f>'2025'!S58</f>
        <v>0</v>
      </c>
      <c r="H58" s="313">
        <f>'2025'!G134</f>
        <v>0</v>
      </c>
      <c r="I58" s="314">
        <f t="shared" ref="I58:I66" si="9">+G58-H58</f>
        <v>0</v>
      </c>
      <c r="J58" s="315" t="str">
        <f t="shared" si="1"/>
        <v>...</v>
      </c>
      <c r="K58" s="313">
        <f>'2024'!G58</f>
        <v>0</v>
      </c>
      <c r="L58" s="314">
        <f t="shared" ref="L58:L66" si="10">+G58-K58</f>
        <v>0</v>
      </c>
      <c r="M58" s="481" t="str">
        <f t="shared" si="2"/>
        <v>...</v>
      </c>
      <c r="N58" s="313">
        <f>'2025'!S58</f>
        <v>0</v>
      </c>
      <c r="O58" s="313">
        <f>'2025'!G134</f>
        <v>0</v>
      </c>
      <c r="P58" s="314">
        <f t="shared" ref="P58:P66" si="11">+N58-O58</f>
        <v>0</v>
      </c>
      <c r="Q58" s="315" t="str">
        <f t="shared" si="3"/>
        <v>...</v>
      </c>
      <c r="R58" s="313">
        <f>'2024'!G58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313">
        <f>'2025'!S59</f>
        <v>0</v>
      </c>
      <c r="H59" s="313">
        <f>'2025'!G135</f>
        <v>0</v>
      </c>
      <c r="I59" s="314">
        <f t="shared" si="9"/>
        <v>0</v>
      </c>
      <c r="J59" s="315" t="str">
        <f t="shared" si="1"/>
        <v>...</v>
      </c>
      <c r="K59" s="313">
        <f>'2024'!G59</f>
        <v>714721.61</v>
      </c>
      <c r="L59" s="314">
        <f t="shared" si="10"/>
        <v>-714721.61</v>
      </c>
      <c r="M59" s="481">
        <f t="shared" si="2"/>
        <v>-1</v>
      </c>
      <c r="N59" s="313">
        <f>'2025'!S59</f>
        <v>0</v>
      </c>
      <c r="O59" s="313">
        <f>'2025'!G135</f>
        <v>0</v>
      </c>
      <c r="P59" s="314">
        <f t="shared" si="11"/>
        <v>0</v>
      </c>
      <c r="Q59" s="315" t="str">
        <f t="shared" si="3"/>
        <v>...</v>
      </c>
      <c r="R59" s="313">
        <f>'2024'!G59</f>
        <v>714721.61</v>
      </c>
      <c r="S59" s="314">
        <f t="shared" si="12"/>
        <v>-714721.61</v>
      </c>
      <c r="T59" s="481">
        <f t="shared" si="5"/>
        <v>-1</v>
      </c>
      <c r="W59" s="470"/>
      <c r="Y59" s="470"/>
    </row>
    <row r="60" spans="1:25" ht="15.7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98">
        <f>'2025'!S60</f>
        <v>-32629207.930000007</v>
      </c>
      <c r="H60" s="298">
        <f>'2025'!G136</f>
        <v>-89925060.010000065</v>
      </c>
      <c r="I60" s="300">
        <f t="shared" si="9"/>
        <v>57295852.080000058</v>
      </c>
      <c r="J60" s="301">
        <f t="shared" si="1"/>
        <v>-0.63715111308937145</v>
      </c>
      <c r="K60" s="298">
        <f>'2024'!G60</f>
        <v>-22508853.969999991</v>
      </c>
      <c r="L60" s="300">
        <f>+G60-K60</f>
        <v>-10120353.960000016</v>
      </c>
      <c r="M60" s="482">
        <f t="shared" si="2"/>
        <v>0.44961658081253342</v>
      </c>
      <c r="N60" s="298">
        <f>'2025'!S60</f>
        <v>-32629207.930000007</v>
      </c>
      <c r="O60" s="298">
        <f>'2025'!G136</f>
        <v>-89925060.010000065</v>
      </c>
      <c r="P60" s="300">
        <f t="shared" si="11"/>
        <v>57295852.080000058</v>
      </c>
      <c r="Q60" s="301">
        <f t="shared" si="3"/>
        <v>-0.63715111308937145</v>
      </c>
      <c r="R60" s="298">
        <f>'2024'!G60</f>
        <v>-22508853.969999991</v>
      </c>
      <c r="S60" s="300">
        <f t="shared" si="12"/>
        <v>-10120353.960000016</v>
      </c>
      <c r="T60" s="482">
        <f t="shared" si="5"/>
        <v>0.44961658081253342</v>
      </c>
      <c r="W60" s="470"/>
      <c r="Y60" s="470"/>
    </row>
    <row r="61" spans="1:25" ht="15.7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'2025'!S61</f>
        <v>32629207.930000007</v>
      </c>
      <c r="H61" s="136">
        <f>'2025'!G137</f>
        <v>89925060.010000065</v>
      </c>
      <c r="I61" s="299">
        <f t="shared" si="9"/>
        <v>-57295852.080000058</v>
      </c>
      <c r="J61" s="302">
        <f t="shared" si="1"/>
        <v>-0.63715111308937145</v>
      </c>
      <c r="K61" s="136">
        <f>'2024'!G61</f>
        <v>22508853.969999991</v>
      </c>
      <c r="L61" s="299">
        <f t="shared" si="10"/>
        <v>10120353.960000016</v>
      </c>
      <c r="M61" s="483">
        <f t="shared" si="2"/>
        <v>0.44961658081253342</v>
      </c>
      <c r="N61" s="136">
        <f>'2025'!S61</f>
        <v>32629207.930000007</v>
      </c>
      <c r="O61" s="136">
        <f>'2025'!G137</f>
        <v>89925060.010000065</v>
      </c>
      <c r="P61" s="300">
        <f t="shared" si="11"/>
        <v>-57295852.080000058</v>
      </c>
      <c r="Q61" s="302">
        <f t="shared" si="3"/>
        <v>-0.63715111308937145</v>
      </c>
      <c r="R61" s="136">
        <f>'2024'!G61</f>
        <v>22508853.969999991</v>
      </c>
      <c r="S61" s="299">
        <f t="shared" si="12"/>
        <v>10120353.960000016</v>
      </c>
      <c r="T61" s="483">
        <f t="shared" si="5"/>
        <v>0.44961658081253342</v>
      </c>
      <c r="W61" s="470"/>
      <c r="Y61" s="470"/>
    </row>
    <row r="62" spans="1:25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148">
        <f>'2025'!S62</f>
        <v>0</v>
      </c>
      <c r="H62" s="148">
        <f>'2025'!G138</f>
        <v>0</v>
      </c>
      <c r="I62" s="197">
        <f t="shared" si="9"/>
        <v>0</v>
      </c>
      <c r="J62" s="199" t="str">
        <f t="shared" si="1"/>
        <v>...</v>
      </c>
      <c r="K62" s="148">
        <f>'2024'!G62</f>
        <v>0</v>
      </c>
      <c r="L62" s="197">
        <f t="shared" si="10"/>
        <v>0</v>
      </c>
      <c r="M62" s="201" t="str">
        <f t="shared" si="2"/>
        <v>...</v>
      </c>
      <c r="N62" s="148">
        <f>'2025'!S62</f>
        <v>0</v>
      </c>
      <c r="O62" s="148">
        <f>'2025'!G138</f>
        <v>0</v>
      </c>
      <c r="P62" s="197">
        <f t="shared" si="11"/>
        <v>0</v>
      </c>
      <c r="Q62" s="199" t="str">
        <f t="shared" si="3"/>
        <v>...</v>
      </c>
      <c r="R62" s="148">
        <f>'2024'!G62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82" t="str">
        <f>+VLOOKUP($A63,Master!$D$30:$G$226,4,FALSE)</f>
        <v>Pozajmice i krediti od inostranih izvora</v>
      </c>
      <c r="C63" s="583"/>
      <c r="D63" s="583"/>
      <c r="E63" s="583"/>
      <c r="F63" s="583"/>
      <c r="G63" s="148">
        <f>'2025'!S63</f>
        <v>0</v>
      </c>
      <c r="H63" s="148">
        <f>'2025'!G139</f>
        <v>0</v>
      </c>
      <c r="I63" s="197">
        <f t="shared" si="9"/>
        <v>0</v>
      </c>
      <c r="J63" s="199" t="str">
        <f t="shared" si="1"/>
        <v>...</v>
      </c>
      <c r="K63" s="148">
        <f>'2024'!G63</f>
        <v>1570614.04</v>
      </c>
      <c r="L63" s="197">
        <f t="shared" si="10"/>
        <v>-1570614.04</v>
      </c>
      <c r="M63" s="201">
        <f t="shared" si="2"/>
        <v>-1</v>
      </c>
      <c r="N63" s="148">
        <f>'2025'!S63</f>
        <v>0</v>
      </c>
      <c r="O63" s="148">
        <f>'2025'!G139</f>
        <v>0</v>
      </c>
      <c r="P63" s="197">
        <f t="shared" si="11"/>
        <v>0</v>
      </c>
      <c r="Q63" s="199" t="str">
        <f t="shared" si="3"/>
        <v>...</v>
      </c>
      <c r="R63" s="148">
        <f>'2024'!G63</f>
        <v>1570614.04</v>
      </c>
      <c r="S63" s="197">
        <f t="shared" si="12"/>
        <v>-1570614.04</v>
      </c>
      <c r="T63" s="201">
        <f t="shared" si="5"/>
        <v>-1</v>
      </c>
      <c r="W63" s="470"/>
      <c r="Y63" s="470"/>
    </row>
    <row r="64" spans="1:25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148">
        <f>'2025'!S64</f>
        <v>106186.26999999999</v>
      </c>
      <c r="H64" s="148">
        <f>'2025'!G140</f>
        <v>500000</v>
      </c>
      <c r="I64" s="197">
        <f t="shared" si="9"/>
        <v>-393813.73</v>
      </c>
      <c r="J64" s="199">
        <f t="shared" si="1"/>
        <v>-0.78762746000000006</v>
      </c>
      <c r="K64" s="148">
        <f>'2024'!G64</f>
        <v>29140.719999999998</v>
      </c>
      <c r="L64" s="197">
        <f t="shared" si="10"/>
        <v>77045.549999999988</v>
      </c>
      <c r="M64" s="201" t="str">
        <f t="shared" si="2"/>
        <v>...</v>
      </c>
      <c r="N64" s="148">
        <f>'2025'!S64</f>
        <v>106186.26999999999</v>
      </c>
      <c r="O64" s="148">
        <f>'2025'!G140</f>
        <v>500000</v>
      </c>
      <c r="P64" s="197">
        <f t="shared" si="11"/>
        <v>-393813.73</v>
      </c>
      <c r="Q64" s="199">
        <f t="shared" si="3"/>
        <v>-0.78762746000000006</v>
      </c>
      <c r="R64" s="148">
        <f>'2024'!G64</f>
        <v>29140.719999999998</v>
      </c>
      <c r="S64" s="197">
        <f t="shared" si="12"/>
        <v>77045.549999999988</v>
      </c>
      <c r="T64" s="201" t="str">
        <f t="shared" si="5"/>
        <v>...</v>
      </c>
      <c r="W64" s="470"/>
      <c r="Y64" s="470"/>
    </row>
    <row r="65" spans="1:25">
      <c r="A65" s="129">
        <v>73</v>
      </c>
      <c r="B65" s="582" t="str">
        <f>+VLOOKUP($A65,Master!$D$30:$G$226,4,FALSE)</f>
        <v>Primici od otplate kredita i sredstva prenesena iz prethodne godine</v>
      </c>
      <c r="C65" s="583"/>
      <c r="D65" s="583"/>
      <c r="E65" s="583"/>
      <c r="F65" s="583"/>
      <c r="G65" s="148">
        <f>'2025'!S65</f>
        <v>77002.020000000019</v>
      </c>
      <c r="H65" s="148">
        <f>'2025'!G141</f>
        <v>81522.336514710114</v>
      </c>
      <c r="I65" s="197">
        <f t="shared" si="9"/>
        <v>-4520.3165147100954</v>
      </c>
      <c r="J65" s="199">
        <f t="shared" si="1"/>
        <v>-5.5448809589681458E-2</v>
      </c>
      <c r="K65" s="148">
        <f>'2024'!G65</f>
        <v>3141945.9600000004</v>
      </c>
      <c r="L65" s="197">
        <f t="shared" si="10"/>
        <v>-3064943.9400000004</v>
      </c>
      <c r="M65" s="201">
        <f t="shared" si="2"/>
        <v>-0.97549225194185074</v>
      </c>
      <c r="N65" s="148">
        <f>'2025'!S65</f>
        <v>77002.020000000019</v>
      </c>
      <c r="O65" s="148">
        <f>'2025'!G141</f>
        <v>81522.336514710114</v>
      </c>
      <c r="P65" s="197">
        <f t="shared" si="11"/>
        <v>-4520.3165147100954</v>
      </c>
      <c r="Q65" s="199">
        <f t="shared" si="3"/>
        <v>-5.5448809589681458E-2</v>
      </c>
      <c r="R65" s="148">
        <f>'2024'!G65</f>
        <v>3141945.9600000004</v>
      </c>
      <c r="S65" s="197">
        <f t="shared" si="12"/>
        <v>-3064943.9400000004</v>
      </c>
      <c r="T65" s="201">
        <f t="shared" si="5"/>
        <v>-0.97549225194185074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32446019.640000008</v>
      </c>
      <c r="H66" s="296">
        <f>'2025'!G142</f>
        <v>89343537.673485354</v>
      </c>
      <c r="I66" s="211">
        <f t="shared" si="9"/>
        <v>-56897518.033485346</v>
      </c>
      <c r="J66" s="213">
        <f t="shared" si="1"/>
        <v>-0.63683977056541974</v>
      </c>
      <c r="K66" s="296">
        <f>'2024'!G66</f>
        <v>17767153.249999993</v>
      </c>
      <c r="L66" s="211">
        <f t="shared" si="10"/>
        <v>14678866.390000015</v>
      </c>
      <c r="M66" s="215">
        <f t="shared" si="2"/>
        <v>0.82617998412323157</v>
      </c>
      <c r="N66" s="296">
        <f>'2025'!S66</f>
        <v>32446019.640000008</v>
      </c>
      <c r="O66" s="296">
        <f>'2025'!G142</f>
        <v>89343537.673485354</v>
      </c>
      <c r="P66" s="211">
        <f t="shared" si="11"/>
        <v>-56897518.033485346</v>
      </c>
      <c r="Q66" s="213">
        <f t="shared" si="3"/>
        <v>-0.63683977056541974</v>
      </c>
      <c r="R66" s="296">
        <f>'2024'!G66</f>
        <v>17767153.249999993</v>
      </c>
      <c r="S66" s="211">
        <f t="shared" si="12"/>
        <v>14678866.390000015</v>
      </c>
      <c r="T66" s="215">
        <f t="shared" si="5"/>
        <v>0.82617998412323157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4V9R688BXhOymvwHvROug1ipUUa4k6yta7g4e2bJsNKpZ7mScHG9K+iKdF8yip8BhV2dSMVIKHxcwJi61f5+gw==" saltValue="grLDWzikhNRjcGsNTSLjZQ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opLeftCell="D1" zoomScale="90" zoomScaleNormal="90" workbookViewId="0">
      <pane ySplit="1" topLeftCell="A2" activePane="bottomLeft" state="frozen"/>
      <selection pane="bottomLeft" activeCell="G8" sqref="G8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2024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7279700000</v>
      </c>
    </row>
    <row r="8" spans="1:24" ht="16.5" customHeight="1">
      <c r="A8" s="129"/>
      <c r="B8" s="594"/>
      <c r="C8" s="595"/>
      <c r="D8" s="595"/>
      <c r="E8" s="595"/>
      <c r="F8" s="596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4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513">
        <f>G11+G19+G24+G25+G26+G27+G28</f>
        <v>150930823.46000001</v>
      </c>
      <c r="H10" s="513">
        <f t="shared" ref="H10:L10" si="2">+H11+H19+SUM(H24:H28)</f>
        <v>180248667.54000002</v>
      </c>
      <c r="I10" s="513">
        <f t="shared" si="2"/>
        <v>244547117.82000002</v>
      </c>
      <c r="J10" s="513">
        <f t="shared" si="2"/>
        <v>317572444.20999998</v>
      </c>
      <c r="K10" s="513">
        <f t="shared" si="2"/>
        <v>195199291.53999999</v>
      </c>
      <c r="L10" s="513">
        <f t="shared" si="2"/>
        <v>222631238.46000001</v>
      </c>
      <c r="M10" s="513">
        <f t="shared" ref="M10:R10" si="3">+M11+M19+SUM(M24:M28)</f>
        <v>263240821.07000005</v>
      </c>
      <c r="N10" s="513">
        <f t="shared" si="3"/>
        <v>254940204.98000002</v>
      </c>
      <c r="O10" s="513">
        <f t="shared" si="3"/>
        <v>247912124.41</v>
      </c>
      <c r="P10" s="513">
        <f t="shared" si="3"/>
        <v>241537495.28</v>
      </c>
      <c r="Q10" s="513">
        <f t="shared" si="3"/>
        <v>178985113.79999998</v>
      </c>
      <c r="R10" s="513">
        <f t="shared" si="3"/>
        <v>257322530.34999999</v>
      </c>
      <c r="S10" s="514">
        <f>+SUM(G10:R10)</f>
        <v>2755067872.9200001</v>
      </c>
      <c r="T10" s="515">
        <f>+S10/$T$7*100</f>
        <v>37.845898497465555</v>
      </c>
      <c r="V10" s="493"/>
    </row>
    <row r="11" spans="1:24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516">
        <f t="shared" ref="G11:I11" si="4">+SUM(G12:G18)</f>
        <v>122011952.05999999</v>
      </c>
      <c r="H11" s="516">
        <f t="shared" si="4"/>
        <v>121308599.17000002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176287449.87000003</v>
      </c>
      <c r="N11" s="516">
        <f t="shared" si="5"/>
        <v>187772027.16000003</v>
      </c>
      <c r="O11" s="516">
        <f t="shared" si="5"/>
        <v>174666714.86000001</v>
      </c>
      <c r="P11" s="516">
        <f t="shared" si="5"/>
        <v>170940704.73000002</v>
      </c>
      <c r="Q11" s="516">
        <f t="shared" si="5"/>
        <v>130980738.95999998</v>
      </c>
      <c r="R11" s="517">
        <f t="shared" si="5"/>
        <v>168637973.13</v>
      </c>
      <c r="S11" s="518">
        <f>+SUM(G11:R11)</f>
        <v>1968599583.2600002</v>
      </c>
      <c r="T11" s="519">
        <f t="shared" ref="T11:T66" si="6">+S11/$T$7*100</f>
        <v>27.042317447971758</v>
      </c>
      <c r="V11" s="276"/>
    </row>
    <row r="12" spans="1:24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499">
        <v>1998079.15</v>
      </c>
      <c r="H12" s="499">
        <v>6162755.9100000001</v>
      </c>
      <c r="I12" s="499">
        <v>6774640.8399999999</v>
      </c>
      <c r="J12" s="499">
        <v>9120679.6699999999</v>
      </c>
      <c r="K12" s="499">
        <v>7999182.8499999996</v>
      </c>
      <c r="L12" s="148">
        <v>5714143.4299999997</v>
      </c>
      <c r="M12" s="148">
        <v>8103849.4699999997</v>
      </c>
      <c r="N12" s="148">
        <v>7506393.2000000002</v>
      </c>
      <c r="O12" s="148">
        <v>6129815.1900000004</v>
      </c>
      <c r="P12" s="148">
        <v>10490866.800000001</v>
      </c>
      <c r="Q12" s="148">
        <v>5042014.29</v>
      </c>
      <c r="R12" s="148">
        <v>13112925.42</v>
      </c>
      <c r="S12" s="227">
        <f>+SUM(G12:R12)</f>
        <v>88155346.220000014</v>
      </c>
      <c r="T12" s="436">
        <f t="shared" si="6"/>
        <v>1.2109749882550107</v>
      </c>
    </row>
    <row r="13" spans="1:24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499">
        <v>1951464.9</v>
      </c>
      <c r="H13" s="499">
        <v>5771727.9400000004</v>
      </c>
      <c r="I13" s="499">
        <v>71210822.510000005</v>
      </c>
      <c r="J13" s="499">
        <v>100269900.84</v>
      </c>
      <c r="K13" s="499">
        <v>6533790.1500000004</v>
      </c>
      <c r="L13" s="148">
        <v>5452063.1399999997</v>
      </c>
      <c r="M13" s="148">
        <v>6399901.1399999997</v>
      </c>
      <c r="N13" s="148">
        <v>3297843.93</v>
      </c>
      <c r="O13" s="148">
        <v>3451625.75</v>
      </c>
      <c r="P13" s="148">
        <v>1559675.82</v>
      </c>
      <c r="Q13" s="148">
        <v>1503515.81</v>
      </c>
      <c r="R13" s="148">
        <v>6565545.0700000003</v>
      </c>
      <c r="S13" s="227">
        <f t="shared" ref="S13:S65" si="7">+SUM(G13:R13)</f>
        <v>213967876.99999997</v>
      </c>
      <c r="T13" s="436">
        <f t="shared" si="6"/>
        <v>2.9392403121007731</v>
      </c>
      <c r="V13" s="276"/>
      <c r="W13" s="276"/>
      <c r="X13" s="494"/>
    </row>
    <row r="14" spans="1:24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499">
        <v>91572726.909999996</v>
      </c>
      <c r="H15" s="499">
        <v>81980319.980000004</v>
      </c>
      <c r="I15" s="499">
        <v>78800496.590000004</v>
      </c>
      <c r="J15" s="499">
        <v>94537941.620000005</v>
      </c>
      <c r="K15" s="499">
        <v>88184792.75</v>
      </c>
      <c r="L15" s="148">
        <v>100885481.09</v>
      </c>
      <c r="M15" s="148">
        <v>119418214.70999999</v>
      </c>
      <c r="N15" s="148">
        <v>126480010.05</v>
      </c>
      <c r="O15" s="148">
        <v>119699878.62</v>
      </c>
      <c r="P15" s="148">
        <v>118929652.58</v>
      </c>
      <c r="Q15" s="148">
        <v>90529869.280000001</v>
      </c>
      <c r="R15" s="148">
        <v>111577546.98999999</v>
      </c>
      <c r="S15" s="227">
        <f t="shared" si="7"/>
        <v>1222596931.1700001</v>
      </c>
      <c r="T15" s="436">
        <f t="shared" si="6"/>
        <v>16.794605975108865</v>
      </c>
      <c r="V15" s="276"/>
      <c r="W15" s="276"/>
      <c r="X15" s="494"/>
    </row>
    <row r="16" spans="1:24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499">
        <v>22556344.960000001</v>
      </c>
      <c r="H16" s="499">
        <v>22366846.550000001</v>
      </c>
      <c r="I16" s="499">
        <v>21994790.370000001</v>
      </c>
      <c r="J16" s="499">
        <v>26932676.210000001</v>
      </c>
      <c r="K16" s="499">
        <v>31723753.75</v>
      </c>
      <c r="L16" s="148">
        <v>34644163.43</v>
      </c>
      <c r="M16" s="148">
        <v>34841981.670000002</v>
      </c>
      <c r="N16" s="148">
        <v>43213446.43</v>
      </c>
      <c r="O16" s="148">
        <v>38641287.920000002</v>
      </c>
      <c r="P16" s="148">
        <v>33032024.920000002</v>
      </c>
      <c r="Q16" s="148">
        <v>28020758.82</v>
      </c>
      <c r="R16" s="148">
        <v>30621579.68</v>
      </c>
      <c r="S16" s="227">
        <f t="shared" si="7"/>
        <v>368589654.71000004</v>
      </c>
      <c r="T16" s="436">
        <f t="shared" si="6"/>
        <v>5.0632533581054169</v>
      </c>
      <c r="V16" s="276"/>
      <c r="W16" s="276"/>
      <c r="X16" s="494"/>
    </row>
    <row r="17" spans="1:24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499">
        <v>2997811.11</v>
      </c>
      <c r="H17" s="499">
        <v>3849203.28</v>
      </c>
      <c r="I17" s="499">
        <v>4636318.09</v>
      </c>
      <c r="J17" s="499">
        <v>5632584.1600000001</v>
      </c>
      <c r="K17" s="499">
        <v>5010618.79</v>
      </c>
      <c r="L17" s="148">
        <v>5120393.08</v>
      </c>
      <c r="M17" s="148">
        <v>6113583.7999999998</v>
      </c>
      <c r="N17" s="148">
        <v>5829872.2699999996</v>
      </c>
      <c r="O17" s="148">
        <v>5498962.25</v>
      </c>
      <c r="P17" s="148">
        <v>5536331.3300000001</v>
      </c>
      <c r="Q17" s="148">
        <v>4591287.2699999996</v>
      </c>
      <c r="R17" s="148">
        <v>5559914.0899999999</v>
      </c>
      <c r="S17" s="227">
        <f t="shared" si="7"/>
        <v>60376879.519999996</v>
      </c>
      <c r="T17" s="436">
        <f t="shared" si="6"/>
        <v>0.82938691869170433</v>
      </c>
      <c r="V17" s="276"/>
      <c r="W17" s="276"/>
      <c r="X17" s="494"/>
    </row>
    <row r="18" spans="1:24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499">
        <v>935525.03</v>
      </c>
      <c r="H18" s="499">
        <v>1177745.51</v>
      </c>
      <c r="I18" s="499">
        <v>1140306.55</v>
      </c>
      <c r="J18" s="499">
        <v>1213350.5</v>
      </c>
      <c r="K18" s="499">
        <v>1273370.29</v>
      </c>
      <c r="L18" s="148">
        <v>1187162.6200000001</v>
      </c>
      <c r="M18" s="148">
        <v>1409919.08</v>
      </c>
      <c r="N18" s="148">
        <v>1444461.28</v>
      </c>
      <c r="O18" s="148">
        <v>1245145.1299999999</v>
      </c>
      <c r="P18" s="148">
        <v>1392153.28</v>
      </c>
      <c r="Q18" s="148">
        <v>1293293.49</v>
      </c>
      <c r="R18" s="148">
        <v>1200461.8799999999</v>
      </c>
      <c r="S18" s="227">
        <f t="shared" si="7"/>
        <v>14912894.639999997</v>
      </c>
      <c r="T18" s="436">
        <f t="shared" si="6"/>
        <v>0.204855895709988</v>
      </c>
      <c r="V18" s="276"/>
      <c r="W18" s="276"/>
      <c r="X18" s="494"/>
    </row>
    <row r="19" spans="1:24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520">
        <f t="shared" ref="G19" si="8">SUM(G20:G23)</f>
        <v>13548213.42</v>
      </c>
      <c r="H19" s="520">
        <f t="shared" ref="H19:L19" si="9">SUM(H20:H23)</f>
        <v>51209301.960000001</v>
      </c>
      <c r="I19" s="520">
        <f t="shared" si="9"/>
        <v>50079162.990000002</v>
      </c>
      <c r="J19" s="520">
        <f t="shared" si="9"/>
        <v>58312079.649999999</v>
      </c>
      <c r="K19" s="520">
        <f t="shared" si="9"/>
        <v>44239433.410000004</v>
      </c>
      <c r="L19" s="520">
        <f t="shared" si="9"/>
        <v>48567223.640000001</v>
      </c>
      <c r="M19" s="520">
        <f t="shared" ref="M19:R19" si="10">SUM(M20:M23)</f>
        <v>55016979.530000001</v>
      </c>
      <c r="N19" s="520">
        <f t="shared" si="10"/>
        <v>54498567.900000006</v>
      </c>
      <c r="O19" s="520">
        <f t="shared" si="10"/>
        <v>54697462.289999999</v>
      </c>
      <c r="P19" s="520">
        <f t="shared" si="10"/>
        <v>54762650.329999998</v>
      </c>
      <c r="Q19" s="520">
        <f t="shared" si="10"/>
        <v>37399955.219999999</v>
      </c>
      <c r="R19" s="520">
        <f t="shared" si="10"/>
        <v>62375513.169999994</v>
      </c>
      <c r="S19" s="521">
        <f t="shared" si="7"/>
        <v>584706543.50999999</v>
      </c>
      <c r="T19" s="522">
        <f t="shared" si="6"/>
        <v>8.0320142795719605</v>
      </c>
      <c r="V19" s="276"/>
      <c r="W19" s="276"/>
      <c r="X19" s="494"/>
    </row>
    <row r="20" spans="1:24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499">
        <v>12277377.310000001</v>
      </c>
      <c r="H20" s="499">
        <v>47091163.350000001</v>
      </c>
      <c r="I20" s="499">
        <v>45892077.740000002</v>
      </c>
      <c r="J20" s="499">
        <v>53612426.219999999</v>
      </c>
      <c r="K20" s="499">
        <v>40659761.590000004</v>
      </c>
      <c r="L20" s="148">
        <v>44568700.899999999</v>
      </c>
      <c r="M20" s="148">
        <v>50382564.299999997</v>
      </c>
      <c r="N20" s="148">
        <v>49830258.149999999</v>
      </c>
      <c r="O20" s="148">
        <v>50178879.670000002</v>
      </c>
      <c r="P20" s="148">
        <v>50008955.340000004</v>
      </c>
      <c r="Q20" s="148">
        <v>33816105.539999999</v>
      </c>
      <c r="R20" s="148">
        <v>54430290.539999999</v>
      </c>
      <c r="S20" s="227">
        <f>+SUM(G20:R20)</f>
        <v>532748560.6500001</v>
      </c>
      <c r="T20" s="436">
        <f t="shared" si="6"/>
        <v>7.3182763115238272</v>
      </c>
      <c r="V20" s="276"/>
      <c r="W20" s="276"/>
      <c r="X20" s="494"/>
    </row>
    <row r="21" spans="1:24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499">
        <v>307850.36</v>
      </c>
      <c r="H21" s="499">
        <v>382153.8</v>
      </c>
      <c r="I21" s="499">
        <v>494660.43</v>
      </c>
      <c r="J21" s="499">
        <v>456232.43</v>
      </c>
      <c r="K21" s="499">
        <v>296984.02</v>
      </c>
      <c r="L21" s="148">
        <v>372046.09</v>
      </c>
      <c r="M21" s="148">
        <v>516613.79</v>
      </c>
      <c r="N21" s="148">
        <v>463962.06</v>
      </c>
      <c r="O21" s="148">
        <v>380875.64</v>
      </c>
      <c r="P21" s="148">
        <v>631287.55000000005</v>
      </c>
      <c r="Q21" s="148">
        <v>382115.57</v>
      </c>
      <c r="R21" s="148">
        <v>739249.91</v>
      </c>
      <c r="S21" s="227">
        <f t="shared" si="7"/>
        <v>5424031.6500000004</v>
      </c>
      <c r="T21" s="436">
        <f t="shared" si="6"/>
        <v>7.4508999684052918E-2</v>
      </c>
      <c r="V21" s="276"/>
      <c r="W21" s="276"/>
      <c r="X21" s="494"/>
    </row>
    <row r="22" spans="1:24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499">
        <v>569229.31000000006</v>
      </c>
      <c r="H22" s="499">
        <v>2203988.56</v>
      </c>
      <c r="I22" s="499">
        <v>2137007.6800000002</v>
      </c>
      <c r="J22" s="499">
        <v>2464722.08</v>
      </c>
      <c r="K22" s="499">
        <v>1910648.69</v>
      </c>
      <c r="L22" s="148">
        <v>2095564.37</v>
      </c>
      <c r="M22" s="148">
        <v>2381944.41</v>
      </c>
      <c r="N22" s="148">
        <v>2401758.41</v>
      </c>
      <c r="O22" s="148">
        <v>2372941.4300000002</v>
      </c>
      <c r="P22" s="148">
        <v>2360830.64</v>
      </c>
      <c r="Q22" s="148">
        <v>1848685.14</v>
      </c>
      <c r="R22" s="148">
        <v>4213340.57</v>
      </c>
      <c r="S22" s="227">
        <f t="shared" si="7"/>
        <v>26960661.290000003</v>
      </c>
      <c r="T22" s="436">
        <f t="shared" si="6"/>
        <v>0.37035401582482796</v>
      </c>
    </row>
    <row r="23" spans="1:24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499">
        <v>393756.44</v>
      </c>
      <c r="H23" s="499">
        <v>1531996.25</v>
      </c>
      <c r="I23" s="499">
        <v>1555417.14</v>
      </c>
      <c r="J23" s="499">
        <v>1778698.92</v>
      </c>
      <c r="K23" s="499">
        <v>1372039.11</v>
      </c>
      <c r="L23" s="148">
        <v>1530912.28</v>
      </c>
      <c r="M23" s="148">
        <v>1735857.03</v>
      </c>
      <c r="N23" s="148">
        <v>1802589.28</v>
      </c>
      <c r="O23" s="148">
        <v>1764765.55</v>
      </c>
      <c r="P23" s="148">
        <v>1761576.8</v>
      </c>
      <c r="Q23" s="148">
        <v>1353048.97</v>
      </c>
      <c r="R23" s="148">
        <v>2992632.15</v>
      </c>
      <c r="S23" s="227">
        <f t="shared" si="7"/>
        <v>19573289.920000002</v>
      </c>
      <c r="T23" s="436">
        <f t="shared" si="6"/>
        <v>0.26887495253925303</v>
      </c>
      <c r="V23" s="495"/>
      <c r="W23" s="495"/>
      <c r="X23" s="494"/>
    </row>
    <row r="24" spans="1:24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859681.09</v>
      </c>
      <c r="H24" s="160">
        <v>998586.78</v>
      </c>
      <c r="I24" s="160">
        <v>986568.83000000007</v>
      </c>
      <c r="J24" s="160">
        <v>1424375.7499999998</v>
      </c>
      <c r="K24" s="160">
        <v>1250720.22</v>
      </c>
      <c r="L24" s="523">
        <v>1305037.74</v>
      </c>
      <c r="M24" s="523">
        <v>1842088.0599999998</v>
      </c>
      <c r="N24" s="523">
        <v>1839749.14</v>
      </c>
      <c r="O24" s="523">
        <v>1512960.99</v>
      </c>
      <c r="P24" s="523">
        <v>1483761.4700000002</v>
      </c>
      <c r="Q24" s="523">
        <v>1124852.74</v>
      </c>
      <c r="R24" s="523">
        <v>1603542.58</v>
      </c>
      <c r="S24" s="521">
        <f t="shared" si="7"/>
        <v>16231925.390000002</v>
      </c>
      <c r="T24" s="522">
        <f t="shared" si="6"/>
        <v>0.22297519664271881</v>
      </c>
    </row>
    <row r="25" spans="1:24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2491580.6799999997</v>
      </c>
      <c r="H25" s="160">
        <v>4111753.23</v>
      </c>
      <c r="I25" s="160">
        <v>3497306.59</v>
      </c>
      <c r="J25" s="160">
        <v>5307671.18</v>
      </c>
      <c r="K25" s="160">
        <v>3457943.4</v>
      </c>
      <c r="L25" s="523">
        <v>4104367.62</v>
      </c>
      <c r="M25" s="523">
        <v>6739444.4199999999</v>
      </c>
      <c r="N25" s="523">
        <v>3916013.25</v>
      </c>
      <c r="O25" s="523">
        <v>4184422.2199999997</v>
      </c>
      <c r="P25" s="523">
        <v>5561939.7699999996</v>
      </c>
      <c r="Q25" s="523">
        <v>4081588.3299999991</v>
      </c>
      <c r="R25" s="523">
        <v>5674135.9900000002</v>
      </c>
      <c r="S25" s="521">
        <f t="shared" si="7"/>
        <v>53128166.68</v>
      </c>
      <c r="T25" s="522">
        <f t="shared" si="6"/>
        <v>0.72981258403505644</v>
      </c>
    </row>
    <row r="26" spans="1:24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7787071.8500000006</v>
      </c>
      <c r="H26" s="160">
        <v>2506490.67</v>
      </c>
      <c r="I26" s="160">
        <v>2145824.85</v>
      </c>
      <c r="J26" s="160">
        <v>12834932.449999999</v>
      </c>
      <c r="K26" s="160">
        <v>3927502.05</v>
      </c>
      <c r="L26" s="523">
        <v>13138607.77</v>
      </c>
      <c r="M26" s="523">
        <v>20193025.280000001</v>
      </c>
      <c r="N26" s="523">
        <v>3567908.3099999996</v>
      </c>
      <c r="O26" s="523">
        <v>9668557.370000001</v>
      </c>
      <c r="P26" s="523">
        <v>3219272.99</v>
      </c>
      <c r="Q26" s="523">
        <v>2043908.05</v>
      </c>
      <c r="R26" s="523">
        <v>10514044.74</v>
      </c>
      <c r="S26" s="521">
        <f t="shared" si="7"/>
        <v>91547146.379999995</v>
      </c>
      <c r="T26" s="522">
        <f t="shared" si="6"/>
        <v>1.2575675698174373</v>
      </c>
    </row>
    <row r="27" spans="1:24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66" t="str">
        <f>+VLOOKUP($A28,Master!$D$30:$G$226,4,FALSE)</f>
        <v>Donacije i transferi</v>
      </c>
      <c r="C28" s="567"/>
      <c r="D28" s="567"/>
      <c r="E28" s="567"/>
      <c r="F28" s="567"/>
      <c r="G28" s="160">
        <v>4232324.3600000003</v>
      </c>
      <c r="H28" s="160">
        <v>113935.73</v>
      </c>
      <c r="I28" s="160">
        <v>3280879.61</v>
      </c>
      <c r="J28" s="160">
        <v>1986252.18</v>
      </c>
      <c r="K28" s="160">
        <v>1598183.88</v>
      </c>
      <c r="L28" s="523">
        <v>2512594.9</v>
      </c>
      <c r="M28" s="523">
        <v>3161833.91</v>
      </c>
      <c r="N28" s="523">
        <v>3345939.22</v>
      </c>
      <c r="O28" s="523">
        <v>3182006.68</v>
      </c>
      <c r="P28" s="523">
        <v>5569165.9900000002</v>
      </c>
      <c r="Q28" s="523">
        <v>3354070.5</v>
      </c>
      <c r="R28" s="523">
        <v>8517320.7400000002</v>
      </c>
      <c r="S28" s="521">
        <f t="shared" si="7"/>
        <v>40854507.700000003</v>
      </c>
      <c r="T28" s="524">
        <f t="shared" si="6"/>
        <v>0.56121141942662478</v>
      </c>
    </row>
    <row r="29" spans="1:24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137917013.63</v>
      </c>
      <c r="H29" s="136">
        <f t="shared" ref="H29:L29" si="11">+H30+H40+H46+SUM(H47:H51)</f>
        <v>214357140.56999999</v>
      </c>
      <c r="I29" s="136">
        <f t="shared" si="11"/>
        <v>231119506.67999998</v>
      </c>
      <c r="J29" s="136">
        <f t="shared" si="11"/>
        <v>258880577.03999999</v>
      </c>
      <c r="K29" s="136">
        <f t="shared" si="11"/>
        <v>214022176.51000005</v>
      </c>
      <c r="L29" s="136">
        <f t="shared" si="11"/>
        <v>224344749.5</v>
      </c>
      <c r="M29" s="136">
        <f t="shared" ref="M29:R29" si="12">+M30+M40+M46+SUM(M47:M51)</f>
        <v>248903594.07999998</v>
      </c>
      <c r="N29" s="136">
        <f t="shared" si="12"/>
        <v>204255101.17999998</v>
      </c>
      <c r="O29" s="136">
        <f t="shared" si="12"/>
        <v>254448666.02999997</v>
      </c>
      <c r="P29" s="136">
        <f t="shared" si="12"/>
        <v>253534655.30999997</v>
      </c>
      <c r="Q29" s="136">
        <f t="shared" si="12"/>
        <v>255617995.34999996</v>
      </c>
      <c r="R29" s="136">
        <f t="shared" si="12"/>
        <v>488587091.8499999</v>
      </c>
      <c r="S29" s="525">
        <f t="shared" si="7"/>
        <v>2985988267.73</v>
      </c>
      <c r="T29" s="526">
        <f t="shared" si="6"/>
        <v>41.018012661648143</v>
      </c>
    </row>
    <row r="30" spans="1:24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" si="13">+SUM(G31:G39)</f>
        <v>61605376.840000004</v>
      </c>
      <c r="H30" s="172">
        <f t="shared" ref="H30:L30" si="14">+SUM(H31:H39)</f>
        <v>82044417.609999955</v>
      </c>
      <c r="I30" s="172">
        <f t="shared" si="14"/>
        <v>89984626.639999986</v>
      </c>
      <c r="J30" s="172">
        <f t="shared" si="14"/>
        <v>107677052.5</v>
      </c>
      <c r="K30" s="172">
        <f t="shared" si="14"/>
        <v>86442364.25000003</v>
      </c>
      <c r="L30" s="172">
        <f t="shared" si="14"/>
        <v>85962545.140000015</v>
      </c>
      <c r="M30" s="172">
        <f t="shared" ref="M30:R30" si="15">+SUM(M31:M39)</f>
        <v>88279555.040000021</v>
      </c>
      <c r="N30" s="172">
        <f t="shared" si="15"/>
        <v>78695582.790000007</v>
      </c>
      <c r="O30" s="172">
        <f t="shared" si="15"/>
        <v>109956476.82000002</v>
      </c>
      <c r="P30" s="172">
        <f t="shared" si="15"/>
        <v>104929268.66</v>
      </c>
      <c r="Q30" s="172">
        <f t="shared" si="15"/>
        <v>106663151.85999998</v>
      </c>
      <c r="R30" s="231">
        <f t="shared" si="15"/>
        <v>190222864.52999994</v>
      </c>
      <c r="S30" s="527">
        <f t="shared" si="7"/>
        <v>1192463282.6799998</v>
      </c>
      <c r="T30" s="519">
        <f t="shared" si="6"/>
        <v>16.380665174114313</v>
      </c>
      <c r="U30" s="472"/>
    </row>
    <row r="31" spans="1:24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499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59775787.140000023</v>
      </c>
      <c r="L31" s="499">
        <v>56818382.910000011</v>
      </c>
      <c r="M31" s="499">
        <v>56266659.160000019</v>
      </c>
      <c r="N31" s="499">
        <v>55237690.129999988</v>
      </c>
      <c r="O31" s="499">
        <v>57435269.210000031</v>
      </c>
      <c r="P31" s="499">
        <v>57178613.530000001</v>
      </c>
      <c r="Q31" s="499">
        <v>56317280.460000001</v>
      </c>
      <c r="R31" s="148">
        <v>57788253.059999973</v>
      </c>
      <c r="S31" s="227">
        <f t="shared" si="7"/>
        <v>675262883.24000013</v>
      </c>
      <c r="T31" s="436">
        <f t="shared" si="6"/>
        <v>9.2759713070593577</v>
      </c>
      <c r="U31" s="472"/>
    </row>
    <row r="32" spans="1:24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499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499">
        <v>1609176.6600000001</v>
      </c>
      <c r="M32" s="499">
        <v>1737204.9199999995</v>
      </c>
      <c r="N32" s="499">
        <v>1253291.9899999995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20705381.390000001</v>
      </c>
      <c r="T32" s="436">
        <f t="shared" si="6"/>
        <v>0.2844263003969944</v>
      </c>
      <c r="U32" s="472"/>
      <c r="V32" s="275"/>
    </row>
    <row r="33" spans="1:24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499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499">
        <v>2355582.7499999995</v>
      </c>
      <c r="M33" s="499">
        <v>3351257.3600000003</v>
      </c>
      <c r="N33" s="499">
        <v>1740999.7799999998</v>
      </c>
      <c r="O33" s="499">
        <v>4493526.6500000013</v>
      </c>
      <c r="P33" s="499">
        <v>3461755.82</v>
      </c>
      <c r="Q33" s="499">
        <v>3009530.58</v>
      </c>
      <c r="R33" s="148">
        <v>9296726.089999998</v>
      </c>
      <c r="S33" s="227">
        <f t="shared" si="7"/>
        <v>40158186.759999998</v>
      </c>
      <c r="T33" s="436">
        <f t="shared" si="6"/>
        <v>0.55164617717763087</v>
      </c>
      <c r="U33" s="472"/>
    </row>
    <row r="34" spans="1:24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499">
        <v>768611.57000000007</v>
      </c>
      <c r="H34" s="499">
        <v>3306116.05</v>
      </c>
      <c r="I34" s="499">
        <v>6882103.8800000008</v>
      </c>
      <c r="J34" s="499">
        <v>6038423.1499999994</v>
      </c>
      <c r="K34" s="499">
        <v>4178033.2299999995</v>
      </c>
      <c r="L34" s="499">
        <v>5578834.5299999984</v>
      </c>
      <c r="M34" s="499">
        <v>6879280.6200000001</v>
      </c>
      <c r="N34" s="499">
        <v>3798717.7099999995</v>
      </c>
      <c r="O34" s="499">
        <v>4392465.6800000006</v>
      </c>
      <c r="P34" s="499">
        <v>7255308.7199999997</v>
      </c>
      <c r="Q34" s="499">
        <v>8218317.4400000013</v>
      </c>
      <c r="R34" s="148">
        <v>24152775.589999996</v>
      </c>
      <c r="S34" s="227">
        <f t="shared" si="7"/>
        <v>81448988.169999987</v>
      </c>
      <c r="T34" s="436">
        <f t="shared" si="6"/>
        <v>1.1188508890476254</v>
      </c>
      <c r="U34" s="472"/>
    </row>
    <row r="35" spans="1:24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499">
        <v>4201.5999999999995</v>
      </c>
      <c r="H35" s="499">
        <v>1444596.6199999996</v>
      </c>
      <c r="I35" s="499">
        <v>1881519.3199999998</v>
      </c>
      <c r="J35" s="499">
        <v>3225908.9499999997</v>
      </c>
      <c r="K35" s="499">
        <v>504578.94999999995</v>
      </c>
      <c r="L35" s="499">
        <v>3145877.9800000004</v>
      </c>
      <c r="M35" s="499">
        <v>3731629.6500000004</v>
      </c>
      <c r="N35" s="499">
        <v>2811315.1200000006</v>
      </c>
      <c r="O35" s="499">
        <v>4062574.1599999997</v>
      </c>
      <c r="P35" s="499">
        <v>2530485.4200000004</v>
      </c>
      <c r="Q35" s="499">
        <v>2992759.4499999997</v>
      </c>
      <c r="R35" s="148">
        <v>7565106.5099999998</v>
      </c>
      <c r="S35" s="227">
        <f t="shared" si="7"/>
        <v>33900553.730000004</v>
      </c>
      <c r="T35" s="436">
        <f t="shared" si="6"/>
        <v>0.46568613720345631</v>
      </c>
      <c r="U35" s="472"/>
    </row>
    <row r="36" spans="1:24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499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499">
        <v>5854363.290000001</v>
      </c>
      <c r="M36" s="499">
        <v>3738849.7</v>
      </c>
      <c r="N36" s="499">
        <v>3977652.6799999997</v>
      </c>
      <c r="O36" s="499">
        <v>25966444.500000004</v>
      </c>
      <c r="P36" s="499">
        <v>14869850.659999998</v>
      </c>
      <c r="Q36" s="499">
        <v>13088141.829999998</v>
      </c>
      <c r="R36" s="148">
        <v>27216224.940000001</v>
      </c>
      <c r="S36" s="227">
        <f>+SUM(G36:R36)</f>
        <v>149283481.19</v>
      </c>
      <c r="T36" s="436">
        <f t="shared" si="6"/>
        <v>2.0506817752105171</v>
      </c>
      <c r="U36" s="472"/>
      <c r="V36" s="275"/>
    </row>
    <row r="37" spans="1:24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996164.27000000025</v>
      </c>
      <c r="M37" s="499">
        <v>1022257.5800000003</v>
      </c>
      <c r="N37" s="499">
        <v>1097677.0900000001</v>
      </c>
      <c r="O37" s="499">
        <v>582375.03000000014</v>
      </c>
      <c r="P37" s="499">
        <v>871596.95000000019</v>
      </c>
      <c r="Q37" s="499">
        <v>1032976.0700000001</v>
      </c>
      <c r="R37" s="148">
        <v>3915830.2400000012</v>
      </c>
      <c r="S37" s="227">
        <f t="shared" si="7"/>
        <v>13883495.820000004</v>
      </c>
      <c r="T37" s="436">
        <f t="shared" si="6"/>
        <v>0.19071521930848803</v>
      </c>
      <c r="U37" s="472"/>
      <c r="V37" s="275"/>
    </row>
    <row r="38" spans="1:24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499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499">
        <v>5603254.6099999957</v>
      </c>
      <c r="M38" s="499">
        <v>6020163.6199999992</v>
      </c>
      <c r="N38" s="499">
        <v>5377628.4600000018</v>
      </c>
      <c r="O38" s="499">
        <v>8420721.0699999966</v>
      </c>
      <c r="P38" s="499">
        <v>11936637.319999991</v>
      </c>
      <c r="Q38" s="499">
        <v>14006807.799999999</v>
      </c>
      <c r="R38" s="148">
        <v>17955567.600000001</v>
      </c>
      <c r="S38" s="227">
        <f t="shared" si="7"/>
        <v>88788160.519999951</v>
      </c>
      <c r="T38" s="436">
        <f t="shared" si="6"/>
        <v>1.2196678505982383</v>
      </c>
      <c r="U38" s="472"/>
    </row>
    <row r="39" spans="1:24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499">
        <v>98363.42</v>
      </c>
      <c r="H39" s="499">
        <v>7565592.3899999987</v>
      </c>
      <c r="I39" s="499">
        <v>5572488.7899999991</v>
      </c>
      <c r="J39" s="499">
        <v>4456229.17</v>
      </c>
      <c r="K39" s="499">
        <v>5359004.28</v>
      </c>
      <c r="L39" s="499">
        <v>4000908.1399999997</v>
      </c>
      <c r="M39" s="499">
        <v>5532252.4299999997</v>
      </c>
      <c r="N39" s="499">
        <v>3400609.830000001</v>
      </c>
      <c r="O39" s="499">
        <v>3066230.8499999996</v>
      </c>
      <c r="P39" s="499">
        <v>4835198.42</v>
      </c>
      <c r="Q39" s="499">
        <v>6182265.3500000006</v>
      </c>
      <c r="R39" s="148">
        <v>38963008.789999999</v>
      </c>
      <c r="S39" s="227">
        <f t="shared" si="7"/>
        <v>89032151.859999999</v>
      </c>
      <c r="T39" s="436">
        <f t="shared" si="6"/>
        <v>1.22301951811201</v>
      </c>
      <c r="U39" s="472"/>
      <c r="V39" s="275"/>
    </row>
    <row r="40" spans="1:24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88657241.409999952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86739794.689999983</v>
      </c>
      <c r="Q40" s="178">
        <f t="shared" si="17"/>
        <v>88251296.139999986</v>
      </c>
      <c r="R40" s="178">
        <f t="shared" si="17"/>
        <v>93256353.089999989</v>
      </c>
      <c r="S40" s="528">
        <f t="shared" si="7"/>
        <v>1008229217.2699997</v>
      </c>
      <c r="T40" s="529">
        <f t="shared" si="6"/>
        <v>13.849873171559263</v>
      </c>
      <c r="U40" s="472"/>
    </row>
    <row r="41" spans="1:24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18980290.810000002</v>
      </c>
      <c r="Q41" s="499">
        <v>20373669.920000002</v>
      </c>
      <c r="R41" s="148">
        <v>17695774.5</v>
      </c>
      <c r="S41" s="227">
        <f t="shared" si="7"/>
        <v>213056822.80000001</v>
      </c>
      <c r="T41" s="436">
        <f t="shared" si="6"/>
        <v>2.9267253156036652</v>
      </c>
      <c r="U41" s="472"/>
    </row>
    <row r="42" spans="1:24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0.35738521326428291</v>
      </c>
      <c r="U42" s="472"/>
      <c r="V42" s="275"/>
    </row>
    <row r="43" spans="1:24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61550827.919999957</v>
      </c>
      <c r="N43" s="499">
        <v>62111987.969999999</v>
      </c>
      <c r="O43" s="499">
        <v>62041259.769999973</v>
      </c>
      <c r="P43" s="499">
        <v>62741828.979999974</v>
      </c>
      <c r="Q43" s="499">
        <v>62810408.869999982</v>
      </c>
      <c r="R43" s="148">
        <v>63648277.499999985</v>
      </c>
      <c r="S43" s="227">
        <f t="shared" si="7"/>
        <v>730408864.30999994</v>
      </c>
      <c r="T43" s="436">
        <f t="shared" si="6"/>
        <v>10.03350226396692</v>
      </c>
      <c r="U43" s="472"/>
    </row>
    <row r="44" spans="1:24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499">
        <v>893164.23999999976</v>
      </c>
      <c r="H44" s="499">
        <v>857362.14999999979</v>
      </c>
      <c r="I44" s="499">
        <v>1257824.81</v>
      </c>
      <c r="J44" s="499">
        <v>1233497.5799999998</v>
      </c>
      <c r="K44" s="499">
        <v>1005825.6499999999</v>
      </c>
      <c r="L44" s="499">
        <v>1033640.7399999999</v>
      </c>
      <c r="M44" s="499">
        <v>6613796.0999999996</v>
      </c>
      <c r="N44" s="499">
        <v>1831545.6900000004</v>
      </c>
      <c r="O44" s="499">
        <v>1235670.44</v>
      </c>
      <c r="P44" s="499">
        <v>1750407.2900000003</v>
      </c>
      <c r="Q44" s="499">
        <v>1490076.6400000001</v>
      </c>
      <c r="R44" s="148">
        <v>2910809.95</v>
      </c>
      <c r="S44" s="227">
        <f t="shared" si="7"/>
        <v>22113621.280000001</v>
      </c>
      <c r="T44" s="436">
        <f t="shared" si="6"/>
        <v>0.30377105210379551</v>
      </c>
      <c r="U44" s="472"/>
    </row>
    <row r="45" spans="1:24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499">
        <v>34748.049999999996</v>
      </c>
      <c r="H45" s="499">
        <v>1222905.48</v>
      </c>
      <c r="I45" s="499">
        <v>2373259.1799999997</v>
      </c>
      <c r="J45" s="499">
        <v>1410333.5000000005</v>
      </c>
      <c r="K45" s="499">
        <v>1163295.2799999993</v>
      </c>
      <c r="L45" s="499">
        <v>1245194.8499999996</v>
      </c>
      <c r="M45" s="499">
        <v>1669001.2000000009</v>
      </c>
      <c r="N45" s="499">
        <v>679384.87999999989</v>
      </c>
      <c r="O45" s="499">
        <v>1758483.15</v>
      </c>
      <c r="P45" s="499">
        <v>1449378.3600000006</v>
      </c>
      <c r="Q45" s="499">
        <v>1884503.7700000007</v>
      </c>
      <c r="R45" s="148">
        <v>1742849.8100000003</v>
      </c>
      <c r="S45" s="227">
        <f t="shared" si="7"/>
        <v>16633337.510000005</v>
      </c>
      <c r="T45" s="436">
        <f t="shared" si="6"/>
        <v>0.22848932662060256</v>
      </c>
      <c r="U45" s="472"/>
    </row>
    <row r="46" spans="1:24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3021521.19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33632618.140000008</v>
      </c>
      <c r="M46" s="160">
        <v>42236253.310000002</v>
      </c>
      <c r="N46" s="160">
        <v>25401726.260000002</v>
      </c>
      <c r="O46" s="160">
        <v>33679241.530000001</v>
      </c>
      <c r="P46" s="160">
        <v>30731068.659999993</v>
      </c>
      <c r="Q46" s="160">
        <v>34754428.659999996</v>
      </c>
      <c r="R46" s="160">
        <v>86074511.290000021</v>
      </c>
      <c r="S46" s="521">
        <f t="shared" si="7"/>
        <v>429406210.39000005</v>
      </c>
      <c r="T46" s="522">
        <f t="shared" si="6"/>
        <v>5.8986800333804972</v>
      </c>
      <c r="U46" s="472"/>
    </row>
    <row r="47" spans="1:24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27899068.32</v>
      </c>
      <c r="Q47" s="160">
        <v>24238274.819999997</v>
      </c>
      <c r="R47" s="160">
        <v>91475231.98999998</v>
      </c>
      <c r="S47" s="521">
        <f t="shared" si="7"/>
        <v>280754371.82999992</v>
      </c>
      <c r="T47" s="522">
        <f t="shared" si="6"/>
        <v>3.8566750254818185</v>
      </c>
      <c r="U47" s="472"/>
      <c r="V47" s="275"/>
      <c r="W47" s="292"/>
      <c r="X47" s="292"/>
    </row>
    <row r="48" spans="1:24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3778637.9000000004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0.67048481338516674</v>
      </c>
      <c r="U49" s="472"/>
    </row>
    <row r="50" spans="1:21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8.035176820473372E-2</v>
      </c>
      <c r="U50" s="472"/>
    </row>
    <row r="51" spans="1:21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2277126.5499999989</v>
      </c>
      <c r="N51" s="430">
        <v>644150.00000000012</v>
      </c>
      <c r="O51" s="430">
        <v>1059498.3099999998</v>
      </c>
      <c r="P51" s="430">
        <v>886392.03999999992</v>
      </c>
      <c r="Q51" s="430">
        <v>1087506.1600000001</v>
      </c>
      <c r="R51" s="430">
        <v>2189241.63</v>
      </c>
      <c r="S51" s="398">
        <f>+SUM(G51:R51)</f>
        <v>20476534.929999996</v>
      </c>
      <c r="T51" s="440">
        <f t="shared" si="6"/>
        <v>0.28128267552234287</v>
      </c>
      <c r="U51" s="472"/>
    </row>
    <row r="52" spans="1:21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" si="18">+G10-G29</f>
        <v>13013809.830000013</v>
      </c>
      <c r="H53" s="136">
        <f t="shared" ref="H53:L53" si="19">+H10-H29</f>
        <v>-34108473.029999971</v>
      </c>
      <c r="I53" s="136">
        <f t="shared" si="19"/>
        <v>13427611.140000045</v>
      </c>
      <c r="J53" s="136">
        <f t="shared" si="19"/>
        <v>58691867.169999987</v>
      </c>
      <c r="K53" s="136">
        <f t="shared" si="19"/>
        <v>-18822884.970000058</v>
      </c>
      <c r="L53" s="136">
        <f t="shared" si="19"/>
        <v>-1713511.0399999917</v>
      </c>
      <c r="M53" s="136">
        <f t="shared" ref="M53:R53" si="20">+M10-M29</f>
        <v>14337226.990000069</v>
      </c>
      <c r="N53" s="136">
        <f t="shared" si="20"/>
        <v>50685103.800000042</v>
      </c>
      <c r="O53" s="136">
        <f t="shared" si="20"/>
        <v>-6536541.619999975</v>
      </c>
      <c r="P53" s="136">
        <f t="shared" si="20"/>
        <v>-11997160.029999971</v>
      </c>
      <c r="Q53" s="136">
        <f t="shared" si="20"/>
        <v>-76632881.549999982</v>
      </c>
      <c r="R53" s="136">
        <f t="shared" si="20"/>
        <v>-231264561.49999991</v>
      </c>
      <c r="S53" s="530">
        <f>SUM(G53:R53)</f>
        <v>-230920394.8099997</v>
      </c>
      <c r="T53" s="531">
        <f t="shared" si="6"/>
        <v>-3.1721141641825858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" si="21">+G53+G36</f>
        <v>17043139.300000012</v>
      </c>
      <c r="H54" s="190">
        <f t="shared" ref="H54:L54" si="22">+H53+H36</f>
        <v>-29979281.06999997</v>
      </c>
      <c r="I54" s="190">
        <f t="shared" si="22"/>
        <v>20615459.830000043</v>
      </c>
      <c r="J54" s="190">
        <f t="shared" si="22"/>
        <v>89844724.049999982</v>
      </c>
      <c r="K54" s="190">
        <f t="shared" si="22"/>
        <v>-10750158.380000059</v>
      </c>
      <c r="L54" s="190">
        <f t="shared" si="22"/>
        <v>4140852.2500000093</v>
      </c>
      <c r="M54" s="190">
        <f t="shared" ref="M54:R54" si="23">+M53+M36</f>
        <v>18076076.690000068</v>
      </c>
      <c r="N54" s="190">
        <f t="shared" si="23"/>
        <v>54662756.480000041</v>
      </c>
      <c r="O54" s="190">
        <f t="shared" si="23"/>
        <v>19429902.880000029</v>
      </c>
      <c r="P54" s="190">
        <f t="shared" si="23"/>
        <v>2872690.6300000269</v>
      </c>
      <c r="Q54" s="190">
        <f t="shared" si="23"/>
        <v>-63544739.719999984</v>
      </c>
      <c r="R54" s="190">
        <f t="shared" si="23"/>
        <v>-204048336.55999991</v>
      </c>
      <c r="S54" s="530">
        <f t="shared" si="7"/>
        <v>-81636913.619999692</v>
      </c>
      <c r="T54" s="531">
        <f t="shared" si="6"/>
        <v>-1.1214323889720688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7153919.7600000007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495639249.9600001</v>
      </c>
      <c r="T55" s="533">
        <f t="shared" si="6"/>
        <v>6.8085120260450314</v>
      </c>
    </row>
    <row r="56" spans="1:21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554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9977859.9299999978</v>
      </c>
      <c r="R56" s="196">
        <v>13242556.039999997</v>
      </c>
      <c r="S56" s="235">
        <f t="shared" si="7"/>
        <v>206764325.04000002</v>
      </c>
      <c r="T56" s="444">
        <f t="shared" si="6"/>
        <v>2.8402863447669553</v>
      </c>
    </row>
    <row r="57" spans="1:21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554">
        <v>32313186.740000002</v>
      </c>
      <c r="H57" s="554">
        <v>3787783.5300000007</v>
      </c>
      <c r="I57" s="554">
        <v>36279673.010000005</v>
      </c>
      <c r="J57" s="554">
        <v>21526960.279999997</v>
      </c>
      <c r="K57" s="554">
        <v>29335488.09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4512450.24</v>
      </c>
      <c r="Q57" s="554">
        <v>46829980.980000004</v>
      </c>
      <c r="R57" s="196">
        <v>23391696.940000001</v>
      </c>
      <c r="S57" s="235">
        <f t="shared" si="7"/>
        <v>288874924.92000002</v>
      </c>
      <c r="T57" s="444">
        <f t="shared" si="6"/>
        <v>3.9682256812780752</v>
      </c>
    </row>
    <row r="58" spans="1:21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4.4913436680082977E-2</v>
      </c>
    </row>
    <row r="59" spans="1:21" ht="13.5" thickBot="1">
      <c r="A59" s="135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0</v>
      </c>
      <c r="O59" s="499">
        <v>841263.3</v>
      </c>
      <c r="P59" s="499">
        <v>716355.96</v>
      </c>
      <c r="Q59" s="499">
        <v>341199.15</v>
      </c>
      <c r="R59" s="432">
        <v>1073189.8700000001</v>
      </c>
      <c r="S59" s="532">
        <f>SUM(G59:R59)</f>
        <v>7895734.4800000004</v>
      </c>
      <c r="T59" s="534">
        <f t="shared" si="6"/>
        <v>0.1084623608115719</v>
      </c>
    </row>
    <row r="60" spans="1:21" ht="13.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02">
        <f>+G53-G55-G58-G59</f>
        <v>-22508853.969999991</v>
      </c>
      <c r="H60" s="202">
        <f t="shared" ref="H60:L60" si="27">+H53-H55-H58-H59</f>
        <v>-41361812.239999972</v>
      </c>
      <c r="I60" s="202">
        <f t="shared" si="27"/>
        <v>-48653781.18999996</v>
      </c>
      <c r="J60" s="202">
        <f t="shared" si="27"/>
        <v>-59447143.130000018</v>
      </c>
      <c r="K60" s="202">
        <f t="shared" si="27"/>
        <v>-60179882.650000058</v>
      </c>
      <c r="L60" s="202">
        <f t="shared" si="27"/>
        <v>-53012930.079999991</v>
      </c>
      <c r="M60" s="202">
        <f t="shared" ref="M60" si="28">+M53-M55-M58-M59</f>
        <v>-21136417.299999934</v>
      </c>
      <c r="N60" s="202">
        <f t="shared" ref="N60" si="29">+N53-N55-N58-N59</f>
        <v>43103792.530000038</v>
      </c>
      <c r="O60" s="202">
        <f t="shared" ref="O60" si="30">+O53-O55-O58-O59</f>
        <v>-51903447.959999971</v>
      </c>
      <c r="P60" s="202">
        <f t="shared" ref="P60" si="31">+P53-P55-P58-P59</f>
        <v>-19870540.749999974</v>
      </c>
      <c r="Q60" s="202">
        <f t="shared" ref="Q60" si="32">+Q53-Q55-Q58-Q59</f>
        <v>-133781921.60999998</v>
      </c>
      <c r="R60" s="202">
        <f t="shared" ref="R60:S60" si="33">+R53-R55-R58-R59</f>
        <v>-268972004.3499999</v>
      </c>
      <c r="S60" s="532">
        <f t="shared" si="33"/>
        <v>-737724942.69999981</v>
      </c>
      <c r="T60" s="535">
        <f t="shared" si="6"/>
        <v>-10.134001987719271</v>
      </c>
    </row>
    <row r="61" spans="1:21" ht="13.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+SUM(G62:G66)</f>
        <v>22508853.969999991</v>
      </c>
      <c r="H61" s="136">
        <f t="shared" ref="H61:L61" si="34">+SUM(H62:H66)</f>
        <v>41361812.239999972</v>
      </c>
      <c r="I61" s="136">
        <f t="shared" si="34"/>
        <v>48653781.189999938</v>
      </c>
      <c r="J61" s="136">
        <f t="shared" si="34"/>
        <v>59447143.130000025</v>
      </c>
      <c r="K61" s="136">
        <f t="shared" si="34"/>
        <v>60179882.650000058</v>
      </c>
      <c r="L61" s="136">
        <f t="shared" si="34"/>
        <v>53012930.079999991</v>
      </c>
      <c r="M61" s="136">
        <f t="shared" ref="M61:R61" si="35">+SUM(M62:M66)</f>
        <v>21136417.299999934</v>
      </c>
      <c r="N61" s="136">
        <f t="shared" si="35"/>
        <v>-43103792.530000038</v>
      </c>
      <c r="O61" s="136">
        <f t="shared" si="35"/>
        <v>51903447.959999971</v>
      </c>
      <c r="P61" s="136">
        <f t="shared" si="35"/>
        <v>19870540.749999974</v>
      </c>
      <c r="Q61" s="136">
        <f t="shared" si="35"/>
        <v>133781921.60999998</v>
      </c>
      <c r="R61" s="136">
        <f t="shared" si="35"/>
        <v>268972004.3499999</v>
      </c>
      <c r="S61" s="536">
        <f t="shared" si="7"/>
        <v>737724942.69999981</v>
      </c>
      <c r="T61" s="537">
        <f t="shared" si="6"/>
        <v>10.134001987719271</v>
      </c>
    </row>
    <row r="62" spans="1:21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82" t="str">
        <f>+VLOOKUP($A63,Master!$D$30:$G$226,4,FALSE)</f>
        <v>Pozajmice i krediti od inostranih izvora</v>
      </c>
      <c r="C63" s="583"/>
      <c r="D63" s="583"/>
      <c r="E63" s="583"/>
      <c r="F63" s="583"/>
      <c r="G63" s="554">
        <v>1570614.04</v>
      </c>
      <c r="H63" s="554">
        <v>1779527.23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5323879.3100000005</v>
      </c>
      <c r="N63" s="554">
        <v>98091.86</v>
      </c>
      <c r="O63" s="554">
        <v>4856753.8</v>
      </c>
      <c r="P63" s="554">
        <v>6239384.3199999994</v>
      </c>
      <c r="Q63" s="554">
        <v>10216784.279999999</v>
      </c>
      <c r="R63" s="196">
        <v>3834470.9</v>
      </c>
      <c r="S63" s="235">
        <f t="shared" si="7"/>
        <v>732900074.75999987</v>
      </c>
      <c r="T63" s="444">
        <f t="shared" si="6"/>
        <v>10.067723597950463</v>
      </c>
    </row>
    <row r="64" spans="1:21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3.244054645109002E-2</v>
      </c>
    </row>
    <row r="65" spans="1:20">
      <c r="A65" s="129">
        <v>73</v>
      </c>
      <c r="B65" s="566" t="s">
        <v>101</v>
      </c>
      <c r="C65" s="567"/>
      <c r="D65" s="567"/>
      <c r="E65" s="567"/>
      <c r="F65" s="567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482610.40999999992</v>
      </c>
      <c r="P65" s="160">
        <v>672233.76000000013</v>
      </c>
      <c r="Q65" s="160">
        <v>2331030.3800000004</v>
      </c>
      <c r="R65" s="160">
        <v>2884134.7699999996</v>
      </c>
      <c r="S65" s="228">
        <f t="shared" si="7"/>
        <v>20241376.960000001</v>
      </c>
      <c r="T65" s="437">
        <f t="shared" si="6"/>
        <v>0.27805235050894955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17767153.249999993</v>
      </c>
      <c r="H66" s="210">
        <f t="shared" ref="H66:L66" si="36">-H60-SUM(H62:H65)</f>
        <v>38062643.06999997</v>
      </c>
      <c r="I66" s="210">
        <f t="shared" si="36"/>
        <v>-643416237.55000007</v>
      </c>
      <c r="J66" s="210">
        <f t="shared" si="36"/>
        <v>53604360.51000002</v>
      </c>
      <c r="K66" s="210">
        <f t="shared" si="36"/>
        <v>58158936.530000061</v>
      </c>
      <c r="L66" s="210">
        <f t="shared" si="36"/>
        <v>47366948.649999991</v>
      </c>
      <c r="M66" s="210">
        <f t="shared" ref="M66:S66" si="37">-M60-SUM(M62:M65)</f>
        <v>12385279.359999932</v>
      </c>
      <c r="N66" s="210">
        <f t="shared" si="37"/>
        <v>-43872718.970000036</v>
      </c>
      <c r="O66" s="210">
        <f t="shared" si="37"/>
        <v>46512272.519999973</v>
      </c>
      <c r="P66" s="210">
        <f t="shared" si="37"/>
        <v>12830591.559999974</v>
      </c>
      <c r="Q66" s="210">
        <f t="shared" si="37"/>
        <v>121091237.16999999</v>
      </c>
      <c r="R66" s="210">
        <f t="shared" si="37"/>
        <v>261731450.4199999</v>
      </c>
      <c r="S66" s="238">
        <f t="shared" si="37"/>
        <v>-17778083.480000138</v>
      </c>
      <c r="T66" s="448">
        <f t="shared" si="6"/>
        <v>-0.24421450719123231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8" t="str">
        <f>+Master!G253</f>
        <v>Plan ostvarenja budžeta</v>
      </c>
      <c r="C83" s="639"/>
      <c r="D83" s="639"/>
      <c r="E83" s="639"/>
      <c r="F83" s="639"/>
      <c r="G83" s="646">
        <v>2024</v>
      </c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48"/>
      <c r="S83" s="96" t="str">
        <f>+S7</f>
        <v>BDP</v>
      </c>
      <c r="T83" s="97">
        <v>7279700000</v>
      </c>
    </row>
    <row r="84" spans="1:26" ht="15.75" customHeight="1">
      <c r="B84" s="640"/>
      <c r="C84" s="641"/>
      <c r="D84" s="641"/>
      <c r="E84" s="641"/>
      <c r="F84" s="642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46" t="str">
        <f>+Master!G247</f>
        <v>Jan - Dec</v>
      </c>
      <c r="T84" s="648">
        <f>+T8</f>
        <v>0</v>
      </c>
    </row>
    <row r="85" spans="1:26" ht="13.5" thickBot="1">
      <c r="B85" s="643"/>
      <c r="C85" s="644"/>
      <c r="D85" s="644"/>
      <c r="E85" s="644"/>
      <c r="F85" s="64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12" t="str">
        <f>+VLOOKUP(LEFT($A86,LEN(A86)-1)*1,Master!$D$30:$G$226,4,FALSE)</f>
        <v>Prihodi budžeta</v>
      </c>
      <c r="C86" s="613"/>
      <c r="D86" s="613"/>
      <c r="E86" s="613"/>
      <c r="F86" s="613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6" t="str">
        <f>+VLOOKUP(LEFT($A87,LEN(A87)-1)*1,Master!$D$30:$G$226,4,FALSE)</f>
        <v>Porezi</v>
      </c>
      <c r="C87" s="637"/>
      <c r="D87" s="637"/>
      <c r="E87" s="637"/>
      <c r="F87" s="637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28" t="str">
        <f>+VLOOKUP(LEFT($A88,LEN(A88)-1)*1,Master!$D$30:$G$229,4,FALSE)</f>
        <v>Porez na dohodak fizičkih lica</v>
      </c>
      <c r="C88" s="629"/>
      <c r="D88" s="629"/>
      <c r="E88" s="629"/>
      <c r="F88" s="629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28" t="str">
        <f>+VLOOKUP(LEFT($A89,LEN(A89)-1)*1,Master!$D$30:$G$229,4,FALSE)</f>
        <v>Porez na dobit pravnih lica</v>
      </c>
      <c r="C89" s="629"/>
      <c r="D89" s="629"/>
      <c r="E89" s="629"/>
      <c r="F89" s="629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28" t="str">
        <f>+VLOOKUP(LEFT($A90,LEN(A90)-1)*1,Master!$D$30:$G$229,4,FALSE)</f>
        <v>Porez na promet nepokretnosti</v>
      </c>
      <c r="C90" s="629"/>
      <c r="D90" s="629"/>
      <c r="E90" s="629"/>
      <c r="F90" s="629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8" t="str">
        <f>+VLOOKUP(LEFT($A91,LEN(A91)-1)*1,Master!$D$30:$G$229,4,FALSE)</f>
        <v>Porez na dodatu vrijednost</v>
      </c>
      <c r="C91" s="629"/>
      <c r="D91" s="629"/>
      <c r="E91" s="629"/>
      <c r="F91" s="629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28" t="str">
        <f>+VLOOKUP(LEFT($A92,LEN(A92)-1)*1,Master!$D$30:$G$229,4,FALSE)</f>
        <v>Akcize</v>
      </c>
      <c r="C92" s="629"/>
      <c r="D92" s="629"/>
      <c r="E92" s="629"/>
      <c r="F92" s="629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8" t="str">
        <f>+VLOOKUP(LEFT($A93,LEN(A93)-1)*1,Master!$D$30:$G$229,4,FALSE)</f>
        <v>Porez na međunarodnu trgovinu i transakcije</v>
      </c>
      <c r="C93" s="629"/>
      <c r="D93" s="629"/>
      <c r="E93" s="629"/>
      <c r="F93" s="629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28" t="str">
        <f>+VLOOKUP(LEFT($A94,LEN(A94)-1)*1,Master!$D$30:$G$229,4,FALSE)</f>
        <v>Ostali državni porezi</v>
      </c>
      <c r="C94" s="629"/>
      <c r="D94" s="629"/>
      <c r="E94" s="629"/>
      <c r="F94" s="629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34" t="str">
        <f>+VLOOKUP(LEFT($A95,LEN(A95)-1)*1,Master!$D$30:$G$229,4,FALSE)</f>
        <v>Doprinosi</v>
      </c>
      <c r="C95" s="635"/>
      <c r="D95" s="635"/>
      <c r="E95" s="635"/>
      <c r="F95" s="635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28" t="str">
        <f>+VLOOKUP(LEFT($A96,LEN(A96)-1)*1,Master!$D$30:$G$229,4,FALSE)</f>
        <v>Doprinosi za penzijsko i invalidsko osiguranje</v>
      </c>
      <c r="C96" s="629"/>
      <c r="D96" s="629"/>
      <c r="E96" s="629"/>
      <c r="F96" s="629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28" t="str">
        <f>+VLOOKUP(LEFT($A97,LEN(A97)-1)*1,Master!$D$30:$G$229,4,FALSE)</f>
        <v>Doprinosi za zdravstveno osiguranje</v>
      </c>
      <c r="C97" s="629"/>
      <c r="D97" s="629"/>
      <c r="E97" s="629"/>
      <c r="F97" s="629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28" t="str">
        <f>+VLOOKUP(LEFT($A98,LEN(A98)-1)*1,Master!$D$30:$G$229,4,FALSE)</f>
        <v>Doprinosi za osiguranje od nezaposlenosti</v>
      </c>
      <c r="C98" s="629"/>
      <c r="D98" s="629"/>
      <c r="E98" s="629"/>
      <c r="F98" s="629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28" t="str">
        <f>+VLOOKUP(LEFT($A99,LEN(A99)-1)*1,Master!$D$30:$G$229,4,FALSE)</f>
        <v>Ostali doprinosi</v>
      </c>
      <c r="C99" s="629"/>
      <c r="D99" s="629"/>
      <c r="E99" s="629"/>
      <c r="F99" s="629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34" t="str">
        <f>+VLOOKUP(LEFT($A100,LEN(A100)-1)*1,Master!$D$30:$G$229,4,FALSE)</f>
        <v>Takse</v>
      </c>
      <c r="C100" s="635"/>
      <c r="D100" s="635"/>
      <c r="E100" s="635"/>
      <c r="F100" s="635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34" t="str">
        <f>+VLOOKUP(LEFT($A101,LEN(A101)-1)*1,Master!$D$30:$G$229,4,FALSE)</f>
        <v>Naknade</v>
      </c>
      <c r="C101" s="635"/>
      <c r="D101" s="635"/>
      <c r="E101" s="635"/>
      <c r="F101" s="635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34" t="str">
        <f>+VLOOKUP(LEFT($A102,LEN(A102)-1)*1,Master!$D$30:$G$229,4,FALSE)</f>
        <v>Ostali prihodi</v>
      </c>
      <c r="C102" s="635"/>
      <c r="D102" s="635"/>
      <c r="E102" s="635"/>
      <c r="F102" s="635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34" t="str">
        <f>+VLOOKUP(LEFT($A103,LEN(A103)-1)*1,Master!$D$30:$G$229,4,FALSE)</f>
        <v>Primici od otplate kredita i sredstva prenesena iz prethodne godine</v>
      </c>
      <c r="C103" s="635"/>
      <c r="D103" s="635"/>
      <c r="E103" s="635"/>
      <c r="F103" s="635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0" t="str">
        <f>+VLOOKUP(LEFT($A104,LEN(A104)-1)*1,Master!$D$30:$G$229,4,FALSE)</f>
        <v>Donacije i transferi</v>
      </c>
      <c r="C104" s="631"/>
      <c r="D104" s="631"/>
      <c r="E104" s="631"/>
      <c r="F104" s="631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12" t="str">
        <f>+VLOOKUP(LEFT($A105,LEN(A105)-1)*1,Master!$D$30:$G$229,4,FALSE)</f>
        <v>Izdaci budžeta</v>
      </c>
      <c r="C105" s="613"/>
      <c r="D105" s="613"/>
      <c r="E105" s="613"/>
      <c r="F105" s="613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32" t="str">
        <f>+VLOOKUP(LEFT($A106,LEN(A106)-1)*1,Master!$D$30:$G$229,4,FALSE)</f>
        <v>Tekući izdaci</v>
      </c>
      <c r="C106" s="633"/>
      <c r="D106" s="633"/>
      <c r="E106" s="633"/>
      <c r="F106" s="633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28" t="str">
        <f>+VLOOKUP(LEFT($A107,LEN(A107)-1)*1,Master!$D$30:$G$229,4,FALSE)</f>
        <v>Bruto zarade i doprinosi na teret poslodavca</v>
      </c>
      <c r="C107" s="629"/>
      <c r="D107" s="629"/>
      <c r="E107" s="629"/>
      <c r="F107" s="629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28" t="str">
        <f>+VLOOKUP(LEFT($A108,LEN(A108)-1)*1,Master!$D$30:$G$229,4,FALSE)</f>
        <v>Ostala lična primanja</v>
      </c>
      <c r="C108" s="629"/>
      <c r="D108" s="629"/>
      <c r="E108" s="629"/>
      <c r="F108" s="629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28" t="str">
        <f>+VLOOKUP(LEFT($A109,LEN(A109)-1)*1,Master!$D$30:$G$229,4,FALSE)</f>
        <v>Rashodi za materijal</v>
      </c>
      <c r="C109" s="629"/>
      <c r="D109" s="629"/>
      <c r="E109" s="629"/>
      <c r="F109" s="629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28" t="str">
        <f>+VLOOKUP(LEFT($A110,LEN(A110)-1)*1,Master!$D$30:$G$229,4,FALSE)</f>
        <v>Rashodi za usluge</v>
      </c>
      <c r="C110" s="629"/>
      <c r="D110" s="629"/>
      <c r="E110" s="629"/>
      <c r="F110" s="629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28" t="str">
        <f>+VLOOKUP(LEFT($A111,LEN(A111)-1)*1,Master!$D$30:$G$229,4,FALSE)</f>
        <v>Rashodi za tekuće održavanje</v>
      </c>
      <c r="C111" s="629"/>
      <c r="D111" s="629"/>
      <c r="E111" s="629"/>
      <c r="F111" s="629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28" t="str">
        <f>+VLOOKUP(LEFT($A112,LEN(A112)-1)*1,Master!$D$30:$G$229,4,FALSE)</f>
        <v>Kamate</v>
      </c>
      <c r="C112" s="629"/>
      <c r="D112" s="629"/>
      <c r="E112" s="629"/>
      <c r="F112" s="629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28" t="str">
        <f>+VLOOKUP(LEFT($A113,LEN(A113)-1)*1,Master!$D$30:$G$229,4,FALSE)</f>
        <v>Renta</v>
      </c>
      <c r="C113" s="629"/>
      <c r="D113" s="629"/>
      <c r="E113" s="629"/>
      <c r="F113" s="629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28" t="str">
        <f>+VLOOKUP(LEFT($A114,LEN(A114)-1)*1,Master!$D$30:$G$229,4,FALSE)</f>
        <v>Subvencije</v>
      </c>
      <c r="C114" s="629"/>
      <c r="D114" s="629"/>
      <c r="E114" s="629"/>
      <c r="F114" s="629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28" t="str">
        <f>+VLOOKUP(LEFT($A115,LEN(A115)-1)*1,Master!$D$30:$G$229,4,FALSE)</f>
        <v>Ostali izdaci</v>
      </c>
      <c r="C115" s="629"/>
      <c r="D115" s="629"/>
      <c r="E115" s="629"/>
      <c r="F115" s="629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24" t="str">
        <f>+VLOOKUP(LEFT($A116,LEN(A116)-1)*1,Master!$D$30:$G$229,4,FALSE)</f>
        <v>Transferi za socijalnu zaštitu</v>
      </c>
      <c r="C116" s="625"/>
      <c r="D116" s="625"/>
      <c r="E116" s="625"/>
      <c r="F116" s="625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28" t="str">
        <f>+VLOOKUP(LEFT($A117,LEN(A117)-1)*1,Master!$D$30:$G$229,4,FALSE)</f>
        <v>Prava iz oblasti socijalne zaštite</v>
      </c>
      <c r="C117" s="629"/>
      <c r="D117" s="629"/>
      <c r="E117" s="629"/>
      <c r="F117" s="629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28" t="str">
        <f>+VLOOKUP(LEFT($A118,LEN(A118)-1)*1,Master!$D$30:$G$229,4,FALSE)</f>
        <v>Sredstva za tehnološke viškove</v>
      </c>
      <c r="C118" s="629"/>
      <c r="D118" s="629"/>
      <c r="E118" s="629"/>
      <c r="F118" s="629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28" t="str">
        <f>+VLOOKUP(LEFT($A119,LEN(A119)-1)*1,Master!$D$30:$G$229,4,FALSE)</f>
        <v>Prava iz oblasti penzijskog i invalidskog osiguranja</v>
      </c>
      <c r="C119" s="629"/>
      <c r="D119" s="629"/>
      <c r="E119" s="629"/>
      <c r="F119" s="629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28" t="str">
        <f>+VLOOKUP(LEFT($A120,LEN(A120)-1)*1,Master!$D$30:$G$229,4,FALSE)</f>
        <v>Ostala prava iz oblasti zdravstvene zaštite</v>
      </c>
      <c r="C120" s="629"/>
      <c r="D120" s="629"/>
      <c r="E120" s="629"/>
      <c r="F120" s="629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28" t="str">
        <f>+VLOOKUP(LEFT($A121,LEN(A121)-1)*1,Master!$D$30:$G$229,4,FALSE)</f>
        <v>Ostala prava iz zdravstvenog osiguranja</v>
      </c>
      <c r="C121" s="629"/>
      <c r="D121" s="629"/>
      <c r="E121" s="629"/>
      <c r="F121" s="629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26" t="str">
        <f>+VLOOKUP(LEFT($A122,LEN(A122)-1)*1,Master!$D$30:$G$229,4,FALSE)</f>
        <v xml:space="preserve">Transferi institucijama, pojedincima, nevladinom i javnom sektoru </v>
      </c>
      <c r="C122" s="627"/>
      <c r="D122" s="627"/>
      <c r="E122" s="627"/>
      <c r="F122" s="627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26" t="str">
        <f>+VLOOKUP(LEFT($A123,LEN(A123)-1)*1,Master!$D$30:$G$229,4,FALSE)</f>
        <v>Kapitalni izdaci</v>
      </c>
      <c r="C123" s="627"/>
      <c r="D123" s="627"/>
      <c r="E123" s="627"/>
      <c r="F123" s="627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18" t="str">
        <f>+VLOOKUP(LEFT($A124,LEN(A124)-1)*1,Master!$D$30:$G$229,4,FALSE)</f>
        <v>Pozajmice i krediti</v>
      </c>
      <c r="C124" s="619"/>
      <c r="D124" s="619"/>
      <c r="E124" s="619"/>
      <c r="F124" s="619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18" t="str">
        <f>+VLOOKUP(LEFT($A125,LEN(A125)-1)*1,Master!$D$30:$G$229,4,FALSE)</f>
        <v>Rezerve</v>
      </c>
      <c r="C125" s="619"/>
      <c r="D125" s="619"/>
      <c r="E125" s="619"/>
      <c r="F125" s="619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18" t="str">
        <f>+VLOOKUP(LEFT($A126,LEN(A126)-1)*1,Master!$D$30:$G$229,4,FALSE)</f>
        <v>Otplata garancija</v>
      </c>
      <c r="C126" s="619"/>
      <c r="D126" s="619"/>
      <c r="E126" s="619"/>
      <c r="F126" s="619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18" t="str">
        <f>+VLOOKUP(LEFT($A127,LEN(A127)-1)*1,Master!$D$30:$G$229,4,FALSE)</f>
        <v>Otplata obaveza iz prethodnog perioda</v>
      </c>
      <c r="C127" s="619"/>
      <c r="D127" s="619"/>
      <c r="E127" s="619"/>
      <c r="F127" s="619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18" t="str">
        <f>+VLOOKUP(LEFT($A128,LEN(A128)-1)*1,Master!$D$30:$G$229,4,FALSE)</f>
        <v>Neto povećanje obaveza</v>
      </c>
      <c r="C128" s="619"/>
      <c r="D128" s="619"/>
      <c r="E128" s="619"/>
      <c r="F128" s="619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20" t="str">
        <f>+VLOOKUP(LEFT($A129,LEN(A129)-1)*1,Master!$D$30:$G$226,4,FALSE)</f>
        <v>Suficit / deficit</v>
      </c>
      <c r="C129" s="621"/>
      <c r="D129" s="621"/>
      <c r="E129" s="621"/>
      <c r="F129" s="621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22" t="str">
        <f>+VLOOKUP(LEFT($A130,LEN(A130)-1)*1,Master!$D$30:$G$226,4,FALSE)</f>
        <v>Primarni suficit/deficit</v>
      </c>
      <c r="C130" s="623"/>
      <c r="D130" s="623"/>
      <c r="E130" s="623"/>
      <c r="F130" s="623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24" t="str">
        <f>+VLOOKUP(LEFT($A131,LEN(A131)-1)*1,Master!$D$30:$G$226,4,FALSE)</f>
        <v>Otplata dugova</v>
      </c>
      <c r="C131" s="625"/>
      <c r="D131" s="625"/>
      <c r="E131" s="625"/>
      <c r="F131" s="625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18" t="str">
        <f>+VLOOKUP(LEFT($A133,LEN(A133)-1)*1,Master!$D$30:$G$226,4,FALSE)</f>
        <v>Otplata hartija od vrijednosti i kredita nerezidentima</v>
      </c>
      <c r="C133" s="619"/>
      <c r="D133" s="619"/>
      <c r="E133" s="619"/>
      <c r="F133" s="619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12" t="str">
        <f>+VLOOKUP(LEFT($A134,LEN(A134)-1)*1,Master!$D$30:$G$226,4,FALSE)</f>
        <v>Izdaci za kupovinu hartija od vrijednosti</v>
      </c>
      <c r="C134" s="613"/>
      <c r="D134" s="613"/>
      <c r="E134" s="613"/>
      <c r="F134" s="613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12" t="s">
        <v>113</v>
      </c>
      <c r="C135" s="613"/>
      <c r="D135" s="613"/>
      <c r="E135" s="613"/>
      <c r="F135" s="613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14" t="str">
        <f>+VLOOKUP(LEFT($A136,LEN(A136)-1)*1,Master!$D$30:$G$226,4,FALSE)</f>
        <v>Nedostajuća sredstva</v>
      </c>
      <c r="C136" s="615"/>
      <c r="D136" s="615"/>
      <c r="E136" s="615"/>
      <c r="F136" s="615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12" t="str">
        <f>+VLOOKUP(LEFT($A137,LEN(A137)-1)*1,Master!$D$30:$G$226,4,FALSE)</f>
        <v>Finansiranje</v>
      </c>
      <c r="C137" s="613"/>
      <c r="D137" s="613"/>
      <c r="E137" s="613"/>
      <c r="F137" s="613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16" t="str">
        <f>+VLOOKUP(LEFT($A138,LEN(A138)-1)*1,Master!$D$30:$G$226,4,FALSE)</f>
        <v>Pozajmice i krediti od domaćih izvora</v>
      </c>
      <c r="C138" s="617"/>
      <c r="D138" s="617"/>
      <c r="E138" s="617"/>
      <c r="F138" s="617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18" t="str">
        <f>+VLOOKUP(LEFT($A139,LEN(A139)-1)*1,Master!$D$30:$G$226,4,FALSE)</f>
        <v>Pozajmice i krediti od inostranih izvora</v>
      </c>
      <c r="C139" s="619"/>
      <c r="D139" s="619"/>
      <c r="E139" s="619"/>
      <c r="F139" s="619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18" t="str">
        <f>+VLOOKUP(LEFT($A140,LEN(A140)-1)*1,Master!$D$30:$G$226,4,FALSE)</f>
        <v>Primici od prodaje imovine</v>
      </c>
      <c r="C140" s="619"/>
      <c r="D140" s="619"/>
      <c r="E140" s="619"/>
      <c r="F140" s="619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50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2025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7965400000</v>
      </c>
    </row>
    <row r="8" spans="1:23" ht="16.5" customHeight="1">
      <c r="A8" s="129"/>
      <c r="B8" s="594"/>
      <c r="C8" s="595"/>
      <c r="D8" s="595"/>
      <c r="E8" s="595"/>
      <c r="F8" s="596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3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513">
        <f>G11+G19+G24+G25+G26+G27+G28</f>
        <v>156168211.19999996</v>
      </c>
      <c r="H10" s="513">
        <f t="shared" ref="H10:L10" si="1">+H11+H19+SUM(H24:H28)</f>
        <v>0</v>
      </c>
      <c r="I10" s="513">
        <f t="shared" si="1"/>
        <v>0</v>
      </c>
      <c r="J10" s="513">
        <f t="shared" si="1"/>
        <v>0</v>
      </c>
      <c r="K10" s="513">
        <f t="shared" si="1"/>
        <v>0</v>
      </c>
      <c r="L10" s="513">
        <f t="shared" si="1"/>
        <v>0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156168211.19999996</v>
      </c>
      <c r="T10" s="515">
        <f>+S10/$T$7*100</f>
        <v>1.9605821578326257</v>
      </c>
    </row>
    <row r="11" spans="1:23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516">
        <f t="shared" ref="G11:I11" si="3">+SUM(G12:G18)</f>
        <v>132702629.50999998</v>
      </c>
      <c r="H11" s="516">
        <f t="shared" si="3"/>
        <v>0</v>
      </c>
      <c r="I11" s="516">
        <f t="shared" si="3"/>
        <v>0</v>
      </c>
      <c r="J11" s="516">
        <f>+SUM(J12:J18)</f>
        <v>0</v>
      </c>
      <c r="K11" s="516">
        <f>+SUM(K12:K18)</f>
        <v>0</v>
      </c>
      <c r="L11" s="516">
        <f>+SUM(L12:L18)</f>
        <v>0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132702629.50999998</v>
      </c>
      <c r="T11" s="519">
        <f t="shared" ref="T11:T66" si="5">+S11/$T$7*100</f>
        <v>1.6659882681346823</v>
      </c>
    </row>
    <row r="12" spans="1:23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499">
        <v>3030555.430000002</v>
      </c>
      <c r="H12" s="499"/>
      <c r="I12" s="499"/>
      <c r="J12" s="499"/>
      <c r="K12" s="499"/>
      <c r="L12" s="148"/>
      <c r="M12" s="148"/>
      <c r="N12" s="148"/>
      <c r="O12" s="148"/>
      <c r="P12" s="148"/>
      <c r="Q12" s="148"/>
      <c r="R12" s="148"/>
      <c r="S12" s="227">
        <f>+SUM(G12:R12)</f>
        <v>3030555.430000002</v>
      </c>
      <c r="T12" s="436">
        <f t="shared" si="5"/>
        <v>3.8046493961383009E-2</v>
      </c>
    </row>
    <row r="13" spans="1:23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499">
        <v>4758743.2199999988</v>
      </c>
      <c r="H13" s="499"/>
      <c r="I13" s="499"/>
      <c r="J13" s="499"/>
      <c r="K13" s="499"/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4758743.2199999988</v>
      </c>
      <c r="T13" s="436">
        <f t="shared" si="5"/>
        <v>5.9742677329449864E-2</v>
      </c>
      <c r="V13" s="276"/>
      <c r="W13" s="494"/>
    </row>
    <row r="14" spans="1:23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499">
        <v>0</v>
      </c>
      <c r="H14" s="499"/>
      <c r="I14" s="499"/>
      <c r="J14" s="499"/>
      <c r="K14" s="499"/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499">
        <v>96606704.819999978</v>
      </c>
      <c r="H15" s="499"/>
      <c r="I15" s="499"/>
      <c r="J15" s="499"/>
      <c r="K15" s="499"/>
      <c r="L15" s="148"/>
      <c r="M15" s="148"/>
      <c r="N15" s="148"/>
      <c r="O15" s="148"/>
      <c r="P15" s="148"/>
      <c r="Q15" s="148"/>
      <c r="R15" s="148"/>
      <c r="S15" s="227">
        <f t="shared" si="6"/>
        <v>96606704.819999978</v>
      </c>
      <c r="T15" s="436">
        <f t="shared" si="5"/>
        <v>1.212829296959349</v>
      </c>
      <c r="V15" s="276"/>
      <c r="W15" s="494"/>
    </row>
    <row r="16" spans="1:23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499">
        <v>23651764.849999998</v>
      </c>
      <c r="H16" s="499"/>
      <c r="I16" s="499"/>
      <c r="J16" s="499"/>
      <c r="K16" s="499"/>
      <c r="L16" s="148"/>
      <c r="M16" s="148"/>
      <c r="N16" s="148"/>
      <c r="O16" s="148"/>
      <c r="P16" s="148"/>
      <c r="Q16" s="148"/>
      <c r="R16" s="148"/>
      <c r="S16" s="227">
        <f t="shared" si="6"/>
        <v>23651764.849999998</v>
      </c>
      <c r="T16" s="436">
        <f t="shared" si="5"/>
        <v>0.29693128844753558</v>
      </c>
      <c r="V16" s="276"/>
      <c r="W16" s="494"/>
    </row>
    <row r="17" spans="1:23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499">
        <v>3527264.1999999993</v>
      </c>
      <c r="H17" s="499"/>
      <c r="I17" s="499"/>
      <c r="J17" s="499"/>
      <c r="K17" s="499"/>
      <c r="L17" s="148"/>
      <c r="M17" s="148"/>
      <c r="N17" s="148"/>
      <c r="O17" s="148"/>
      <c r="P17" s="148"/>
      <c r="Q17" s="148"/>
      <c r="R17" s="148"/>
      <c r="S17" s="227">
        <f t="shared" si="6"/>
        <v>3527264.1999999993</v>
      </c>
      <c r="T17" s="436">
        <f t="shared" si="5"/>
        <v>4.4282323549350931E-2</v>
      </c>
      <c r="V17" s="276"/>
      <c r="W17" s="494"/>
    </row>
    <row r="18" spans="1:23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499">
        <v>1127596.9900000002</v>
      </c>
      <c r="H18" s="499"/>
      <c r="I18" s="499"/>
      <c r="J18" s="499"/>
      <c r="K18" s="499"/>
      <c r="L18" s="148"/>
      <c r="M18" s="148"/>
      <c r="N18" s="148"/>
      <c r="O18" s="148"/>
      <c r="P18" s="148"/>
      <c r="Q18" s="148"/>
      <c r="R18" s="148"/>
      <c r="S18" s="227">
        <f t="shared" si="6"/>
        <v>1127596.9900000002</v>
      </c>
      <c r="T18" s="436">
        <f t="shared" si="5"/>
        <v>1.4156187887613933E-2</v>
      </c>
      <c r="V18" s="276"/>
      <c r="W18" s="494"/>
    </row>
    <row r="19" spans="1:23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520">
        <f t="shared" ref="G19:R19" si="7">SUM(G20:G23)</f>
        <v>16612975.690000001</v>
      </c>
      <c r="H19" s="520">
        <f t="shared" si="7"/>
        <v>0</v>
      </c>
      <c r="I19" s="520">
        <f t="shared" si="7"/>
        <v>0</v>
      </c>
      <c r="J19" s="520">
        <f t="shared" si="7"/>
        <v>0</v>
      </c>
      <c r="K19" s="520">
        <f t="shared" si="7"/>
        <v>0</v>
      </c>
      <c r="L19" s="520">
        <f t="shared" si="7"/>
        <v>0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16612975.690000001</v>
      </c>
      <c r="T19" s="522">
        <f t="shared" si="5"/>
        <v>0.20856423644763605</v>
      </c>
      <c r="V19" s="276"/>
      <c r="W19" s="494"/>
    </row>
    <row r="20" spans="1:23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499">
        <v>14262452.49</v>
      </c>
      <c r="H20" s="499"/>
      <c r="I20" s="499"/>
      <c r="J20" s="499"/>
      <c r="K20" s="499"/>
      <c r="L20" s="148"/>
      <c r="M20" s="148"/>
      <c r="N20" s="148"/>
      <c r="O20" s="148"/>
      <c r="P20" s="148"/>
      <c r="Q20" s="148"/>
      <c r="R20" s="148"/>
      <c r="S20" s="227">
        <f>+SUM(G20:R20)</f>
        <v>14262452.49</v>
      </c>
      <c r="T20" s="436">
        <f t="shared" si="5"/>
        <v>0.17905506929972129</v>
      </c>
      <c r="V20" s="276"/>
      <c r="W20" s="494"/>
    </row>
    <row r="21" spans="1:23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499">
        <v>314658.87999999989</v>
      </c>
      <c r="H21" s="499"/>
      <c r="I21" s="499"/>
      <c r="J21" s="499"/>
      <c r="K21" s="499"/>
      <c r="L21" s="148"/>
      <c r="M21" s="148"/>
      <c r="N21" s="148"/>
      <c r="O21" s="148"/>
      <c r="P21" s="148"/>
      <c r="Q21" s="148"/>
      <c r="R21" s="148"/>
      <c r="S21" s="227">
        <f t="shared" si="6"/>
        <v>314658.87999999989</v>
      </c>
      <c r="T21" s="436">
        <f t="shared" si="5"/>
        <v>3.9503211389258523E-3</v>
      </c>
      <c r="V21" s="276"/>
      <c r="W21" s="494"/>
    </row>
    <row r="22" spans="1:23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499">
        <v>1216722.5599999998</v>
      </c>
      <c r="H22" s="499"/>
      <c r="I22" s="499"/>
      <c r="J22" s="499"/>
      <c r="K22" s="499"/>
      <c r="L22" s="148"/>
      <c r="M22" s="148"/>
      <c r="N22" s="148"/>
      <c r="O22" s="148"/>
      <c r="P22" s="148"/>
      <c r="Q22" s="148"/>
      <c r="R22" s="148"/>
      <c r="S22" s="227">
        <f t="shared" si="6"/>
        <v>1216722.5599999998</v>
      </c>
      <c r="T22" s="436">
        <f t="shared" si="5"/>
        <v>1.5275096793632457E-2</v>
      </c>
    </row>
    <row r="23" spans="1:23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499">
        <v>819141.76</v>
      </c>
      <c r="H23" s="499"/>
      <c r="I23" s="499"/>
      <c r="J23" s="499"/>
      <c r="K23" s="499"/>
      <c r="L23" s="148"/>
      <c r="M23" s="148"/>
      <c r="N23" s="148"/>
      <c r="O23" s="148"/>
      <c r="P23" s="148"/>
      <c r="Q23" s="148"/>
      <c r="R23" s="148"/>
      <c r="S23" s="227">
        <f t="shared" si="6"/>
        <v>819141.76</v>
      </c>
      <c r="T23" s="436">
        <f t="shared" si="5"/>
        <v>1.0283749215356417E-2</v>
      </c>
      <c r="V23" s="495"/>
      <c r="W23" s="494"/>
    </row>
    <row r="24" spans="1:23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856323.9500000003</v>
      </c>
      <c r="H24" s="160"/>
      <c r="I24" s="160"/>
      <c r="J24" s="160"/>
      <c r="K24" s="160"/>
      <c r="L24" s="523"/>
      <c r="M24" s="523"/>
      <c r="N24" s="523"/>
      <c r="O24" s="523"/>
      <c r="P24" s="523"/>
      <c r="Q24" s="523"/>
      <c r="R24" s="523"/>
      <c r="S24" s="521">
        <f t="shared" si="6"/>
        <v>856323.9500000003</v>
      </c>
      <c r="T24" s="522">
        <f t="shared" si="5"/>
        <v>1.0750545484219252E-2</v>
      </c>
    </row>
    <row r="25" spans="1:23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4273770.1400000006</v>
      </c>
      <c r="H25" s="160"/>
      <c r="I25" s="160"/>
      <c r="J25" s="160"/>
      <c r="K25" s="160"/>
      <c r="L25" s="523"/>
      <c r="M25" s="523"/>
      <c r="N25" s="523"/>
      <c r="O25" s="523"/>
      <c r="P25" s="523"/>
      <c r="Q25" s="523"/>
      <c r="R25" s="523"/>
      <c r="S25" s="521">
        <f t="shared" si="6"/>
        <v>4273770.1400000006</v>
      </c>
      <c r="T25" s="522">
        <f t="shared" si="5"/>
        <v>5.3654181083184781E-2</v>
      </c>
    </row>
    <row r="26" spans="1:23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1722511.9099999997</v>
      </c>
      <c r="H26" s="160"/>
      <c r="I26" s="160"/>
      <c r="J26" s="160"/>
      <c r="K26" s="160"/>
      <c r="L26" s="523"/>
      <c r="M26" s="523"/>
      <c r="N26" s="523"/>
      <c r="O26" s="523"/>
      <c r="P26" s="523"/>
      <c r="Q26" s="523"/>
      <c r="R26" s="523"/>
      <c r="S26" s="521">
        <f t="shared" si="6"/>
        <v>1722511.9099999997</v>
      </c>
      <c r="T26" s="522">
        <f t="shared" si="5"/>
        <v>2.1624926682903556E-2</v>
      </c>
    </row>
    <row r="27" spans="1:23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0</v>
      </c>
      <c r="H27" s="160"/>
      <c r="I27" s="160"/>
      <c r="J27" s="160"/>
      <c r="K27" s="160"/>
      <c r="L27" s="523"/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66" t="str">
        <f>+VLOOKUP($A28,Master!$D$30:$G$226,4,FALSE)</f>
        <v>Donacije i transferi</v>
      </c>
      <c r="C28" s="567"/>
      <c r="D28" s="567"/>
      <c r="E28" s="567"/>
      <c r="F28" s="567"/>
      <c r="G28" s="160">
        <v>0</v>
      </c>
      <c r="H28" s="160"/>
      <c r="I28" s="160"/>
      <c r="J28" s="160"/>
      <c r="K28" s="160"/>
      <c r="L28" s="523"/>
      <c r="M28" s="523"/>
      <c r="N28" s="523"/>
      <c r="O28" s="523"/>
      <c r="P28" s="523"/>
      <c r="Q28" s="523"/>
      <c r="R28" s="523"/>
      <c r="S28" s="521">
        <f t="shared" si="6"/>
        <v>0</v>
      </c>
      <c r="T28" s="524">
        <f t="shared" si="5"/>
        <v>0</v>
      </c>
    </row>
    <row r="29" spans="1:23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154176756.43999997</v>
      </c>
      <c r="H29" s="136">
        <f t="shared" ref="H29:L29" si="8">+H30+H40+H46+SUM(H47:H51)</f>
        <v>0</v>
      </c>
      <c r="I29" s="136">
        <f t="shared" si="8"/>
        <v>0</v>
      </c>
      <c r="J29" s="136">
        <f t="shared" si="8"/>
        <v>0</v>
      </c>
      <c r="K29" s="136">
        <f t="shared" si="8"/>
        <v>0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154176756.43999997</v>
      </c>
      <c r="T29" s="526">
        <f t="shared" si="5"/>
        <v>1.9355808426444367</v>
      </c>
    </row>
    <row r="30" spans="1:23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" si="10">+SUM(G31:G39)</f>
        <v>61826506.519999981</v>
      </c>
      <c r="H30" s="172">
        <f t="shared" ref="H30:L30" si="11">+SUM(H31:H39)</f>
        <v>0</v>
      </c>
      <c r="I30" s="172">
        <f t="shared" si="11"/>
        <v>0</v>
      </c>
      <c r="J30" s="172">
        <f t="shared" si="11"/>
        <v>0</v>
      </c>
      <c r="K30" s="172">
        <f t="shared" si="11"/>
        <v>0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61826506.519999981</v>
      </c>
      <c r="T30" s="519">
        <f t="shared" si="5"/>
        <v>0.77618834609686871</v>
      </c>
      <c r="U30" s="472"/>
    </row>
    <row r="31" spans="1:23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499">
        <v>55835076.819999978</v>
      </c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148"/>
      <c r="S31" s="227">
        <f t="shared" si="6"/>
        <v>55835076.819999978</v>
      </c>
      <c r="T31" s="436">
        <f t="shared" si="5"/>
        <v>0.70097015617545855</v>
      </c>
      <c r="U31" s="472"/>
    </row>
    <row r="32" spans="1:23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499">
        <v>31766.52</v>
      </c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148"/>
      <c r="S32" s="227">
        <f t="shared" si="6"/>
        <v>31766.52</v>
      </c>
      <c r="T32" s="436">
        <f t="shared" si="5"/>
        <v>3.988063374092952E-4</v>
      </c>
      <c r="U32" s="472"/>
    </row>
    <row r="33" spans="1:23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499">
        <v>39625.339999999997</v>
      </c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148"/>
      <c r="S33" s="227">
        <f t="shared" si="6"/>
        <v>39625.339999999997</v>
      </c>
      <c r="T33" s="436">
        <f t="shared" si="5"/>
        <v>4.9746830039922659E-4</v>
      </c>
      <c r="U33" s="472"/>
    </row>
    <row r="34" spans="1:23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499">
        <v>1029193.8700000001</v>
      </c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148"/>
      <c r="S34" s="227">
        <f t="shared" si="6"/>
        <v>1029193.8700000001</v>
      </c>
      <c r="T34" s="436">
        <f t="shared" si="5"/>
        <v>1.2920805860346E-2</v>
      </c>
      <c r="U34" s="472"/>
    </row>
    <row r="35" spans="1:23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499">
        <v>1721.01</v>
      </c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148"/>
      <c r="S35" s="227">
        <f t="shared" si="6"/>
        <v>1721.01</v>
      </c>
      <c r="T35" s="436">
        <f t="shared" si="5"/>
        <v>2.1606071258191679E-5</v>
      </c>
      <c r="U35" s="472"/>
    </row>
    <row r="36" spans="1:23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499">
        <v>3788619.5500000003</v>
      </c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148"/>
      <c r="S36" s="227">
        <f>+SUM(G36:R36)</f>
        <v>3788619.5500000003</v>
      </c>
      <c r="T36" s="436">
        <f t="shared" si="5"/>
        <v>4.7563456323599575E-2</v>
      </c>
      <c r="U36" s="472"/>
    </row>
    <row r="37" spans="1:23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499">
        <v>17739.240000000002</v>
      </c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148"/>
      <c r="S37" s="227">
        <f t="shared" si="6"/>
        <v>17739.240000000002</v>
      </c>
      <c r="T37" s="436">
        <f t="shared" si="5"/>
        <v>2.2270369347427628E-4</v>
      </c>
      <c r="U37" s="472"/>
    </row>
    <row r="38" spans="1:23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499">
        <v>652762.92999999982</v>
      </c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148"/>
      <c r="S38" s="227">
        <f t="shared" si="6"/>
        <v>652762.92999999982</v>
      </c>
      <c r="T38" s="436">
        <f t="shared" si="5"/>
        <v>8.19497991312426E-3</v>
      </c>
      <c r="U38" s="472"/>
    </row>
    <row r="39" spans="1:23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499">
        <v>430001.24</v>
      </c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148"/>
      <c r="S39" s="227">
        <f t="shared" si="6"/>
        <v>430001.24</v>
      </c>
      <c r="T39" s="436">
        <f t="shared" si="5"/>
        <v>5.3983634217992819E-3</v>
      </c>
      <c r="U39" s="472"/>
    </row>
    <row r="40" spans="1:23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82171954.539999992</v>
      </c>
      <c r="H40" s="178">
        <f t="shared" ref="H40:L40" si="13">+SUM(H41:H45)</f>
        <v>0</v>
      </c>
      <c r="I40" s="178">
        <f t="shared" si="13"/>
        <v>0</v>
      </c>
      <c r="J40" s="178">
        <f t="shared" si="13"/>
        <v>0</v>
      </c>
      <c r="K40" s="178">
        <f t="shared" si="13"/>
        <v>0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82171954.539999992</v>
      </c>
      <c r="T40" s="529">
        <f t="shared" si="5"/>
        <v>1.031611149973636</v>
      </c>
      <c r="U40" s="472"/>
    </row>
    <row r="41" spans="1:23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499">
        <v>19200151.200000003</v>
      </c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148"/>
      <c r="S41" s="227">
        <f t="shared" si="6"/>
        <v>19200151.200000003</v>
      </c>
      <c r="T41" s="436">
        <f t="shared" si="5"/>
        <v>0.24104440706053687</v>
      </c>
      <c r="U41" s="472"/>
    </row>
    <row r="42" spans="1:23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499">
        <v>40500</v>
      </c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148"/>
      <c r="S42" s="227">
        <f t="shared" si="6"/>
        <v>40500</v>
      </c>
      <c r="T42" s="436">
        <f t="shared" si="5"/>
        <v>5.0844904210711327E-4</v>
      </c>
      <c r="U42" s="472"/>
    </row>
    <row r="43" spans="1:23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499">
        <v>62931303.339999989</v>
      </c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148"/>
      <c r="S43" s="227">
        <f t="shared" si="6"/>
        <v>62931303.339999989</v>
      </c>
      <c r="T43" s="436">
        <f t="shared" si="5"/>
        <v>0.79005829387099191</v>
      </c>
      <c r="U43" s="472"/>
    </row>
    <row r="44" spans="1:23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499">
        <v>0</v>
      </c>
      <c r="H44" s="499"/>
      <c r="I44" s="499"/>
      <c r="J44" s="499"/>
      <c r="K44" s="499"/>
      <c r="L44" s="499"/>
      <c r="M44" s="499"/>
      <c r="N44" s="499"/>
      <c r="O44" s="499"/>
      <c r="P44" s="499"/>
      <c r="Q44" s="499"/>
      <c r="R44" s="148"/>
      <c r="S44" s="227">
        <f t="shared" si="6"/>
        <v>0</v>
      </c>
      <c r="T44" s="436">
        <f t="shared" si="5"/>
        <v>0</v>
      </c>
      <c r="U44" s="472"/>
    </row>
    <row r="45" spans="1:23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499">
        <v>0</v>
      </c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148"/>
      <c r="S45" s="227">
        <f t="shared" si="6"/>
        <v>0</v>
      </c>
      <c r="T45" s="436">
        <f t="shared" si="5"/>
        <v>0</v>
      </c>
      <c r="U45" s="472"/>
    </row>
    <row r="46" spans="1:23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4939804.07</v>
      </c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521">
        <f t="shared" si="6"/>
        <v>4939804.07</v>
      </c>
      <c r="T46" s="522">
        <f t="shared" si="5"/>
        <v>6.2015769076254806E-2</v>
      </c>
      <c r="U46" s="472"/>
    </row>
    <row r="47" spans="1:23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125807.52</v>
      </c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521">
        <f t="shared" si="6"/>
        <v>125807.52</v>
      </c>
      <c r="T47" s="522">
        <f t="shared" si="5"/>
        <v>1.5794250131820121E-3</v>
      </c>
      <c r="U47" s="472"/>
      <c r="V47" s="292"/>
      <c r="W47" s="292"/>
    </row>
    <row r="48" spans="1:23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499">
        <v>0</v>
      </c>
      <c r="H48" s="499"/>
      <c r="I48" s="499"/>
      <c r="J48" s="499"/>
      <c r="K48" s="499"/>
      <c r="L48" s="499"/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499">
        <v>0</v>
      </c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148"/>
      <c r="S49" s="227">
        <f t="shared" si="6"/>
        <v>0</v>
      </c>
      <c r="T49" s="436">
        <f t="shared" si="5"/>
        <v>0</v>
      </c>
      <c r="U49" s="472"/>
    </row>
    <row r="50" spans="1:21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499">
        <v>4062322.96</v>
      </c>
      <c r="H50" s="499"/>
      <c r="I50" s="499"/>
      <c r="J50" s="499"/>
      <c r="K50" s="499"/>
      <c r="L50" s="499"/>
      <c r="M50" s="499"/>
      <c r="N50" s="499"/>
      <c r="O50" s="499"/>
      <c r="P50" s="499"/>
      <c r="Q50" s="499"/>
      <c r="R50" s="148"/>
      <c r="S50" s="227">
        <f t="shared" si="6"/>
        <v>4062322.96</v>
      </c>
      <c r="T50" s="436">
        <f t="shared" si="5"/>
        <v>5.0999610314610686E-2</v>
      </c>
      <c r="U50" s="472"/>
    </row>
    <row r="51" spans="1:21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1050360.8299999998</v>
      </c>
      <c r="H51" s="430"/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1050360.8299999998</v>
      </c>
      <c r="T51" s="440">
        <f t="shared" si="5"/>
        <v>1.3186542169884749E-2</v>
      </c>
      <c r="U51" s="472"/>
    </row>
    <row r="52" spans="1:21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5">+G10-G29</f>
        <v>1991454.7599999905</v>
      </c>
      <c r="H53" s="136">
        <f t="shared" si="15"/>
        <v>0</v>
      </c>
      <c r="I53" s="136">
        <f t="shared" si="15"/>
        <v>0</v>
      </c>
      <c r="J53" s="136">
        <f t="shared" si="15"/>
        <v>0</v>
      </c>
      <c r="K53" s="136">
        <f t="shared" si="15"/>
        <v>0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1991454.7599999905</v>
      </c>
      <c r="T53" s="531">
        <f t="shared" si="5"/>
        <v>2.5001315188188798E-2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6">+G53+G36</f>
        <v>5780074.3099999912</v>
      </c>
      <c r="H54" s="190">
        <f t="shared" si="16"/>
        <v>0</v>
      </c>
      <c r="I54" s="190">
        <f t="shared" si="16"/>
        <v>0</v>
      </c>
      <c r="J54" s="190">
        <f t="shared" si="16"/>
        <v>0</v>
      </c>
      <c r="K54" s="190">
        <f t="shared" si="16"/>
        <v>0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5780074.3099999912</v>
      </c>
      <c r="T54" s="531">
        <f t="shared" si="5"/>
        <v>7.2564771511788376E-2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17">+SUM(G56:G57)</f>
        <v>34620662.689999998</v>
      </c>
      <c r="H55" s="178">
        <f t="shared" ref="H55:L55" si="18">+SUM(H56:H57)</f>
        <v>0</v>
      </c>
      <c r="I55" s="178">
        <f t="shared" si="18"/>
        <v>0</v>
      </c>
      <c r="J55" s="160">
        <f t="shared" si="18"/>
        <v>0</v>
      </c>
      <c r="K55" s="178">
        <f t="shared" si="18"/>
        <v>0</v>
      </c>
      <c r="L55" s="178">
        <f t="shared" si="18"/>
        <v>0</v>
      </c>
      <c r="M55" s="178">
        <f t="shared" ref="M55:R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 t="shared" si="19"/>
        <v>0</v>
      </c>
      <c r="S55" s="532">
        <f t="shared" si="6"/>
        <v>34620662.689999998</v>
      </c>
      <c r="T55" s="533">
        <f t="shared" si="5"/>
        <v>0.43463809337886355</v>
      </c>
    </row>
    <row r="56" spans="1:21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554">
        <v>1984895.29</v>
      </c>
      <c r="H56" s="554"/>
      <c r="I56" s="554"/>
      <c r="J56" s="554"/>
      <c r="K56" s="554"/>
      <c r="L56" s="554"/>
      <c r="M56" s="554"/>
      <c r="N56" s="554"/>
      <c r="O56" s="554"/>
      <c r="P56" s="554"/>
      <c r="Q56" s="554"/>
      <c r="R56" s="196"/>
      <c r="S56" s="235">
        <f t="shared" si="6"/>
        <v>1984895.29</v>
      </c>
      <c r="T56" s="444">
        <f t="shared" si="5"/>
        <v>2.4918965651442488E-2</v>
      </c>
    </row>
    <row r="57" spans="1:21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554">
        <v>32635767.399999999</v>
      </c>
      <c r="H57" s="554"/>
      <c r="I57" s="554"/>
      <c r="J57" s="554"/>
      <c r="K57" s="554"/>
      <c r="L57" s="554"/>
      <c r="M57" s="554"/>
      <c r="N57" s="554"/>
      <c r="O57" s="554"/>
      <c r="P57" s="554"/>
      <c r="Q57" s="554"/>
      <c r="R57" s="196"/>
      <c r="S57" s="235">
        <f t="shared" si="6"/>
        <v>32635767.399999999</v>
      </c>
      <c r="T57" s="444">
        <f t="shared" si="5"/>
        <v>0.40971912772742103</v>
      </c>
    </row>
    <row r="58" spans="1:21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0</v>
      </c>
      <c r="T58" s="534">
        <f t="shared" si="5"/>
        <v>0</v>
      </c>
    </row>
    <row r="59" spans="1:21" ht="13.5" thickBot="1">
      <c r="A59" s="135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499">
        <v>0</v>
      </c>
      <c r="H59" s="499"/>
      <c r="I59" s="499"/>
      <c r="J59" s="499"/>
      <c r="K59" s="499"/>
      <c r="L59" s="499"/>
      <c r="M59" s="499"/>
      <c r="N59" s="499"/>
      <c r="O59" s="499"/>
      <c r="P59" s="499"/>
      <c r="Q59" s="499"/>
      <c r="R59" s="432"/>
      <c r="S59" s="532">
        <f>SUM(G59:R59)</f>
        <v>0</v>
      </c>
      <c r="T59" s="534">
        <f t="shared" si="5"/>
        <v>0</v>
      </c>
    </row>
    <row r="60" spans="1:21" ht="13.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02">
        <f>+G53-G55-G58-G59</f>
        <v>-32629207.930000007</v>
      </c>
      <c r="H60" s="202">
        <f t="shared" ref="H60:S60" si="20">+H53-H55-H58-H59</f>
        <v>0</v>
      </c>
      <c r="I60" s="202">
        <f t="shared" si="20"/>
        <v>0</v>
      </c>
      <c r="J60" s="202">
        <f t="shared" si="20"/>
        <v>0</v>
      </c>
      <c r="K60" s="202">
        <f t="shared" si="20"/>
        <v>0</v>
      </c>
      <c r="L60" s="202">
        <f t="shared" si="20"/>
        <v>0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-32629207.930000007</v>
      </c>
      <c r="T60" s="535">
        <f t="shared" si="5"/>
        <v>-0.40963677819067479</v>
      </c>
    </row>
    <row r="61" spans="1:21" ht="13.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+SUM(G62:G66)</f>
        <v>32629207.930000007</v>
      </c>
      <c r="H61" s="136">
        <f t="shared" ref="H61:L61" si="21">+SUM(H62:H66)</f>
        <v>0</v>
      </c>
      <c r="I61" s="136">
        <f t="shared" si="21"/>
        <v>0</v>
      </c>
      <c r="J61" s="136">
        <f t="shared" si="21"/>
        <v>0</v>
      </c>
      <c r="K61" s="136">
        <f t="shared" si="21"/>
        <v>0</v>
      </c>
      <c r="L61" s="136">
        <f t="shared" si="21"/>
        <v>0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32629207.930000007</v>
      </c>
      <c r="T61" s="537">
        <f t="shared" si="5"/>
        <v>0.40963677819067479</v>
      </c>
    </row>
    <row r="62" spans="1:21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554">
        <v>0</v>
      </c>
      <c r="H62" s="554"/>
      <c r="I62" s="554"/>
      <c r="J62" s="554"/>
      <c r="K62" s="554"/>
      <c r="L62" s="554"/>
      <c r="M62" s="555"/>
      <c r="N62" s="554"/>
      <c r="O62" s="554"/>
      <c r="P62" s="554"/>
      <c r="Q62" s="554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82" t="str">
        <f>+VLOOKUP($A63,Master!$D$30:$G$226,4,FALSE)</f>
        <v>Pozajmice i krediti od inostranih izvora</v>
      </c>
      <c r="C63" s="583"/>
      <c r="D63" s="583"/>
      <c r="E63" s="583"/>
      <c r="F63" s="583"/>
      <c r="G63" s="554">
        <v>0</v>
      </c>
      <c r="H63" s="554"/>
      <c r="I63" s="554"/>
      <c r="J63" s="554"/>
      <c r="K63" s="554"/>
      <c r="L63" s="554"/>
      <c r="M63" s="555"/>
      <c r="N63" s="554"/>
      <c r="O63" s="554"/>
      <c r="P63" s="554"/>
      <c r="Q63" s="554"/>
      <c r="R63" s="196"/>
      <c r="S63" s="235">
        <f t="shared" si="6"/>
        <v>0</v>
      </c>
      <c r="T63" s="444">
        <f t="shared" si="5"/>
        <v>0</v>
      </c>
    </row>
    <row r="64" spans="1:21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554">
        <v>106186.26999999999</v>
      </c>
      <c r="H64" s="554"/>
      <c r="I64" s="554"/>
      <c r="J64" s="554"/>
      <c r="K64" s="554"/>
      <c r="L64" s="554"/>
      <c r="M64" s="555"/>
      <c r="N64" s="554"/>
      <c r="O64" s="554"/>
      <c r="P64" s="554"/>
      <c r="Q64" s="554"/>
      <c r="R64" s="196"/>
      <c r="S64" s="235">
        <f t="shared" si="6"/>
        <v>106186.26999999999</v>
      </c>
      <c r="T64" s="444">
        <f t="shared" si="5"/>
        <v>1.3330940065784517E-3</v>
      </c>
    </row>
    <row r="65" spans="1:20">
      <c r="A65" s="129">
        <v>73</v>
      </c>
      <c r="B65" s="566" t="s">
        <v>101</v>
      </c>
      <c r="C65" s="567"/>
      <c r="D65" s="567"/>
      <c r="E65" s="567"/>
      <c r="F65" s="567"/>
      <c r="G65" s="160">
        <v>77002.020000000019</v>
      </c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228">
        <f t="shared" si="6"/>
        <v>77002.020000000019</v>
      </c>
      <c r="T65" s="437">
        <f t="shared" si="5"/>
        <v>9.6670625455093308E-4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32446019.640000008</v>
      </c>
      <c r="H66" s="210">
        <f t="shared" ref="H66:L66" si="23">-H60-SUM(H62:H65)</f>
        <v>0</v>
      </c>
      <c r="I66" s="210">
        <f t="shared" si="23"/>
        <v>0</v>
      </c>
      <c r="J66" s="210">
        <f t="shared" si="23"/>
        <v>0</v>
      </c>
      <c r="K66" s="210">
        <f t="shared" si="23"/>
        <v>0</v>
      </c>
      <c r="L66" s="210">
        <f t="shared" si="23"/>
        <v>0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32446019.640000008</v>
      </c>
      <c r="T66" s="448">
        <f t="shared" si="5"/>
        <v>0.40733697792954537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8" t="str">
        <f>+Master!G253</f>
        <v>Plan ostvarenja budžeta</v>
      </c>
      <c r="C83" s="639"/>
      <c r="D83" s="639"/>
      <c r="E83" s="639"/>
      <c r="F83" s="639"/>
      <c r="G83" s="646">
        <v>2025</v>
      </c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48"/>
      <c r="S83" s="96" t="str">
        <f>+S7</f>
        <v>BDP</v>
      </c>
      <c r="T83" s="97">
        <v>7965400000</v>
      </c>
    </row>
    <row r="84" spans="1:25" ht="15.75" customHeight="1">
      <c r="B84" s="640"/>
      <c r="C84" s="641"/>
      <c r="D84" s="641"/>
      <c r="E84" s="641"/>
      <c r="F84" s="642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46" t="str">
        <f>+Master!G247</f>
        <v>Jan - Dec</v>
      </c>
      <c r="T84" s="648">
        <f>+T8</f>
        <v>0</v>
      </c>
    </row>
    <row r="85" spans="1:25" ht="13.5" thickBot="1">
      <c r="B85" s="643"/>
      <c r="C85" s="644"/>
      <c r="D85" s="644"/>
      <c r="E85" s="644"/>
      <c r="F85" s="64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12" t="str">
        <f>+VLOOKUP(LEFT($A86,LEN(A86)-1)*1,Master!$D$30:$G$226,4,FALSE)</f>
        <v>Prihodi budžeta</v>
      </c>
      <c r="C86" s="613"/>
      <c r="D86" s="613"/>
      <c r="E86" s="613"/>
      <c r="F86" s="613"/>
      <c r="G86" s="504">
        <v>156165361.56999999</v>
      </c>
      <c r="H86" s="504">
        <v>186465774.61270148</v>
      </c>
      <c r="I86" s="504">
        <v>271781153.76077545</v>
      </c>
      <c r="J86" s="504">
        <v>296134934.20958948</v>
      </c>
      <c r="K86" s="504">
        <v>208696974.08136448</v>
      </c>
      <c r="L86" s="504">
        <v>240317685.16175747</v>
      </c>
      <c r="M86" s="504">
        <v>244303914.76144814</v>
      </c>
      <c r="N86" s="504">
        <v>262837561.0731962</v>
      </c>
      <c r="O86" s="504">
        <v>253424978.75666443</v>
      </c>
      <c r="P86" s="504">
        <v>262167779.34604847</v>
      </c>
      <c r="Q86" s="504">
        <v>240706635.16072997</v>
      </c>
      <c r="R86" s="504">
        <v>263070247.5857037</v>
      </c>
      <c r="S86" s="538">
        <f>+SUM(G86:R86)</f>
        <v>2886073000.0799794</v>
      </c>
      <c r="T86" s="539">
        <f>+S86/$T$83*100</f>
        <v>36.232618576342425</v>
      </c>
      <c r="U86" s="243"/>
    </row>
    <row r="87" spans="1:25">
      <c r="A87" s="105" t="str">
        <f t="shared" si="27"/>
        <v>711p</v>
      </c>
      <c r="B87" s="636" t="str">
        <f>+VLOOKUP(LEFT($A87,LEN(A87)-1)*1,Master!$D$30:$G$226,4,FALSE)</f>
        <v>Porezi</v>
      </c>
      <c r="C87" s="637"/>
      <c r="D87" s="637"/>
      <c r="E87" s="637"/>
      <c r="F87" s="637"/>
      <c r="G87" s="540">
        <v>132702629.50999999</v>
      </c>
      <c r="H87" s="540">
        <v>136856183.48622844</v>
      </c>
      <c r="I87" s="540">
        <v>201920347.83324856</v>
      </c>
      <c r="J87" s="540">
        <v>247314832.20223579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2183579009.4307427</v>
      </c>
      <c r="T87" s="519">
        <f t="shared" ref="T87:T142" si="29">+S87/$T$83*100</f>
        <v>27.413300140994085</v>
      </c>
    </row>
    <row r="88" spans="1:25">
      <c r="A88" s="105" t="str">
        <f t="shared" si="27"/>
        <v>7111p</v>
      </c>
      <c r="B88" s="628" t="str">
        <f>+VLOOKUP(LEFT($A88,LEN(A88)-1)*1,Master!$D$30:$G$229,4,FALSE)</f>
        <v>Porez na dohodak fizičkih lica</v>
      </c>
      <c r="C88" s="629"/>
      <c r="D88" s="629"/>
      <c r="E88" s="629"/>
      <c r="F88" s="629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1.3599253495579566</v>
      </c>
    </row>
    <row r="89" spans="1:25">
      <c r="A89" s="105" t="str">
        <f t="shared" si="27"/>
        <v>7112p</v>
      </c>
      <c r="B89" s="628" t="str">
        <f>+VLOOKUP(LEFT($A89,LEN(A89)-1)*1,Master!$D$30:$G$229,4,FALSE)</f>
        <v>Porez na dobit pravnih lica</v>
      </c>
      <c r="C89" s="629"/>
      <c r="D89" s="629"/>
      <c r="E89" s="629"/>
      <c r="F89" s="629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2.7602235825066623</v>
      </c>
    </row>
    <row r="90" spans="1:25">
      <c r="A90" s="105" t="str">
        <f t="shared" si="27"/>
        <v>7113p</v>
      </c>
      <c r="B90" s="628" t="str">
        <f>+VLOOKUP(LEFT($A90,LEN(A90)-1)*1,Master!$D$30:$G$229,4,FALSE)</f>
        <v>Porez na promet nepokretnosti</v>
      </c>
      <c r="C90" s="629"/>
      <c r="D90" s="629"/>
      <c r="E90" s="629"/>
      <c r="F90" s="629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</row>
    <row r="91" spans="1:25">
      <c r="A91" s="105" t="str">
        <f t="shared" si="27"/>
        <v>7114p</v>
      </c>
      <c r="B91" s="628" t="str">
        <f>+VLOOKUP(LEFT($A91,LEN(A91)-1)*1,Master!$D$30:$G$229,4,FALSE)</f>
        <v>Porez na dodatu vrijednost</v>
      </c>
      <c r="C91" s="629"/>
      <c r="D91" s="629"/>
      <c r="E91" s="629"/>
      <c r="F91" s="629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17.231940643229883</v>
      </c>
    </row>
    <row r="92" spans="1:25">
      <c r="A92" s="105" t="str">
        <f t="shared" si="27"/>
        <v>7115p</v>
      </c>
      <c r="B92" s="628" t="str">
        <f>+VLOOKUP(LEFT($A92,LEN(A92)-1)*1,Master!$D$30:$G$229,4,FALSE)</f>
        <v>Akcize</v>
      </c>
      <c r="C92" s="629"/>
      <c r="D92" s="629"/>
      <c r="E92" s="629"/>
      <c r="F92" s="629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5.0656589750671648</v>
      </c>
      <c r="W92" s="242"/>
      <c r="X92" s="242"/>
      <c r="Y92" s="242"/>
    </row>
    <row r="93" spans="1:25">
      <c r="A93" s="105" t="str">
        <f t="shared" si="27"/>
        <v>7116p</v>
      </c>
      <c r="B93" s="628" t="str">
        <f>+VLOOKUP(LEFT($A93,LEN(A93)-1)*1,Master!$D$30:$G$229,4,FALSE)</f>
        <v>Porez na međunarodnu trgovinu i transakcije</v>
      </c>
      <c r="C93" s="629"/>
      <c r="D93" s="629"/>
      <c r="E93" s="629"/>
      <c r="F93" s="629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0.80338700653033546</v>
      </c>
    </row>
    <row r="94" spans="1:25">
      <c r="A94" s="105" t="str">
        <f t="shared" si="27"/>
        <v>7118p</v>
      </c>
      <c r="B94" s="628" t="str">
        <f>+VLOOKUP(LEFT($A94,LEN(A94)-1)*1,Master!$D$30:$G$229,4,FALSE)</f>
        <v>Ostali državni porezi</v>
      </c>
      <c r="C94" s="629"/>
      <c r="D94" s="629"/>
      <c r="E94" s="629"/>
      <c r="F94" s="629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0.19216458410207746</v>
      </c>
    </row>
    <row r="95" spans="1:25">
      <c r="A95" s="105" t="str">
        <f t="shared" si="27"/>
        <v>712p</v>
      </c>
      <c r="B95" s="634" t="str">
        <f>+VLOOKUP(LEFT($A95,LEN(A95)-1)*1,Master!$D$30:$G$229,4,FALSE)</f>
        <v>Doprinosi</v>
      </c>
      <c r="C95" s="635"/>
      <c r="D95" s="635"/>
      <c r="E95" s="635"/>
      <c r="F95" s="635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5.6375238138346297</v>
      </c>
    </row>
    <row r="96" spans="1:25">
      <c r="A96" s="105" t="str">
        <f t="shared" si="27"/>
        <v>7121p</v>
      </c>
      <c r="B96" s="628" t="str">
        <f>+VLOOKUP(LEFT($A96,LEN(A96)-1)*1,Master!$D$30:$G$229,4,FALSE)</f>
        <v>Doprinosi za penzijsko i invalidsko osiguranje</v>
      </c>
      <c r="C96" s="629"/>
      <c r="D96" s="629"/>
      <c r="E96" s="629"/>
      <c r="F96" s="629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4.9883110370025499</v>
      </c>
      <c r="V96" s="292"/>
    </row>
    <row r="97" spans="1:22">
      <c r="A97" s="105" t="str">
        <f t="shared" si="27"/>
        <v>7122p</v>
      </c>
      <c r="B97" s="628" t="str">
        <f>+VLOOKUP(LEFT($A97,LEN(A97)-1)*1,Master!$D$30:$G$229,4,FALSE)</f>
        <v>Doprinosi za zdravstveno osiguranje</v>
      </c>
      <c r="C97" s="629"/>
      <c r="D97" s="629"/>
      <c r="E97" s="629"/>
      <c r="F97" s="629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7.5325784070219892E-2</v>
      </c>
    </row>
    <row r="98" spans="1:22">
      <c r="A98" s="105" t="str">
        <f t="shared" si="27"/>
        <v>7123p</v>
      </c>
      <c r="B98" s="628" t="str">
        <f>+VLOOKUP(LEFT($A98,LEN(A98)-1)*1,Master!$D$30:$G$229,4,FALSE)</f>
        <v>Doprinosi za osiguranje od nezaposlenosti</v>
      </c>
      <c r="C98" s="629"/>
      <c r="D98" s="629"/>
      <c r="E98" s="629"/>
      <c r="F98" s="629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0.32641173078215086</v>
      </c>
    </row>
    <row r="99" spans="1:22">
      <c r="A99" s="105" t="str">
        <f t="shared" si="27"/>
        <v>7124p</v>
      </c>
      <c r="B99" s="628" t="str">
        <f>+VLOOKUP(LEFT($A99,LEN(A99)-1)*1,Master!$D$30:$G$229,4,FALSE)</f>
        <v>Ostali doprinosi</v>
      </c>
      <c r="C99" s="629"/>
      <c r="D99" s="629"/>
      <c r="E99" s="629"/>
      <c r="F99" s="629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0.24747526197970968</v>
      </c>
    </row>
    <row r="100" spans="1:22">
      <c r="A100" s="105" t="str">
        <f t="shared" si="27"/>
        <v>713p</v>
      </c>
      <c r="B100" s="634" t="str">
        <f>+VLOOKUP(LEFT($A100,LEN(A100)-1)*1,Master!$D$30:$G$229,4,FALSE)</f>
        <v>Takse</v>
      </c>
      <c r="C100" s="635"/>
      <c r="D100" s="635"/>
      <c r="E100" s="635"/>
      <c r="F100" s="635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0.22334056070500299</v>
      </c>
    </row>
    <row r="101" spans="1:22">
      <c r="A101" s="105" t="str">
        <f t="shared" si="27"/>
        <v>714p</v>
      </c>
      <c r="B101" s="634" t="str">
        <f>+VLOOKUP(LEFT($A101,LEN(A101)-1)*1,Master!$D$30:$G$229,4,FALSE)</f>
        <v>Naknade</v>
      </c>
      <c r="C101" s="635"/>
      <c r="D101" s="635"/>
      <c r="E101" s="635"/>
      <c r="F101" s="635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0.93131678924397132</v>
      </c>
    </row>
    <row r="102" spans="1:22">
      <c r="A102" s="105" t="str">
        <f t="shared" si="27"/>
        <v>715p</v>
      </c>
      <c r="B102" s="634" t="str">
        <f>+VLOOKUP(LEFT($A102,LEN(A102)-1)*1,Master!$D$30:$G$229,4,FALSE)</f>
        <v>Ostali prihodi</v>
      </c>
      <c r="C102" s="635"/>
      <c r="D102" s="635"/>
      <c r="E102" s="635"/>
      <c r="F102" s="635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0.65620800247592392</v>
      </c>
    </row>
    <row r="103" spans="1:22">
      <c r="A103" s="105" t="str">
        <f t="shared" si="27"/>
        <v>73p</v>
      </c>
      <c r="B103" s="634" t="str">
        <f>+VLOOKUP(LEFT($A103,LEN(A103)-1)*1,Master!$D$30:$G$229,4,FALSE)</f>
        <v>Primici od otplate kredita i sredstva prenesena iz prethodne godine</v>
      </c>
      <c r="C103" s="635"/>
      <c r="D103" s="635"/>
      <c r="E103" s="635"/>
      <c r="F103" s="635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V103" s="292"/>
    </row>
    <row r="104" spans="1:22" ht="13.5" thickBot="1">
      <c r="A104" s="105" t="str">
        <f t="shared" si="27"/>
        <v>74p</v>
      </c>
      <c r="B104" s="630" t="str">
        <f>+VLOOKUP(LEFT($A104,LEN(A104)-1)*1,Master!$D$30:$G$229,4,FALSE)</f>
        <v>Donacije i transferi</v>
      </c>
      <c r="C104" s="631"/>
      <c r="D104" s="631"/>
      <c r="E104" s="631"/>
      <c r="F104" s="631"/>
      <c r="G104" s="510">
        <v>0</v>
      </c>
      <c r="H104" s="510">
        <v>3000000</v>
      </c>
      <c r="I104" s="510">
        <v>23000000</v>
      </c>
      <c r="J104" s="510">
        <v>3153709.3977777776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109200000.00000001</v>
      </c>
      <c r="T104" s="524">
        <f t="shared" si="29"/>
        <v>1.3709292690888093</v>
      </c>
    </row>
    <row r="105" spans="1:22" ht="13.5" thickBot="1">
      <c r="A105" s="105" t="str">
        <f t="shared" si="27"/>
        <v>4p</v>
      </c>
      <c r="B105" s="612" t="str">
        <f>+VLOOKUP(LEFT($A105,LEN(A105)-1)*1,Master!$D$30:$G$229,4,FALSE)</f>
        <v>Izdaci budžeta</v>
      </c>
      <c r="C105" s="613"/>
      <c r="D105" s="613"/>
      <c r="E105" s="613"/>
      <c r="F105" s="613"/>
      <c r="G105" s="505">
        <v>211460637.94000006</v>
      </c>
      <c r="H105" s="505">
        <v>221418777.29000002</v>
      </c>
      <c r="I105" s="505">
        <v>248556505.27000001</v>
      </c>
      <c r="J105" s="505">
        <v>261542905.93000001</v>
      </c>
      <c r="K105" s="505">
        <v>232313415.55000001</v>
      </c>
      <c r="L105" s="505">
        <v>244749626.26999998</v>
      </c>
      <c r="M105" s="505">
        <v>279028518.89999992</v>
      </c>
      <c r="N105" s="505">
        <v>226302604.62999994</v>
      </c>
      <c r="O105" s="505">
        <v>260456797.44999999</v>
      </c>
      <c r="P105" s="505">
        <v>265254907.07999998</v>
      </c>
      <c r="Q105" s="505">
        <v>270249281.35000002</v>
      </c>
      <c r="R105" s="505">
        <v>442884388.78000003</v>
      </c>
      <c r="S105" s="548">
        <f>+SUM(G105:R105)</f>
        <v>3164218366.4399996</v>
      </c>
      <c r="T105" s="549">
        <f t="shared" si="29"/>
        <v>39.724538208250678</v>
      </c>
    </row>
    <row r="106" spans="1:22">
      <c r="A106" s="105" t="str">
        <f t="shared" si="27"/>
        <v>41p</v>
      </c>
      <c r="B106" s="632" t="str">
        <f>+VLOOKUP(LEFT($A106,LEN(A106)-1)*1,Master!$D$30:$G$229,4,FALSE)</f>
        <v>Tekući izdaci</v>
      </c>
      <c r="C106" s="633"/>
      <c r="D106" s="633"/>
      <c r="E106" s="633"/>
      <c r="F106" s="633"/>
      <c r="G106" s="511">
        <v>80398871.150000021</v>
      </c>
      <c r="H106" s="511">
        <v>79123123.580000013</v>
      </c>
      <c r="I106" s="511">
        <v>105194540.95999998</v>
      </c>
      <c r="J106" s="511">
        <v>102570615.17999998</v>
      </c>
      <c r="K106" s="511">
        <v>98344713.479999989</v>
      </c>
      <c r="L106" s="511">
        <v>100679060.27999999</v>
      </c>
      <c r="M106" s="511">
        <v>107095393.12999997</v>
      </c>
      <c r="N106" s="511">
        <v>97474909.409999967</v>
      </c>
      <c r="O106" s="511">
        <v>102399510.77</v>
      </c>
      <c r="P106" s="511">
        <v>108774244.22999999</v>
      </c>
      <c r="Q106" s="511">
        <v>112840005.36999999</v>
      </c>
      <c r="R106" s="512">
        <v>160830384.25999996</v>
      </c>
      <c r="S106" s="542">
        <f t="shared" si="28"/>
        <v>1255725371.8</v>
      </c>
      <c r="T106" s="519">
        <f t="shared" si="29"/>
        <v>15.764749689908856</v>
      </c>
      <c r="V106" s="275"/>
    </row>
    <row r="107" spans="1:22">
      <c r="A107" s="105" t="str">
        <f t="shared" si="27"/>
        <v>411p</v>
      </c>
      <c r="B107" s="628" t="str">
        <f>+VLOOKUP(LEFT($A107,LEN(A107)-1)*1,Master!$D$30:$G$229,4,FALSE)</f>
        <v>Bruto zarade i doprinosi na teret poslodavca</v>
      </c>
      <c r="C107" s="629"/>
      <c r="D107" s="629"/>
      <c r="E107" s="629"/>
      <c r="F107" s="629"/>
      <c r="G107" s="77">
        <v>56135491.560000025</v>
      </c>
      <c r="H107" s="77">
        <v>56113672.950000018</v>
      </c>
      <c r="I107" s="77">
        <v>60572660.889999978</v>
      </c>
      <c r="J107" s="77">
        <v>60572660.889999978</v>
      </c>
      <c r="K107" s="77">
        <v>60572660.889999978</v>
      </c>
      <c r="L107" s="77">
        <v>60572660.889999978</v>
      </c>
      <c r="M107" s="77">
        <v>60572660.889999978</v>
      </c>
      <c r="N107" s="77">
        <v>60572660.889999978</v>
      </c>
      <c r="O107" s="77">
        <v>60572660.889999978</v>
      </c>
      <c r="P107" s="77">
        <v>60572660.889999978</v>
      </c>
      <c r="Q107" s="77">
        <v>60572660.889999978</v>
      </c>
      <c r="R107" s="77">
        <v>60572655.229999982</v>
      </c>
      <c r="S107" s="101">
        <f t="shared" si="28"/>
        <v>717975767.74999988</v>
      </c>
      <c r="T107" s="436">
        <f t="shared" si="29"/>
        <v>9.0136812683606582</v>
      </c>
    </row>
    <row r="108" spans="1:22">
      <c r="A108" s="105" t="str">
        <f t="shared" si="27"/>
        <v>412p</v>
      </c>
      <c r="B108" s="628" t="str">
        <f>+VLOOKUP(LEFT($A108,LEN(A108)-1)*1,Master!$D$30:$G$229,4,FALSE)</f>
        <v>Ostala lična primanja</v>
      </c>
      <c r="C108" s="629"/>
      <c r="D108" s="629"/>
      <c r="E108" s="629"/>
      <c r="F108" s="629"/>
      <c r="G108" s="77">
        <v>1760941.9700000007</v>
      </c>
      <c r="H108" s="77">
        <v>1771422.4500000007</v>
      </c>
      <c r="I108" s="77">
        <v>2231719.1499999994</v>
      </c>
      <c r="J108" s="77">
        <v>2090464.8299999998</v>
      </c>
      <c r="K108" s="77">
        <v>1975719.9599999997</v>
      </c>
      <c r="L108" s="77">
        <v>2038233.63</v>
      </c>
      <c r="M108" s="77">
        <v>2048101.5099999998</v>
      </c>
      <c r="N108" s="77">
        <v>1965585.3699999999</v>
      </c>
      <c r="O108" s="77">
        <v>2109151.2299999995</v>
      </c>
      <c r="P108" s="77">
        <v>2093821.0599999998</v>
      </c>
      <c r="Q108" s="77">
        <v>2067288.2499999998</v>
      </c>
      <c r="R108" s="77">
        <v>2197037.4</v>
      </c>
      <c r="S108" s="101">
        <f t="shared" si="28"/>
        <v>24349486.809999995</v>
      </c>
      <c r="T108" s="436">
        <f t="shared" si="29"/>
        <v>0.30569069739121696</v>
      </c>
    </row>
    <row r="109" spans="1:22">
      <c r="A109" s="105" t="str">
        <f t="shared" si="27"/>
        <v>413p</v>
      </c>
      <c r="B109" s="628" t="str">
        <f>+VLOOKUP(LEFT($A109,LEN(A109)-1)*1,Master!$D$30:$G$229,4,FALSE)</f>
        <v>Rashodi za materijal</v>
      </c>
      <c r="C109" s="629"/>
      <c r="D109" s="629"/>
      <c r="E109" s="629"/>
      <c r="F109" s="629"/>
      <c r="G109" s="77">
        <v>1797949.1899999997</v>
      </c>
      <c r="H109" s="77">
        <v>1754175.8099999996</v>
      </c>
      <c r="I109" s="77">
        <v>4340331.200000003</v>
      </c>
      <c r="J109" s="77">
        <v>4096312.0099999993</v>
      </c>
      <c r="K109" s="77">
        <v>2784994.1200000015</v>
      </c>
      <c r="L109" s="77">
        <v>2839436.9900000016</v>
      </c>
      <c r="M109" s="77">
        <v>4315487</v>
      </c>
      <c r="N109" s="77">
        <v>2239221.8700000006</v>
      </c>
      <c r="O109" s="77">
        <v>5840490.400000006</v>
      </c>
      <c r="P109" s="77">
        <v>4413426.17</v>
      </c>
      <c r="Q109" s="77">
        <v>3758194.8000000017</v>
      </c>
      <c r="R109" s="77">
        <v>11806910.379999995</v>
      </c>
      <c r="S109" s="101">
        <f t="shared" si="28"/>
        <v>49986929.940000013</v>
      </c>
      <c r="T109" s="436">
        <f t="shared" si="29"/>
        <v>0.62755078137946629</v>
      </c>
    </row>
    <row r="110" spans="1:22">
      <c r="A110" s="105" t="str">
        <f t="shared" si="27"/>
        <v>414p</v>
      </c>
      <c r="B110" s="628" t="str">
        <f>+VLOOKUP(LEFT($A110,LEN(A110)-1)*1,Master!$D$30:$G$229,4,FALSE)</f>
        <v>Rashodi za usluge</v>
      </c>
      <c r="C110" s="629"/>
      <c r="D110" s="629"/>
      <c r="E110" s="629"/>
      <c r="F110" s="629"/>
      <c r="G110" s="77">
        <v>4145716.3000000026</v>
      </c>
      <c r="H110" s="77">
        <v>3136318.9500000007</v>
      </c>
      <c r="I110" s="77">
        <v>7715794.7800000012</v>
      </c>
      <c r="J110" s="77">
        <v>7122949.6900000013</v>
      </c>
      <c r="K110" s="77">
        <v>5130960.7100000028</v>
      </c>
      <c r="L110" s="77">
        <v>6932251.820000004</v>
      </c>
      <c r="M110" s="77">
        <v>8115877.9299999978</v>
      </c>
      <c r="N110" s="77">
        <v>4734425.1799999988</v>
      </c>
      <c r="O110" s="77">
        <v>5105525.9700000016</v>
      </c>
      <c r="P110" s="77">
        <v>8601656.3100000005</v>
      </c>
      <c r="Q110" s="77">
        <v>10558787.149999999</v>
      </c>
      <c r="R110" s="77">
        <v>29593223.09999999</v>
      </c>
      <c r="S110" s="101">
        <f t="shared" si="28"/>
        <v>100893487.89000002</v>
      </c>
      <c r="T110" s="436">
        <f t="shared" si="29"/>
        <v>1.2666468462349665</v>
      </c>
    </row>
    <row r="111" spans="1:22">
      <c r="A111" s="105" t="str">
        <f t="shared" si="27"/>
        <v>415p</v>
      </c>
      <c r="B111" s="628" t="str">
        <f>+VLOOKUP(LEFT($A111,LEN(A111)-1)*1,Master!$D$30:$G$229,4,FALSE)</f>
        <v>Rashodi za tekuće održavanje</v>
      </c>
      <c r="C111" s="629"/>
      <c r="D111" s="629"/>
      <c r="E111" s="629"/>
      <c r="F111" s="629"/>
      <c r="G111" s="77">
        <v>2624464.0299999998</v>
      </c>
      <c r="H111" s="77">
        <v>2607824.7699999996</v>
      </c>
      <c r="I111" s="77">
        <v>1932367.5999999999</v>
      </c>
      <c r="J111" s="77">
        <v>3465397.15</v>
      </c>
      <c r="K111" s="77">
        <v>886465.08000000031</v>
      </c>
      <c r="L111" s="77">
        <v>3355616.2400000012</v>
      </c>
      <c r="M111" s="77">
        <v>3896114.16</v>
      </c>
      <c r="N111" s="77">
        <v>3500915.3600000003</v>
      </c>
      <c r="O111" s="77">
        <v>4022944.0899999994</v>
      </c>
      <c r="P111" s="77">
        <v>3113180.2699999996</v>
      </c>
      <c r="Q111" s="77">
        <v>3520892.97</v>
      </c>
      <c r="R111" s="77">
        <v>10013541.890000001</v>
      </c>
      <c r="S111" s="101">
        <f t="shared" si="28"/>
        <v>42939723.609999999</v>
      </c>
      <c r="T111" s="436">
        <f t="shared" si="29"/>
        <v>0.53907805772465911</v>
      </c>
    </row>
    <row r="112" spans="1:22">
      <c r="A112" s="105" t="str">
        <f t="shared" si="27"/>
        <v>416p</v>
      </c>
      <c r="B112" s="628" t="str">
        <f>+VLOOKUP(LEFT($A112,LEN(A112)-1)*1,Master!$D$30:$G$229,4,FALSE)</f>
        <v>Kamate</v>
      </c>
      <c r="C112" s="629"/>
      <c r="D112" s="629"/>
      <c r="E112" s="629"/>
      <c r="F112" s="629"/>
      <c r="G112" s="77">
        <v>3805233.67</v>
      </c>
      <c r="H112" s="77">
        <v>3578252.2399999998</v>
      </c>
      <c r="I112" s="77">
        <v>15213849.030000003</v>
      </c>
      <c r="J112" s="77">
        <v>15213849.030000003</v>
      </c>
      <c r="K112" s="77">
        <v>15213849.030000003</v>
      </c>
      <c r="L112" s="77">
        <v>15213849.030000003</v>
      </c>
      <c r="M112" s="77">
        <v>15213849.030000003</v>
      </c>
      <c r="N112" s="77">
        <v>15213849.030000003</v>
      </c>
      <c r="O112" s="77">
        <v>15213849.030000003</v>
      </c>
      <c r="P112" s="77">
        <v>15213849.030000003</v>
      </c>
      <c r="Q112" s="77">
        <v>15213849.020000003</v>
      </c>
      <c r="R112" s="77">
        <v>15213850.330000004</v>
      </c>
      <c r="S112" s="101">
        <f t="shared" si="28"/>
        <v>159521977.50000003</v>
      </c>
      <c r="T112" s="436">
        <f t="shared" si="29"/>
        <v>2.0026863371582095</v>
      </c>
    </row>
    <row r="113" spans="1:21">
      <c r="A113" s="105" t="str">
        <f t="shared" si="27"/>
        <v>417p</v>
      </c>
      <c r="B113" s="628" t="str">
        <f>+VLOOKUP(LEFT($A113,LEN(A113)-1)*1,Master!$D$30:$G$229,4,FALSE)</f>
        <v>Renta</v>
      </c>
      <c r="C113" s="629"/>
      <c r="D113" s="629"/>
      <c r="E113" s="629"/>
      <c r="F113" s="629"/>
      <c r="G113" s="77">
        <v>1102134.17</v>
      </c>
      <c r="H113" s="77">
        <v>1088050.8400000001</v>
      </c>
      <c r="I113" s="77">
        <v>1106806.6700000006</v>
      </c>
      <c r="J113" s="77">
        <v>1106806.6700000006</v>
      </c>
      <c r="K113" s="77">
        <v>1106806.6700000006</v>
      </c>
      <c r="L113" s="77">
        <v>1106806.6700000006</v>
      </c>
      <c r="M113" s="77">
        <v>1106806.6700000006</v>
      </c>
      <c r="N113" s="77">
        <v>1106806.6700000006</v>
      </c>
      <c r="O113" s="77">
        <v>1106806.6700000006</v>
      </c>
      <c r="P113" s="77">
        <v>1106806.6700000006</v>
      </c>
      <c r="Q113" s="77">
        <v>1106806.6700000006</v>
      </c>
      <c r="R113" s="77">
        <v>1106808.1800000018</v>
      </c>
      <c r="S113" s="101">
        <f t="shared" si="28"/>
        <v>13258253.220000006</v>
      </c>
      <c r="T113" s="436">
        <f t="shared" si="29"/>
        <v>0.16644805307956922</v>
      </c>
    </row>
    <row r="114" spans="1:21">
      <c r="A114" s="105" t="str">
        <f t="shared" si="27"/>
        <v>418p</v>
      </c>
      <c r="B114" s="628" t="str">
        <f>+VLOOKUP(LEFT($A114,LEN(A114)-1)*1,Master!$D$30:$G$229,4,FALSE)</f>
        <v>Subvencije</v>
      </c>
      <c r="C114" s="629"/>
      <c r="D114" s="629"/>
      <c r="E114" s="629"/>
      <c r="F114" s="629"/>
      <c r="G114" s="77">
        <v>5746355.0200000005</v>
      </c>
      <c r="H114" s="77">
        <v>5746355.0200000005</v>
      </c>
      <c r="I114" s="77">
        <v>4058549.49</v>
      </c>
      <c r="J114" s="77">
        <v>3715778.75</v>
      </c>
      <c r="K114" s="77">
        <v>3688471.74</v>
      </c>
      <c r="L114" s="77">
        <v>4116217.9499999997</v>
      </c>
      <c r="M114" s="77">
        <v>4332819.16</v>
      </c>
      <c r="N114" s="77">
        <v>4490163.209999999</v>
      </c>
      <c r="O114" s="77">
        <v>4967532.62</v>
      </c>
      <c r="P114" s="77">
        <v>7216935.0500000007</v>
      </c>
      <c r="Q114" s="77">
        <v>9358276.9099999964</v>
      </c>
      <c r="R114" s="77">
        <v>11518805.580000002</v>
      </c>
      <c r="S114" s="101">
        <f t="shared" si="28"/>
        <v>68956260.5</v>
      </c>
      <c r="T114" s="436">
        <f t="shared" si="29"/>
        <v>0.86569739749416219</v>
      </c>
    </row>
    <row r="115" spans="1:21">
      <c r="A115" s="105" t="str">
        <f t="shared" si="27"/>
        <v>419p</v>
      </c>
      <c r="B115" s="628" t="str">
        <f>+VLOOKUP(LEFT($A115,LEN(A115)-1)*1,Master!$D$30:$G$229,4,FALSE)</f>
        <v>Ostali izdaci</v>
      </c>
      <c r="C115" s="629"/>
      <c r="D115" s="629"/>
      <c r="E115" s="629"/>
      <c r="F115" s="629"/>
      <c r="G115" s="77">
        <v>3280585.2400000012</v>
      </c>
      <c r="H115" s="77">
        <v>3327050.5500000012</v>
      </c>
      <c r="I115" s="77">
        <v>8022462.1500000032</v>
      </c>
      <c r="J115" s="77">
        <v>5186396.1600000001</v>
      </c>
      <c r="K115" s="77">
        <v>6984785.2800000012</v>
      </c>
      <c r="L115" s="77">
        <v>4503987.0600000005</v>
      </c>
      <c r="M115" s="77">
        <v>7493676.7800000012</v>
      </c>
      <c r="N115" s="77">
        <v>3651281.8299999982</v>
      </c>
      <c r="O115" s="77">
        <v>3460549.8699999996</v>
      </c>
      <c r="P115" s="77">
        <v>6441908.7800000086</v>
      </c>
      <c r="Q115" s="77">
        <v>6683248.7100000028</v>
      </c>
      <c r="R115" s="77">
        <v>18807552.169999994</v>
      </c>
      <c r="S115" s="101">
        <f t="shared" si="28"/>
        <v>77843484.580000013</v>
      </c>
      <c r="T115" s="436">
        <f t="shared" si="29"/>
        <v>0.97727025108594689</v>
      </c>
    </row>
    <row r="116" spans="1:21">
      <c r="A116" s="105" t="str">
        <f t="shared" si="27"/>
        <v>42p</v>
      </c>
      <c r="B116" s="624" t="str">
        <f>+VLOOKUP(LEFT($A116,LEN(A116)-1)*1,Master!$D$30:$G$229,4,FALSE)</f>
        <v>Transferi za socijalnu zaštitu</v>
      </c>
      <c r="C116" s="625"/>
      <c r="D116" s="625"/>
      <c r="E116" s="625"/>
      <c r="F116" s="625"/>
      <c r="G116" s="507">
        <v>86392001.569999993</v>
      </c>
      <c r="H116" s="507">
        <v>94550614.409999996</v>
      </c>
      <c r="I116" s="507">
        <v>84033380.410000011</v>
      </c>
      <c r="J116" s="507">
        <v>88082318.109999999</v>
      </c>
      <c r="K116" s="507">
        <v>87691227.070000008</v>
      </c>
      <c r="L116" s="507">
        <v>87679967.939999998</v>
      </c>
      <c r="M116" s="507">
        <v>95926625.189999983</v>
      </c>
      <c r="N116" s="507">
        <v>87844445.329999998</v>
      </c>
      <c r="O116" s="507">
        <v>88338856.129999995</v>
      </c>
      <c r="P116" s="507">
        <v>88536145.75999999</v>
      </c>
      <c r="Q116" s="507">
        <v>88870115.75999999</v>
      </c>
      <c r="R116" s="507">
        <v>90055886.960000008</v>
      </c>
      <c r="S116" s="546">
        <f t="shared" si="28"/>
        <v>1068001584.64</v>
      </c>
      <c r="T116" s="522">
        <f t="shared" si="29"/>
        <v>13.408009448866348</v>
      </c>
    </row>
    <row r="117" spans="1:21">
      <c r="A117" s="105" t="str">
        <f t="shared" si="27"/>
        <v>421p</v>
      </c>
      <c r="B117" s="628" t="str">
        <f>+VLOOKUP(LEFT($A117,LEN(A117)-1)*1,Master!$D$30:$G$229,4,FALSE)</f>
        <v>Prava iz oblasti socijalne zaštite</v>
      </c>
      <c r="C117" s="629"/>
      <c r="D117" s="629"/>
      <c r="E117" s="629"/>
      <c r="F117" s="629"/>
      <c r="G117" s="499">
        <v>19200151.200000003</v>
      </c>
      <c r="H117" s="499">
        <v>22614380.109999999</v>
      </c>
      <c r="I117" s="499">
        <v>14569687.030000001</v>
      </c>
      <c r="J117" s="499">
        <v>18350642.420000002</v>
      </c>
      <c r="K117" s="499">
        <v>18350642.420000002</v>
      </c>
      <c r="L117" s="499">
        <v>18350642.420000002</v>
      </c>
      <c r="M117" s="499">
        <v>18350642.420000002</v>
      </c>
      <c r="N117" s="499">
        <v>18350642.420000002</v>
      </c>
      <c r="O117" s="499">
        <v>18350642.420000002</v>
      </c>
      <c r="P117" s="499">
        <v>18350642.420000002</v>
      </c>
      <c r="Q117" s="499">
        <v>18350642.420000002</v>
      </c>
      <c r="R117" s="499">
        <v>18350642.299999997</v>
      </c>
      <c r="S117" s="101">
        <f t="shared" si="28"/>
        <v>221540000.00000006</v>
      </c>
      <c r="T117" s="436">
        <f t="shared" si="29"/>
        <v>2.78127903181259</v>
      </c>
    </row>
    <row r="118" spans="1:21">
      <c r="A118" s="105" t="str">
        <f t="shared" si="27"/>
        <v>422p</v>
      </c>
      <c r="B118" s="628" t="str">
        <f>+VLOOKUP(LEFT($A118,LEN(A118)-1)*1,Master!$D$30:$G$229,4,FALSE)</f>
        <v>Sredstva za tehnološke viškove</v>
      </c>
      <c r="C118" s="629"/>
      <c r="D118" s="629"/>
      <c r="E118" s="629"/>
      <c r="F118" s="629"/>
      <c r="G118" s="499">
        <v>2213718.67</v>
      </c>
      <c r="H118" s="499">
        <v>2213718.67</v>
      </c>
      <c r="I118" s="499">
        <v>2237086.37</v>
      </c>
      <c r="J118" s="499">
        <v>2239403.9500000002</v>
      </c>
      <c r="K118" s="499">
        <v>2239410.62</v>
      </c>
      <c r="L118" s="499">
        <v>2246098.89</v>
      </c>
      <c r="M118" s="499">
        <v>2291217.66</v>
      </c>
      <c r="N118" s="499">
        <v>2237086.37</v>
      </c>
      <c r="O118" s="499">
        <v>2240348.58</v>
      </c>
      <c r="P118" s="499">
        <v>2255442.8600000003</v>
      </c>
      <c r="Q118" s="499">
        <v>2316518.41</v>
      </c>
      <c r="R118" s="499">
        <v>2266249.9500000002</v>
      </c>
      <c r="S118" s="101">
        <f t="shared" si="28"/>
        <v>26996301</v>
      </c>
      <c r="T118" s="436">
        <f t="shared" si="29"/>
        <v>0.33891958972556308</v>
      </c>
    </row>
    <row r="119" spans="1:21">
      <c r="A119" s="105" t="str">
        <f t="shared" si="27"/>
        <v>423p</v>
      </c>
      <c r="B119" s="628" t="str">
        <f>+VLOOKUP(LEFT($A119,LEN(A119)-1)*1,Master!$D$30:$G$229,4,FALSE)</f>
        <v>Prava iz oblasti penzijskog i invalidskog osiguranja</v>
      </c>
      <c r="C119" s="629"/>
      <c r="D119" s="629"/>
      <c r="E119" s="629"/>
      <c r="F119" s="629"/>
      <c r="G119" s="499">
        <v>63002630.410000004</v>
      </c>
      <c r="H119" s="499">
        <v>65944050.810000002</v>
      </c>
      <c r="I119" s="499">
        <v>63766610.790000007</v>
      </c>
      <c r="J119" s="499">
        <v>64943554.629999995</v>
      </c>
      <c r="K119" s="499">
        <v>64943554.629999995</v>
      </c>
      <c r="L119" s="499">
        <v>64943554.629999995</v>
      </c>
      <c r="M119" s="499">
        <v>64943554.629999995</v>
      </c>
      <c r="N119" s="499">
        <v>64943554.629999995</v>
      </c>
      <c r="O119" s="499">
        <v>64943554.629999995</v>
      </c>
      <c r="P119" s="499">
        <v>64943554.629999995</v>
      </c>
      <c r="Q119" s="499">
        <v>64943554.629999995</v>
      </c>
      <c r="R119" s="499">
        <v>64943554.590000004</v>
      </c>
      <c r="S119" s="101">
        <f t="shared" si="28"/>
        <v>777205283.63999999</v>
      </c>
      <c r="T119" s="436">
        <f t="shared" si="29"/>
        <v>9.7572662219097595</v>
      </c>
    </row>
    <row r="120" spans="1:21">
      <c r="A120" s="105" t="str">
        <f t="shared" si="27"/>
        <v>424p</v>
      </c>
      <c r="B120" s="628" t="str">
        <f>+VLOOKUP(LEFT($A120,LEN(A120)-1)*1,Master!$D$30:$G$229,4,FALSE)</f>
        <v>Ostala prava iz oblasti zdravstvene zaštite</v>
      </c>
      <c r="C120" s="629"/>
      <c r="D120" s="629"/>
      <c r="E120" s="629"/>
      <c r="F120" s="629"/>
      <c r="G120" s="499">
        <v>1296116.4099999999</v>
      </c>
      <c r="H120" s="499">
        <v>2492958.5700000003</v>
      </c>
      <c r="I120" s="499">
        <v>1179665.53</v>
      </c>
      <c r="J120" s="499">
        <v>1197378.6400000001</v>
      </c>
      <c r="K120" s="499">
        <v>1031851.6799999999</v>
      </c>
      <c r="L120" s="499">
        <v>952500.95</v>
      </c>
      <c r="M120" s="499">
        <v>8737525.6600000001</v>
      </c>
      <c r="N120" s="499">
        <v>1669248.88</v>
      </c>
      <c r="O120" s="499">
        <v>1121644.0499999998</v>
      </c>
      <c r="P120" s="499">
        <v>1596082.4900000002</v>
      </c>
      <c r="Q120" s="499">
        <v>1455430.6600000001</v>
      </c>
      <c r="R120" s="499">
        <v>2829596.48</v>
      </c>
      <c r="S120" s="101">
        <f t="shared" si="28"/>
        <v>25560000</v>
      </c>
      <c r="T120" s="436">
        <f t="shared" si="29"/>
        <v>0.32088783990760039</v>
      </c>
    </row>
    <row r="121" spans="1:21">
      <c r="A121" s="105" t="str">
        <f t="shared" si="27"/>
        <v>425p</v>
      </c>
      <c r="B121" s="628" t="str">
        <f>+VLOOKUP(LEFT($A121,LEN(A121)-1)*1,Master!$D$30:$G$229,4,FALSE)</f>
        <v>Ostala prava iz zdravstvenog osiguranja</v>
      </c>
      <c r="C121" s="629"/>
      <c r="D121" s="629"/>
      <c r="E121" s="629"/>
      <c r="F121" s="629"/>
      <c r="G121" s="499">
        <v>679384.88</v>
      </c>
      <c r="H121" s="499">
        <v>1285506.25</v>
      </c>
      <c r="I121" s="499">
        <v>2280330.69</v>
      </c>
      <c r="J121" s="499">
        <v>1351338.47</v>
      </c>
      <c r="K121" s="499">
        <v>1125767.7200000002</v>
      </c>
      <c r="L121" s="499">
        <v>1187171.05</v>
      </c>
      <c r="M121" s="499">
        <v>1603684.82</v>
      </c>
      <c r="N121" s="499">
        <v>643913.03</v>
      </c>
      <c r="O121" s="499">
        <v>1682666.45</v>
      </c>
      <c r="P121" s="499">
        <v>1390423.3599999999</v>
      </c>
      <c r="Q121" s="499">
        <v>1803969.6400000001</v>
      </c>
      <c r="R121" s="499">
        <v>1665843.6400000001</v>
      </c>
      <c r="S121" s="101">
        <f t="shared" si="28"/>
        <v>16699999.999999998</v>
      </c>
      <c r="T121" s="436">
        <f t="shared" si="29"/>
        <v>0.20965676551083431</v>
      </c>
    </row>
    <row r="122" spans="1:21">
      <c r="A122" s="105" t="str">
        <f t="shared" si="27"/>
        <v>43p</v>
      </c>
      <c r="B122" s="626" t="str">
        <f>+VLOOKUP(LEFT($A122,LEN(A122)-1)*1,Master!$D$30:$G$229,4,FALSE)</f>
        <v xml:space="preserve">Transferi institucijama, pojedincima, nevladinom i javnom sektoru </v>
      </c>
      <c r="C122" s="627"/>
      <c r="D122" s="627"/>
      <c r="E122" s="627"/>
      <c r="F122" s="627"/>
      <c r="G122" s="510">
        <v>24933803.300000001</v>
      </c>
      <c r="H122" s="510">
        <v>28417235.470000003</v>
      </c>
      <c r="I122" s="510">
        <v>36583993.789999992</v>
      </c>
      <c r="J122" s="510">
        <v>39900372.520000003</v>
      </c>
      <c r="K122" s="510">
        <v>28056913.509999998</v>
      </c>
      <c r="L122" s="510">
        <v>34581890.380000003</v>
      </c>
      <c r="M122" s="510">
        <v>44130800.329999998</v>
      </c>
      <c r="N122" s="510">
        <v>25223745.73</v>
      </c>
      <c r="O122" s="510">
        <v>34573353.040000007</v>
      </c>
      <c r="P122" s="510">
        <v>31668771.07</v>
      </c>
      <c r="Q122" s="510">
        <v>33981246.379999995</v>
      </c>
      <c r="R122" s="510">
        <v>84352169.340000018</v>
      </c>
      <c r="S122" s="546">
        <f>+SUM(G122:R122)</f>
        <v>446404294.86000001</v>
      </c>
      <c r="T122" s="522">
        <f t="shared" si="29"/>
        <v>5.6042922497300829</v>
      </c>
    </row>
    <row r="123" spans="1:21">
      <c r="A123" s="105" t="str">
        <f t="shared" si="27"/>
        <v>44p</v>
      </c>
      <c r="B123" s="626" t="str">
        <f>+VLOOKUP(LEFT($A123,LEN(A123)-1)*1,Master!$D$30:$G$229,4,FALSE)</f>
        <v>Kapitalni izdaci</v>
      </c>
      <c r="C123" s="627"/>
      <c r="D123" s="627"/>
      <c r="E123" s="627"/>
      <c r="F123" s="627"/>
      <c r="G123" s="510">
        <v>5503773.2700000005</v>
      </c>
      <c r="H123" s="510">
        <v>9195615.1799999978</v>
      </c>
      <c r="I123" s="510">
        <v>16715107.390000001</v>
      </c>
      <c r="J123" s="510">
        <v>26087641.550000012</v>
      </c>
      <c r="K123" s="510">
        <v>13327708.719999997</v>
      </c>
      <c r="L123" s="510">
        <v>16580021.110000011</v>
      </c>
      <c r="M123" s="510">
        <v>26391681.190000005</v>
      </c>
      <c r="N123" s="510">
        <v>12240267.610000005</v>
      </c>
      <c r="O123" s="510">
        <v>31126098.129999995</v>
      </c>
      <c r="P123" s="510">
        <v>32465046.63000001</v>
      </c>
      <c r="Q123" s="510">
        <v>30505235.93</v>
      </c>
      <c r="R123" s="510">
        <v>102751427.08999999</v>
      </c>
      <c r="S123" s="546">
        <f>+SUM(G123:R123)</f>
        <v>322889623.80000001</v>
      </c>
      <c r="T123" s="522">
        <f t="shared" si="29"/>
        <v>4.0536523438873129</v>
      </c>
      <c r="U123" s="292"/>
    </row>
    <row r="124" spans="1:21">
      <c r="A124" s="105" t="str">
        <f t="shared" si="27"/>
        <v>451p</v>
      </c>
      <c r="B124" s="618" t="str">
        <f>+VLOOKUP(LEFT($A124,LEN(A124)-1)*1,Master!$D$30:$G$229,4,FALSE)</f>
        <v>Pozajmice i krediti</v>
      </c>
      <c r="C124" s="619"/>
      <c r="D124" s="619"/>
      <c r="E124" s="619"/>
      <c r="F124" s="619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92"/>
    </row>
    <row r="125" spans="1:21">
      <c r="A125" s="105" t="str">
        <f t="shared" si="27"/>
        <v>47p</v>
      </c>
      <c r="B125" s="618" t="str">
        <f>+VLOOKUP(LEFT($A125,LEN(A125)-1)*1,Master!$D$30:$G$229,4,FALSE)</f>
        <v>Rezerve</v>
      </c>
      <c r="C125" s="619"/>
      <c r="D125" s="619"/>
      <c r="E125" s="619"/>
      <c r="F125" s="619"/>
      <c r="G125" s="501">
        <v>8050000</v>
      </c>
      <c r="H125" s="501">
        <v>8050000</v>
      </c>
      <c r="I125" s="501">
        <v>2744200</v>
      </c>
      <c r="J125" s="501">
        <v>2744200</v>
      </c>
      <c r="K125" s="501">
        <v>2744200</v>
      </c>
      <c r="L125" s="501">
        <v>2744200</v>
      </c>
      <c r="M125" s="501">
        <v>2744200</v>
      </c>
      <c r="N125" s="501">
        <v>2744200</v>
      </c>
      <c r="O125" s="501">
        <v>2744200</v>
      </c>
      <c r="P125" s="501">
        <v>2744200</v>
      </c>
      <c r="Q125" s="501">
        <v>2744200</v>
      </c>
      <c r="R125" s="501">
        <v>2744200</v>
      </c>
      <c r="S125" s="101">
        <f t="shared" si="28"/>
        <v>43542000</v>
      </c>
      <c r="T125" s="436">
        <f t="shared" si="29"/>
        <v>0.54663921460315867</v>
      </c>
      <c r="U125" s="292"/>
    </row>
    <row r="126" spans="1:21">
      <c r="A126" s="105" t="str">
        <f t="shared" si="27"/>
        <v>462p</v>
      </c>
      <c r="B126" s="618" t="str">
        <f>+VLOOKUP(LEFT($A126,LEN(A126)-1)*1,Master!$D$30:$G$229,4,FALSE)</f>
        <v>Otplata garancija</v>
      </c>
      <c r="C126" s="619"/>
      <c r="D126" s="619"/>
      <c r="E126" s="619"/>
      <c r="F126" s="619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5.1472669294699562E-2</v>
      </c>
      <c r="U126" s="292"/>
    </row>
    <row r="127" spans="1:21">
      <c r="A127" s="106" t="str">
        <f t="shared" si="27"/>
        <v>4630p</v>
      </c>
      <c r="B127" s="618" t="str">
        <f>+VLOOKUP(LEFT($A127,LEN(A127)-1)*1,Master!$D$30:$G$229,4,FALSE)</f>
        <v>Otplata obaveza iz prethodnog perioda</v>
      </c>
      <c r="C127" s="619"/>
      <c r="D127" s="619"/>
      <c r="E127" s="619"/>
      <c r="F127" s="619"/>
      <c r="G127" s="502">
        <v>2082188.6500000046</v>
      </c>
      <c r="H127" s="501">
        <v>2082188.6500000046</v>
      </c>
      <c r="I127" s="501">
        <v>3285282.3200000245</v>
      </c>
      <c r="J127" s="501">
        <v>2157758.1700000148</v>
      </c>
      <c r="K127" s="501">
        <v>2148652.370000015</v>
      </c>
      <c r="L127" s="501">
        <v>2484486.1600000183</v>
      </c>
      <c r="M127" s="501">
        <v>2739818.6599999815</v>
      </c>
      <c r="N127" s="501">
        <v>775036.15000000631</v>
      </c>
      <c r="O127" s="501">
        <v>1274778.9800000095</v>
      </c>
      <c r="P127" s="501">
        <v>1066498.9900000077</v>
      </c>
      <c r="Q127" s="501">
        <v>1308477.5100000093</v>
      </c>
      <c r="R127" s="501">
        <v>2150320.7300000186</v>
      </c>
      <c r="S127" s="92">
        <f>+SUM(G127:R127)</f>
        <v>23555487.340000112</v>
      </c>
      <c r="T127" s="444">
        <f t="shared" si="29"/>
        <v>0.29572259196022938</v>
      </c>
      <c r="U127" s="292"/>
    </row>
    <row r="128" spans="1:21" ht="13.5" thickBot="1">
      <c r="A128" s="105" t="str">
        <f t="shared" si="27"/>
        <v>1005p</v>
      </c>
      <c r="B128" s="618" t="str">
        <f>+VLOOKUP(LEFT($A128,LEN(A128)-1)*1,Master!$D$30:$G$229,4,FALSE)</f>
        <v>Neto povećanje obaveza</v>
      </c>
      <c r="C128" s="619"/>
      <c r="D128" s="619"/>
      <c r="E128" s="619"/>
      <c r="F128" s="619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92"/>
    </row>
    <row r="129" spans="1:21" ht="13.5" thickBot="1">
      <c r="A129" s="106" t="str">
        <f t="shared" si="27"/>
        <v>1000p</v>
      </c>
      <c r="B129" s="620" t="str">
        <f>+VLOOKUP(LEFT($A129,LEN(A129)-1)*1,Master!$D$30:$G$226,4,FALSE)</f>
        <v>Suficit / deficit</v>
      </c>
      <c r="C129" s="621"/>
      <c r="D129" s="621"/>
      <c r="E129" s="621"/>
      <c r="F129" s="621"/>
      <c r="G129" s="504">
        <f t="shared" ref="G129:R129" si="30">+G86-G105</f>
        <v>-55295276.370000064</v>
      </c>
      <c r="H129" s="505">
        <f t="shared" si="30"/>
        <v>-34953002.677298546</v>
      </c>
      <c r="I129" s="504">
        <f t="shared" si="30"/>
        <v>23224648.490775436</v>
      </c>
      <c r="J129" s="504">
        <f t="shared" si="30"/>
        <v>34592028.279589474</v>
      </c>
      <c r="K129" s="504">
        <f t="shared" si="30"/>
        <v>-23616441.468635529</v>
      </c>
      <c r="L129" s="504">
        <f t="shared" si="30"/>
        <v>-4431941.1082425117</v>
      </c>
      <c r="M129" s="504">
        <f t="shared" si="30"/>
        <v>-34724604.138551772</v>
      </c>
      <c r="N129" s="504">
        <f t="shared" si="30"/>
        <v>36534956.443196267</v>
      </c>
      <c r="O129" s="504">
        <f t="shared" si="30"/>
        <v>-7031818.6933355629</v>
      </c>
      <c r="P129" s="504">
        <f t="shared" si="30"/>
        <v>-3087127.733951509</v>
      </c>
      <c r="Q129" s="504">
        <f t="shared" si="30"/>
        <v>-29542646.189270049</v>
      </c>
      <c r="R129" s="504">
        <f t="shared" si="30"/>
        <v>-179814141.19429633</v>
      </c>
      <c r="S129" s="550">
        <f t="shared" si="28"/>
        <v>-278145366.3600207</v>
      </c>
      <c r="T129" s="531">
        <f t="shared" si="29"/>
        <v>-3.4919196319082619</v>
      </c>
      <c r="U129" s="292"/>
    </row>
    <row r="130" spans="1:21" ht="13.5" thickBot="1">
      <c r="A130" s="106" t="str">
        <f t="shared" si="27"/>
        <v>1001p</v>
      </c>
      <c r="B130" s="622" t="str">
        <f>+VLOOKUP(LEFT($A130,LEN(A130)-1)*1,Master!$D$30:$G$226,4,FALSE)</f>
        <v>Primarni suficit/deficit</v>
      </c>
      <c r="C130" s="623"/>
      <c r="D130" s="623"/>
      <c r="E130" s="623"/>
      <c r="F130" s="623"/>
      <c r="G130" s="506">
        <f t="shared" ref="G130:R130" si="31">+G129+G112</f>
        <v>-51490042.700000063</v>
      </c>
      <c r="H130" s="506">
        <f t="shared" si="31"/>
        <v>-31374750.437298547</v>
      </c>
      <c r="I130" s="506">
        <f t="shared" si="31"/>
        <v>38438497.520775437</v>
      </c>
      <c r="J130" s="506">
        <f t="shared" si="31"/>
        <v>49805877.309589475</v>
      </c>
      <c r="K130" s="506">
        <f t="shared" si="31"/>
        <v>-8402592.4386355262</v>
      </c>
      <c r="L130" s="506">
        <f t="shared" si="31"/>
        <v>10781907.921757491</v>
      </c>
      <c r="M130" s="506">
        <f t="shared" si="31"/>
        <v>-19510755.10855177</v>
      </c>
      <c r="N130" s="506">
        <f t="shared" si="31"/>
        <v>51748805.473196268</v>
      </c>
      <c r="O130" s="506">
        <f t="shared" si="31"/>
        <v>8182030.3366644401</v>
      </c>
      <c r="P130" s="506">
        <f t="shared" si="31"/>
        <v>12126721.296048494</v>
      </c>
      <c r="Q130" s="506">
        <f t="shared" si="31"/>
        <v>-14328797.169270046</v>
      </c>
      <c r="R130" s="506">
        <f t="shared" si="31"/>
        <v>-164600290.86429632</v>
      </c>
      <c r="S130" s="550">
        <f t="shared" si="28"/>
        <v>-118623388.86002067</v>
      </c>
      <c r="T130" s="531">
        <f t="shared" si="29"/>
        <v>-1.4892332947500524</v>
      </c>
      <c r="U130" s="292"/>
    </row>
    <row r="131" spans="1:21">
      <c r="A131" s="106" t="str">
        <f t="shared" si="27"/>
        <v>46p</v>
      </c>
      <c r="B131" s="624" t="str">
        <f>+VLOOKUP(LEFT($A131,LEN(A131)-1)*1,Master!$D$30:$G$226,4,FALSE)</f>
        <v>Otplata dugova</v>
      </c>
      <c r="C131" s="625"/>
      <c r="D131" s="625"/>
      <c r="E131" s="625"/>
      <c r="F131" s="625"/>
      <c r="G131" s="507">
        <f t="shared" ref="G131:R131" si="32">+SUM(G132:G133)</f>
        <v>34629783.640000001</v>
      </c>
      <c r="H131" s="507">
        <f t="shared" si="32"/>
        <v>9255908.8399999999</v>
      </c>
      <c r="I131" s="507">
        <f t="shared" si="32"/>
        <v>37279968.969999999</v>
      </c>
      <c r="J131" s="507">
        <f t="shared" si="32"/>
        <v>509032718.42000002</v>
      </c>
      <c r="K131" s="507">
        <f t="shared" si="32"/>
        <v>51424972.890000001</v>
      </c>
      <c r="L131" s="507">
        <f t="shared" si="32"/>
        <v>38999380.129999995</v>
      </c>
      <c r="M131" s="508">
        <f t="shared" si="32"/>
        <v>34464831.550000004</v>
      </c>
      <c r="N131" s="507">
        <f t="shared" si="32"/>
        <v>12238304.779999999</v>
      </c>
      <c r="O131" s="507">
        <f t="shared" si="32"/>
        <v>26363598.969999999</v>
      </c>
      <c r="P131" s="507">
        <f t="shared" si="32"/>
        <v>15223291.52</v>
      </c>
      <c r="Q131" s="507">
        <f t="shared" si="32"/>
        <v>24879249.909999996</v>
      </c>
      <c r="R131" s="507">
        <f t="shared" si="32"/>
        <v>27119636.140000001</v>
      </c>
      <c r="S131" s="551">
        <f t="shared" si="28"/>
        <v>820911645.75999987</v>
      </c>
      <c r="T131" s="533">
        <f t="shared" si="29"/>
        <v>10.305968887438169</v>
      </c>
      <c r="U131" s="292"/>
    </row>
    <row r="132" spans="1:21">
      <c r="A132" s="106" t="str">
        <f t="shared" si="27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502">
        <v>1994016.24</v>
      </c>
      <c r="H132" s="502">
        <v>1708211.7699999998</v>
      </c>
      <c r="I132" s="502">
        <v>4420663.5200000005</v>
      </c>
      <c r="J132" s="502">
        <v>2031985.0399999998</v>
      </c>
      <c r="K132" s="502">
        <v>2791685.76</v>
      </c>
      <c r="L132" s="502">
        <v>15431758.25</v>
      </c>
      <c r="M132" s="503">
        <v>1717903.2899999998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15763777.100000001</v>
      </c>
      <c r="S132" s="92">
        <f t="shared" si="28"/>
        <v>56781644.759999998</v>
      </c>
      <c r="T132" s="444">
        <f t="shared" si="29"/>
        <v>0.71285365154292313</v>
      </c>
      <c r="U132" s="292"/>
    </row>
    <row r="133" spans="1:21" ht="13.5" thickBot="1">
      <c r="A133" s="106" t="str">
        <f t="shared" si="27"/>
        <v>4612p</v>
      </c>
      <c r="B133" s="618" t="str">
        <f>+VLOOKUP(LEFT($A133,LEN(A133)-1)*1,Master!$D$30:$G$226,4,FALSE)</f>
        <v>Otplata hartija od vrijednosti i kredita nerezidentima</v>
      </c>
      <c r="C133" s="619"/>
      <c r="D133" s="619"/>
      <c r="E133" s="619"/>
      <c r="F133" s="619"/>
      <c r="G133" s="502">
        <v>32635767.399999999</v>
      </c>
      <c r="H133" s="502">
        <v>7547697.0700000003</v>
      </c>
      <c r="I133" s="502">
        <v>32859305.449999999</v>
      </c>
      <c r="J133" s="502">
        <v>507000733.38</v>
      </c>
      <c r="K133" s="502">
        <v>48633287.130000003</v>
      </c>
      <c r="L133" s="502">
        <v>23567621.879999999</v>
      </c>
      <c r="M133" s="503">
        <v>32746928.260000002</v>
      </c>
      <c r="N133" s="503">
        <v>10485842.68</v>
      </c>
      <c r="O133" s="503">
        <v>21807815.07</v>
      </c>
      <c r="P133" s="503">
        <v>13475298.74</v>
      </c>
      <c r="Q133" s="503">
        <v>22013844.899999999</v>
      </c>
      <c r="R133" s="503">
        <v>11355859.039999999</v>
      </c>
      <c r="S133" s="92">
        <f t="shared" si="28"/>
        <v>764130000.99999988</v>
      </c>
      <c r="T133" s="444">
        <f t="shared" si="29"/>
        <v>9.5931152358952456</v>
      </c>
      <c r="U133" s="292"/>
    </row>
    <row r="134" spans="1:21" ht="13.5" thickBot="1">
      <c r="A134" s="106" t="str">
        <f t="shared" si="27"/>
        <v>4418p</v>
      </c>
      <c r="B134" s="612" t="str">
        <f>+VLOOKUP(LEFT($A134,LEN(A134)-1)*1,Master!$D$30:$G$226,4,FALSE)</f>
        <v>Izdaci za kupovinu hartija od vrijednosti</v>
      </c>
      <c r="C134" s="613"/>
      <c r="D134" s="613"/>
      <c r="E134" s="613"/>
      <c r="F134" s="613"/>
      <c r="G134" s="504">
        <v>0</v>
      </c>
      <c r="H134" s="504">
        <v>5000</v>
      </c>
      <c r="I134" s="504">
        <v>3420000.36</v>
      </c>
      <c r="J134" s="504">
        <v>3420000.36</v>
      </c>
      <c r="K134" s="504">
        <v>3420000.36</v>
      </c>
      <c r="L134" s="504">
        <v>3420000.36</v>
      </c>
      <c r="M134" s="504">
        <v>3420000.36</v>
      </c>
      <c r="N134" s="504">
        <v>3420000.36</v>
      </c>
      <c r="O134" s="504">
        <v>3420000.36</v>
      </c>
      <c r="P134" s="504">
        <v>3420000.36</v>
      </c>
      <c r="Q134" s="504">
        <v>3420000.36</v>
      </c>
      <c r="R134" s="504">
        <v>3420001.36</v>
      </c>
      <c r="S134" s="550">
        <f t="shared" si="28"/>
        <v>34205004.600000001</v>
      </c>
      <c r="T134" s="531">
        <f t="shared" si="29"/>
        <v>0.42941979812689884</v>
      </c>
      <c r="U134" s="292"/>
    </row>
    <row r="135" spans="1:21" ht="13.5" thickBot="1">
      <c r="A135" s="106" t="s">
        <v>856</v>
      </c>
      <c r="B135" s="612" t="s">
        <v>113</v>
      </c>
      <c r="C135" s="613"/>
      <c r="D135" s="613"/>
      <c r="E135" s="613"/>
      <c r="F135" s="613"/>
      <c r="G135" s="500">
        <v>0</v>
      </c>
      <c r="H135" s="500">
        <v>1200000</v>
      </c>
      <c r="I135" s="500">
        <v>630000.6</v>
      </c>
      <c r="J135" s="500">
        <v>630000.6</v>
      </c>
      <c r="K135" s="500">
        <v>630000.6</v>
      </c>
      <c r="L135" s="500">
        <v>630000.6</v>
      </c>
      <c r="M135" s="500">
        <v>630000.6</v>
      </c>
      <c r="N135" s="500">
        <v>630000.6</v>
      </c>
      <c r="O135" s="500">
        <v>630000.6</v>
      </c>
      <c r="P135" s="500">
        <v>630000.6</v>
      </c>
      <c r="Q135" s="500">
        <v>630000.6</v>
      </c>
      <c r="R135" s="500">
        <v>630000.6</v>
      </c>
      <c r="S135" s="550">
        <f t="shared" si="28"/>
        <v>7500005.9999999981</v>
      </c>
      <c r="T135" s="531">
        <f t="shared" si="29"/>
        <v>9.4157305345619779E-2</v>
      </c>
      <c r="U135" s="292"/>
    </row>
    <row r="136" spans="1:21" ht="13.5" thickBot="1">
      <c r="A136" s="106" t="str">
        <f>+CONCATENATE(A60,"p")</f>
        <v>1002p</v>
      </c>
      <c r="B136" s="614" t="str">
        <f>+VLOOKUP(LEFT($A136,LEN(A136)-1)*1,Master!$D$30:$G$226,4,FALSE)</f>
        <v>Nedostajuća sredstva</v>
      </c>
      <c r="C136" s="615"/>
      <c r="D136" s="615"/>
      <c r="E136" s="615"/>
      <c r="F136" s="615"/>
      <c r="G136" s="509">
        <f>+G129-G131-G134-G135</f>
        <v>-89925060.010000065</v>
      </c>
      <c r="H136" s="509">
        <f t="shared" ref="H136:R136" si="33">+H129-H131-H134-H135</f>
        <v>-45413911.517298549</v>
      </c>
      <c r="I136" s="509">
        <f t="shared" si="33"/>
        <v>-18105321.439224564</v>
      </c>
      <c r="J136" s="509">
        <f t="shared" si="33"/>
        <v>-478490691.10041058</v>
      </c>
      <c r="K136" s="509">
        <f t="shared" si="33"/>
        <v>-79091415.318635523</v>
      </c>
      <c r="L136" s="509">
        <f t="shared" si="33"/>
        <v>-47481322.198242508</v>
      </c>
      <c r="M136" s="509">
        <f t="shared" si="33"/>
        <v>-73239436.648551777</v>
      </c>
      <c r="N136" s="509">
        <f t="shared" si="33"/>
        <v>20246650.703196265</v>
      </c>
      <c r="O136" s="509">
        <f t="shared" si="33"/>
        <v>-37445418.623335563</v>
      </c>
      <c r="P136" s="509">
        <f t="shared" si="33"/>
        <v>-22360420.213951509</v>
      </c>
      <c r="Q136" s="509">
        <f t="shared" si="33"/>
        <v>-58471897.059270047</v>
      </c>
      <c r="R136" s="509">
        <f t="shared" si="33"/>
        <v>-210983779.29429635</v>
      </c>
      <c r="S136" s="552">
        <f t="shared" si="28"/>
        <v>-1140762022.7200208</v>
      </c>
      <c r="T136" s="535">
        <f t="shared" si="29"/>
        <v>-14.321465622818952</v>
      </c>
      <c r="U136" s="292"/>
    </row>
    <row r="137" spans="1:21" ht="13.5" thickBot="1">
      <c r="A137" s="106" t="str">
        <f>+CONCATENATE(A61,"p")</f>
        <v>1003p</v>
      </c>
      <c r="B137" s="612" t="str">
        <f>+VLOOKUP(LEFT($A137,LEN(A137)-1)*1,Master!$D$30:$G$226,4,FALSE)</f>
        <v>Finansiranje</v>
      </c>
      <c r="C137" s="613"/>
      <c r="D137" s="613"/>
      <c r="E137" s="613"/>
      <c r="F137" s="613"/>
      <c r="G137" s="504">
        <f t="shared" ref="G137" si="34">+SUM(G138:G142)</f>
        <v>89925060.010000065</v>
      </c>
      <c r="H137" s="504">
        <f t="shared" ref="H137:R137" si="35">+SUM(H138:H142)</f>
        <v>45413911.517298549</v>
      </c>
      <c r="I137" s="504">
        <f t="shared" si="35"/>
        <v>18105321.439224601</v>
      </c>
      <c r="J137" s="504">
        <f t="shared" si="35"/>
        <v>478490691.10041058</v>
      </c>
      <c r="K137" s="504">
        <f t="shared" si="35"/>
        <v>79091415.318635523</v>
      </c>
      <c r="L137" s="504">
        <f t="shared" si="35"/>
        <v>47481322.198242508</v>
      </c>
      <c r="M137" s="504">
        <f t="shared" si="35"/>
        <v>73239436.648551777</v>
      </c>
      <c r="N137" s="504">
        <f t="shared" si="35"/>
        <v>-20246650.703196265</v>
      </c>
      <c r="O137" s="504">
        <f t="shared" si="35"/>
        <v>37445418.62333557</v>
      </c>
      <c r="P137" s="504">
        <f t="shared" si="35"/>
        <v>22360420.213951509</v>
      </c>
      <c r="Q137" s="504">
        <f t="shared" si="35"/>
        <v>58471897.059270047</v>
      </c>
      <c r="R137" s="504">
        <f t="shared" si="35"/>
        <v>210983779.29429635</v>
      </c>
      <c r="S137" s="553">
        <f t="shared" si="28"/>
        <v>1140762022.7200208</v>
      </c>
      <c r="T137" s="537">
        <f t="shared" si="29"/>
        <v>14.321465622818952</v>
      </c>
      <c r="U137" s="292"/>
    </row>
    <row r="138" spans="1:21">
      <c r="A138" s="106" t="str">
        <f>+CONCATENATE(A62,"p")</f>
        <v>7511p</v>
      </c>
      <c r="B138" s="616" t="str">
        <f>+VLOOKUP(LEFT($A138,LEN(A138)-1)*1,Master!$D$30:$G$226,4,FALSE)</f>
        <v>Pozajmice i krediti od domaćih izvora</v>
      </c>
      <c r="C138" s="617"/>
      <c r="D138" s="617"/>
      <c r="E138" s="617"/>
      <c r="F138" s="617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1.4437441936374822</v>
      </c>
      <c r="U138" s="292"/>
    </row>
    <row r="139" spans="1:21">
      <c r="A139" s="106" t="str">
        <f>+CONCATENATE(A63,"p")</f>
        <v>7512p</v>
      </c>
      <c r="B139" s="618" t="str">
        <f>+VLOOKUP(LEFT($A139,LEN(A139)-1)*1,Master!$D$30:$G$226,4,FALSE)</f>
        <v>Pozajmice i krediti od inostranih izvora</v>
      </c>
      <c r="C139" s="619"/>
      <c r="D139" s="619"/>
      <c r="E139" s="619"/>
      <c r="F139" s="619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9.6669861976799663</v>
      </c>
      <c r="U139" s="292"/>
    </row>
    <row r="140" spans="1:21">
      <c r="A140" s="106" t="str">
        <f>+CONCATENATE(A64,"p")</f>
        <v>72p</v>
      </c>
      <c r="B140" s="618" t="str">
        <f>+VLOOKUP(LEFT($A140,LEN(A140)-1)*1,Master!$D$30:$G$226,4,FALSE)</f>
        <v>Primici od prodaje imovine</v>
      </c>
      <c r="C140" s="619"/>
      <c r="D140" s="619"/>
      <c r="E140" s="619"/>
      <c r="F140" s="619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7.5325784015868633E-2</v>
      </c>
      <c r="U140" s="292"/>
    </row>
    <row r="141" spans="1:21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0.12237808521857031</v>
      </c>
      <c r="U141" s="292"/>
    </row>
    <row r="142" spans="1:21" ht="13.5" thickBot="1">
      <c r="A142" s="106" t="str">
        <f t="shared" ref="A142" si="36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89343537.673485354</v>
      </c>
      <c r="H142" s="86">
        <f t="shared" ref="H142:R142" si="37">-H136-SUM(H138:H141)</f>
        <v>44467938.404182836</v>
      </c>
      <c r="I142" s="86">
        <f t="shared" si="37"/>
        <v>-682697826.07007647</v>
      </c>
      <c r="J142" s="86">
        <f t="shared" si="37"/>
        <v>427579019.80849087</v>
      </c>
      <c r="K142" s="86">
        <f t="shared" si="37"/>
        <v>77638196.50845848</v>
      </c>
      <c r="L142" s="86">
        <f t="shared" si="37"/>
        <v>45450391.605546646</v>
      </c>
      <c r="M142" s="86">
        <f t="shared" si="37"/>
        <v>72580716.784294352</v>
      </c>
      <c r="N142" s="86">
        <f>-N136-SUM(N138:N141)</f>
        <v>-22274103.668324523</v>
      </c>
      <c r="O142" s="86">
        <f>-O136-SUM(O138:O141)</f>
        <v>-98285136.776374459</v>
      </c>
      <c r="P142" s="86">
        <f t="shared" si="37"/>
        <v>21597233.524191584</v>
      </c>
      <c r="Q142" s="86">
        <f t="shared" si="37"/>
        <v>56268304.583553813</v>
      </c>
      <c r="R142" s="86">
        <f t="shared" si="37"/>
        <v>208331727.75259227</v>
      </c>
      <c r="S142" s="94">
        <f>+SUM(G142:R142)</f>
        <v>240000000.13002077</v>
      </c>
      <c r="T142" s="448">
        <f t="shared" si="29"/>
        <v>3.0130313622670646</v>
      </c>
      <c r="U142" s="292"/>
    </row>
    <row r="144" spans="1:21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XlMyP9Uug7S7kFqstO+y5LgypVt25onK5sEbZmqumJGpHyTkqqV+QxMQad8QrRjju/+STz4tqYqlHMcQ+Ab7PA==" saltValue="MTHhgP3Mv/3VeTTX0PLvDQ==" spinCount="100000" sheet="1" objects="1" scenarios="1"/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2023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6963615000</v>
      </c>
    </row>
    <row r="8" spans="1:24" ht="16.5" customHeight="1">
      <c r="A8" s="129"/>
      <c r="B8" s="594"/>
      <c r="C8" s="595"/>
      <c r="D8" s="595"/>
      <c r="E8" s="595"/>
      <c r="F8" s="596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4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70" t="str">
        <f>+VLOOKUP($A28,Master!$D$30:$G$226,4,FALSE)</f>
        <v>Donacije i transferi</v>
      </c>
      <c r="C28" s="571"/>
      <c r="D28" s="571"/>
      <c r="E28" s="571"/>
      <c r="F28" s="571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82" t="str">
        <f>+VLOOKUP($A63,Master!$D$30:$G$226,4,FALSE)</f>
        <v>Pozajmice i krediti od inostranih izvora</v>
      </c>
      <c r="C63" s="583"/>
      <c r="D63" s="583"/>
      <c r="E63" s="583"/>
      <c r="F63" s="583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82" t="s">
        <v>101</v>
      </c>
      <c r="C65" s="583"/>
      <c r="D65" s="583"/>
      <c r="E65" s="583"/>
      <c r="F65" s="583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8" t="str">
        <f>+Master!G253</f>
        <v>Plan ostvarenja budžeta</v>
      </c>
      <c r="C83" s="639"/>
      <c r="D83" s="639"/>
      <c r="E83" s="639"/>
      <c r="F83" s="639"/>
      <c r="G83" s="646">
        <v>2023</v>
      </c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48"/>
      <c r="S83" s="96" t="str">
        <f>+S7</f>
        <v>BDP</v>
      </c>
      <c r="T83" s="97">
        <v>6624340418</v>
      </c>
    </row>
    <row r="84" spans="1:26" ht="15.75" customHeight="1">
      <c r="B84" s="640"/>
      <c r="C84" s="641"/>
      <c r="D84" s="641"/>
      <c r="E84" s="641"/>
      <c r="F84" s="642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46" t="str">
        <f>+Master!G247</f>
        <v>Jan - Dec</v>
      </c>
      <c r="T84" s="648">
        <f>+T8</f>
        <v>0</v>
      </c>
    </row>
    <row r="85" spans="1:26" ht="13.5" thickBot="1">
      <c r="B85" s="643"/>
      <c r="C85" s="644"/>
      <c r="D85" s="644"/>
      <c r="E85" s="644"/>
      <c r="F85" s="64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12" t="str">
        <f>+VLOOKUP(LEFT($A86,LEN(A86)-1)*1,Master!$D$30:$G$226,4,FALSE)</f>
        <v>Prihodi budžeta</v>
      </c>
      <c r="C86" s="613"/>
      <c r="D86" s="613"/>
      <c r="E86" s="613"/>
      <c r="F86" s="613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6" t="str">
        <f>+VLOOKUP(LEFT($A87,LEN(A87)-1)*1,Master!$D$30:$G$226,4,FALSE)</f>
        <v>Porezi</v>
      </c>
      <c r="C87" s="637"/>
      <c r="D87" s="637"/>
      <c r="E87" s="637"/>
      <c r="F87" s="637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8" t="str">
        <f>+VLOOKUP(LEFT($A88,LEN(A88)-1)*1,Master!$D$30:$G$229,4,FALSE)</f>
        <v>Porez na dohodak fizičkih lica</v>
      </c>
      <c r="C88" s="629"/>
      <c r="D88" s="629"/>
      <c r="E88" s="629"/>
      <c r="F88" s="629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8" t="str">
        <f>+VLOOKUP(LEFT($A89,LEN(A89)-1)*1,Master!$D$30:$G$229,4,FALSE)</f>
        <v>Porez na dobit pravnih lica</v>
      </c>
      <c r="C89" s="629"/>
      <c r="D89" s="629"/>
      <c r="E89" s="629"/>
      <c r="F89" s="629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8" t="str">
        <f>+VLOOKUP(LEFT($A90,LEN(A90)-1)*1,Master!$D$30:$G$229,4,FALSE)</f>
        <v>Porez na promet nepokretnosti</v>
      </c>
      <c r="C90" s="629"/>
      <c r="D90" s="629"/>
      <c r="E90" s="629"/>
      <c r="F90" s="629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8" t="str">
        <f>+VLOOKUP(LEFT($A91,LEN(A91)-1)*1,Master!$D$30:$G$229,4,FALSE)</f>
        <v>Porez na dodatu vrijednost</v>
      </c>
      <c r="C91" s="629"/>
      <c r="D91" s="629"/>
      <c r="E91" s="629"/>
      <c r="F91" s="629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8" t="str">
        <f>+VLOOKUP(LEFT($A92,LEN(A92)-1)*1,Master!$D$30:$G$229,4,FALSE)</f>
        <v>Akcize</v>
      </c>
      <c r="C92" s="629"/>
      <c r="D92" s="629"/>
      <c r="E92" s="629"/>
      <c r="F92" s="629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8" t="str">
        <f>+VLOOKUP(LEFT($A93,LEN(A93)-1)*1,Master!$D$30:$G$229,4,FALSE)</f>
        <v>Porez na međunarodnu trgovinu i transakcije</v>
      </c>
      <c r="C93" s="629"/>
      <c r="D93" s="629"/>
      <c r="E93" s="629"/>
      <c r="F93" s="629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8" t="str">
        <f>+VLOOKUP(LEFT($A94,LEN(A94)-1)*1,Master!$D$30:$G$229,4,FALSE)</f>
        <v>Ostali državni porezi</v>
      </c>
      <c r="C94" s="629"/>
      <c r="D94" s="629"/>
      <c r="E94" s="629"/>
      <c r="F94" s="629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4" t="str">
        <f>+VLOOKUP(LEFT($A95,LEN(A95)-1)*1,Master!$D$30:$G$229,4,FALSE)</f>
        <v>Doprinosi</v>
      </c>
      <c r="C95" s="635"/>
      <c r="D95" s="635"/>
      <c r="E95" s="635"/>
      <c r="F95" s="635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8" t="str">
        <f>+VLOOKUP(LEFT($A96,LEN(A96)-1)*1,Master!$D$30:$G$229,4,FALSE)</f>
        <v>Doprinosi za penzijsko i invalidsko osiguranje</v>
      </c>
      <c r="C96" s="629"/>
      <c r="D96" s="629"/>
      <c r="E96" s="629"/>
      <c r="F96" s="629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8" t="str">
        <f>+VLOOKUP(LEFT($A97,LEN(A97)-1)*1,Master!$D$30:$G$229,4,FALSE)</f>
        <v>Doprinosi za zdravstveno osiguranje</v>
      </c>
      <c r="C97" s="629"/>
      <c r="D97" s="629"/>
      <c r="E97" s="629"/>
      <c r="F97" s="629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8" t="str">
        <f>+VLOOKUP(LEFT($A98,LEN(A98)-1)*1,Master!$D$30:$G$229,4,FALSE)</f>
        <v>Doprinosi za osiguranje od nezaposlenosti</v>
      </c>
      <c r="C98" s="629"/>
      <c r="D98" s="629"/>
      <c r="E98" s="629"/>
      <c r="F98" s="629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8" t="str">
        <f>+VLOOKUP(LEFT($A99,LEN(A99)-1)*1,Master!$D$30:$G$229,4,FALSE)</f>
        <v>Ostali doprinosi</v>
      </c>
      <c r="C99" s="629"/>
      <c r="D99" s="629"/>
      <c r="E99" s="629"/>
      <c r="F99" s="629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4" t="str">
        <f>+VLOOKUP(LEFT($A100,LEN(A100)-1)*1,Master!$D$30:$G$229,4,FALSE)</f>
        <v>Takse</v>
      </c>
      <c r="C100" s="635"/>
      <c r="D100" s="635"/>
      <c r="E100" s="635"/>
      <c r="F100" s="635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4" t="str">
        <f>+VLOOKUP(LEFT($A101,LEN(A101)-1)*1,Master!$D$30:$G$229,4,FALSE)</f>
        <v>Naknade</v>
      </c>
      <c r="C101" s="635"/>
      <c r="D101" s="635"/>
      <c r="E101" s="635"/>
      <c r="F101" s="635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4" t="str">
        <f>+VLOOKUP(LEFT($A102,LEN(A102)-1)*1,Master!$D$30:$G$229,4,FALSE)</f>
        <v>Ostali prihodi</v>
      </c>
      <c r="C102" s="635"/>
      <c r="D102" s="635"/>
      <c r="E102" s="635"/>
      <c r="F102" s="635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4" t="str">
        <f>+VLOOKUP(LEFT($A103,LEN(A103)-1)*1,Master!$D$30:$G$229,4,FALSE)</f>
        <v>Primici od otplate kredita i sredstva prenesena iz prethodne godine</v>
      </c>
      <c r="C103" s="635"/>
      <c r="D103" s="635"/>
      <c r="E103" s="635"/>
      <c r="F103" s="635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0" t="str">
        <f>+VLOOKUP(LEFT($A104,LEN(A104)-1)*1,Master!$D$30:$G$229,4,FALSE)</f>
        <v>Donacije i transferi</v>
      </c>
      <c r="C104" s="631"/>
      <c r="D104" s="631"/>
      <c r="E104" s="631"/>
      <c r="F104" s="631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12" t="str">
        <f>+VLOOKUP(LEFT($A105,LEN(A105)-1)*1,Master!$D$30:$G$229,4,FALSE)</f>
        <v>Izdaci budžeta</v>
      </c>
      <c r="C105" s="613"/>
      <c r="D105" s="613"/>
      <c r="E105" s="613"/>
      <c r="F105" s="613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32" t="str">
        <f>+VLOOKUP(LEFT($A106,LEN(A106)-1)*1,Master!$D$30:$G$229,4,FALSE)</f>
        <v>Tekući izdaci</v>
      </c>
      <c r="C106" s="633"/>
      <c r="D106" s="633"/>
      <c r="E106" s="633"/>
      <c r="F106" s="633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8" t="str">
        <f>+VLOOKUP(LEFT($A107,LEN(A107)-1)*1,Master!$D$30:$G$229,4,FALSE)</f>
        <v>Bruto zarade i doprinosi na teret poslodavca</v>
      </c>
      <c r="C107" s="629"/>
      <c r="D107" s="629"/>
      <c r="E107" s="629"/>
      <c r="F107" s="629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8" t="str">
        <f>+VLOOKUP(LEFT($A108,LEN(A108)-1)*1,Master!$D$30:$G$229,4,FALSE)</f>
        <v>Ostala lična primanja</v>
      </c>
      <c r="C108" s="629"/>
      <c r="D108" s="629"/>
      <c r="E108" s="629"/>
      <c r="F108" s="629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8" t="str">
        <f>+VLOOKUP(LEFT($A109,LEN(A109)-1)*1,Master!$D$30:$G$229,4,FALSE)</f>
        <v>Rashodi za materijal</v>
      </c>
      <c r="C109" s="629"/>
      <c r="D109" s="629"/>
      <c r="E109" s="629"/>
      <c r="F109" s="629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8" t="str">
        <f>+VLOOKUP(LEFT($A110,LEN(A110)-1)*1,Master!$D$30:$G$229,4,FALSE)</f>
        <v>Rashodi za usluge</v>
      </c>
      <c r="C110" s="629"/>
      <c r="D110" s="629"/>
      <c r="E110" s="629"/>
      <c r="F110" s="629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8" t="str">
        <f>+VLOOKUP(LEFT($A111,LEN(A111)-1)*1,Master!$D$30:$G$229,4,FALSE)</f>
        <v>Rashodi za tekuće održavanje</v>
      </c>
      <c r="C111" s="629"/>
      <c r="D111" s="629"/>
      <c r="E111" s="629"/>
      <c r="F111" s="629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8" t="str">
        <f>+VLOOKUP(LEFT($A112,LEN(A112)-1)*1,Master!$D$30:$G$229,4,FALSE)</f>
        <v>Kamate</v>
      </c>
      <c r="C112" s="629"/>
      <c r="D112" s="629"/>
      <c r="E112" s="629"/>
      <c r="F112" s="629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8" t="str">
        <f>+VLOOKUP(LEFT($A113,LEN(A113)-1)*1,Master!$D$30:$G$229,4,FALSE)</f>
        <v>Renta</v>
      </c>
      <c r="C113" s="629"/>
      <c r="D113" s="629"/>
      <c r="E113" s="629"/>
      <c r="F113" s="629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8" t="str">
        <f>+VLOOKUP(LEFT($A114,LEN(A114)-1)*1,Master!$D$30:$G$229,4,FALSE)</f>
        <v>Subvencije</v>
      </c>
      <c r="C114" s="629"/>
      <c r="D114" s="629"/>
      <c r="E114" s="629"/>
      <c r="F114" s="629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8" t="str">
        <f>+VLOOKUP(LEFT($A115,LEN(A115)-1)*1,Master!$D$30:$G$229,4,FALSE)</f>
        <v>Ostali izdaci</v>
      </c>
      <c r="C115" s="629"/>
      <c r="D115" s="629"/>
      <c r="E115" s="629"/>
      <c r="F115" s="629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24" t="str">
        <f>+VLOOKUP(LEFT($A116,LEN(A116)-1)*1,Master!$D$30:$G$229,4,FALSE)</f>
        <v>Transferi za socijalnu zaštitu</v>
      </c>
      <c r="C116" s="625"/>
      <c r="D116" s="625"/>
      <c r="E116" s="625"/>
      <c r="F116" s="625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8" t="str">
        <f>+VLOOKUP(LEFT($A117,LEN(A117)-1)*1,Master!$D$30:$G$229,4,FALSE)</f>
        <v>Prava iz oblasti socijalne zaštite</v>
      </c>
      <c r="C117" s="629"/>
      <c r="D117" s="629"/>
      <c r="E117" s="629"/>
      <c r="F117" s="629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8" t="str">
        <f>+VLOOKUP(LEFT($A118,LEN(A118)-1)*1,Master!$D$30:$G$229,4,FALSE)</f>
        <v>Sredstva za tehnološke viškove</v>
      </c>
      <c r="C118" s="629"/>
      <c r="D118" s="629"/>
      <c r="E118" s="629"/>
      <c r="F118" s="629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8" t="str">
        <f>+VLOOKUP(LEFT($A119,LEN(A119)-1)*1,Master!$D$30:$G$229,4,FALSE)</f>
        <v>Prava iz oblasti penzijskog i invalidskog osiguranja</v>
      </c>
      <c r="C119" s="629"/>
      <c r="D119" s="629"/>
      <c r="E119" s="629"/>
      <c r="F119" s="629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8" t="str">
        <f>+VLOOKUP(LEFT($A120,LEN(A120)-1)*1,Master!$D$30:$G$229,4,FALSE)</f>
        <v>Ostala prava iz oblasti zdravstvene zaštite</v>
      </c>
      <c r="C120" s="629"/>
      <c r="D120" s="629"/>
      <c r="E120" s="629"/>
      <c r="F120" s="629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8" t="str">
        <f>+VLOOKUP(LEFT($A121,LEN(A121)-1)*1,Master!$D$30:$G$229,4,FALSE)</f>
        <v>Ostala prava iz zdravstvenog osiguranja</v>
      </c>
      <c r="C121" s="629"/>
      <c r="D121" s="629"/>
      <c r="E121" s="629"/>
      <c r="F121" s="629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26" t="str">
        <f>+VLOOKUP(LEFT($A122,LEN(A122)-1)*1,Master!$D$30:$G$229,4,FALSE)</f>
        <v xml:space="preserve">Transferi institucijama, pojedincima, nevladinom i javnom sektoru </v>
      </c>
      <c r="C122" s="627"/>
      <c r="D122" s="627"/>
      <c r="E122" s="627"/>
      <c r="F122" s="627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26" t="str">
        <f>+VLOOKUP(LEFT($A123,LEN(A123)-1)*1,Master!$D$30:$G$229,4,FALSE)</f>
        <v>Kapitalni izdaci</v>
      </c>
      <c r="C123" s="627"/>
      <c r="D123" s="627"/>
      <c r="E123" s="627"/>
      <c r="F123" s="627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18" t="str">
        <f>+VLOOKUP(LEFT($A124,LEN(A124)-1)*1,Master!$D$30:$G$229,4,FALSE)</f>
        <v>Pozajmice i krediti</v>
      </c>
      <c r="C124" s="619"/>
      <c r="D124" s="619"/>
      <c r="E124" s="619"/>
      <c r="F124" s="619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18" t="str">
        <f>+VLOOKUP(LEFT($A125,LEN(A125)-1)*1,Master!$D$30:$G$229,4,FALSE)</f>
        <v>Rezerve</v>
      </c>
      <c r="C125" s="619"/>
      <c r="D125" s="619"/>
      <c r="E125" s="619"/>
      <c r="F125" s="619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18" t="str">
        <f>+VLOOKUP(LEFT($A126,LEN(A126)-1)*1,Master!$D$30:$G$229,4,FALSE)</f>
        <v>Otplata garancija</v>
      </c>
      <c r="C126" s="619"/>
      <c r="D126" s="619"/>
      <c r="E126" s="619"/>
      <c r="F126" s="619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18" t="str">
        <f>+VLOOKUP(LEFT($A127,LEN(A127)-1)*1,Master!$D$30:$G$229,4,FALSE)</f>
        <v>Otplata obaveza iz prethodnog perioda</v>
      </c>
      <c r="C127" s="619"/>
      <c r="D127" s="619"/>
      <c r="E127" s="619"/>
      <c r="F127" s="619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18" t="str">
        <f>+VLOOKUP(LEFT($A128,LEN(A128)-1)*1,Master!$D$30:$G$229,4,FALSE)</f>
        <v>Neto povećanje obaveza</v>
      </c>
      <c r="C128" s="619"/>
      <c r="D128" s="619"/>
      <c r="E128" s="619"/>
      <c r="F128" s="619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20" t="str">
        <f>+VLOOKUP(LEFT($A129,LEN(A129)-1)*1,Master!$D$30:$G$226,4,FALSE)</f>
        <v>Suficit / deficit</v>
      </c>
      <c r="C129" s="621"/>
      <c r="D129" s="621"/>
      <c r="E129" s="621"/>
      <c r="F129" s="621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22" t="str">
        <f>+VLOOKUP(LEFT($A130,LEN(A130)-1)*1,Master!$D$30:$G$226,4,FALSE)</f>
        <v>Primarni suficit/deficit</v>
      </c>
      <c r="C130" s="623"/>
      <c r="D130" s="623"/>
      <c r="E130" s="623"/>
      <c r="F130" s="623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24" t="str">
        <f>+VLOOKUP(LEFT($A131,LEN(A131)-1)*1,Master!$D$30:$G$226,4,FALSE)</f>
        <v>Otplata dugova</v>
      </c>
      <c r="C131" s="625"/>
      <c r="D131" s="625"/>
      <c r="E131" s="625"/>
      <c r="F131" s="625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18" t="str">
        <f>+VLOOKUP(LEFT($A133,LEN(A133)-1)*1,Master!$D$30:$G$226,4,FALSE)</f>
        <v>Otplata hartija od vrijednosti i kredita nerezidentima</v>
      </c>
      <c r="C133" s="619"/>
      <c r="D133" s="619"/>
      <c r="E133" s="619"/>
      <c r="F133" s="619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12" t="str">
        <f>+VLOOKUP(LEFT($A134,LEN(A134)-1)*1,Master!$D$30:$G$226,4,FALSE)</f>
        <v>Izdaci za kupovinu hartija od vrijednosti</v>
      </c>
      <c r="C134" s="613"/>
      <c r="D134" s="613"/>
      <c r="E134" s="613"/>
      <c r="F134" s="613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12" t="s">
        <v>113</v>
      </c>
      <c r="C135" s="613"/>
      <c r="D135" s="613"/>
      <c r="E135" s="613"/>
      <c r="F135" s="613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14" t="str">
        <f>+VLOOKUP(LEFT($A136,LEN(A136)-1)*1,Master!$D$30:$G$226,4,FALSE)</f>
        <v>Nedostajuća sredstva</v>
      </c>
      <c r="C136" s="615"/>
      <c r="D136" s="615"/>
      <c r="E136" s="615"/>
      <c r="F136" s="615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12" t="str">
        <f>+VLOOKUP(LEFT($A137,LEN(A137)-1)*1,Master!$D$30:$G$226,4,FALSE)</f>
        <v>Finansiranje</v>
      </c>
      <c r="C137" s="613"/>
      <c r="D137" s="613"/>
      <c r="E137" s="613"/>
      <c r="F137" s="613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16" t="str">
        <f>+VLOOKUP(LEFT($A138,LEN(A138)-1)*1,Master!$D$30:$G$226,4,FALSE)</f>
        <v>Pozajmice i krediti od domaćih izvora</v>
      </c>
      <c r="C138" s="617"/>
      <c r="D138" s="617"/>
      <c r="E138" s="617"/>
      <c r="F138" s="617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18" t="str">
        <f>+VLOOKUP(LEFT($A139,LEN(A139)-1)*1,Master!$D$30:$G$226,4,FALSE)</f>
        <v>Pozajmice i krediti od inostranih izvora</v>
      </c>
      <c r="C139" s="619"/>
      <c r="D139" s="619"/>
      <c r="E139" s="619"/>
      <c r="F139" s="619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18" t="str">
        <f>+VLOOKUP(LEFT($A140,LEN(A140)-1)*1,Master!$D$30:$G$226,4,FALSE)</f>
        <v>Primici od prodaje imovine</v>
      </c>
      <c r="C140" s="619"/>
      <c r="D140" s="619"/>
      <c r="E140" s="619"/>
      <c r="F140" s="619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2022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5796761000</v>
      </c>
    </row>
    <row r="8" spans="1:23" ht="16.5" customHeight="1">
      <c r="A8" s="129"/>
      <c r="B8" s="594"/>
      <c r="C8" s="595"/>
      <c r="D8" s="595"/>
      <c r="E8" s="595"/>
      <c r="F8" s="596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3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66" t="str">
        <f>+VLOOKUP($A28,Master!$D$30:$G$226,4,FALSE)</f>
        <v>Donacije i transferi</v>
      </c>
      <c r="C28" s="567"/>
      <c r="D28" s="567"/>
      <c r="E28" s="567"/>
      <c r="F28" s="567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06" t="str">
        <f>+VLOOKUP($A63,Master!$D$30:$G$226,4,FALSE)</f>
        <v>Pozajmice i krediti od inostranih izvora</v>
      </c>
      <c r="C63" s="607"/>
      <c r="D63" s="607"/>
      <c r="E63" s="607"/>
      <c r="F63" s="607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82" t="s">
        <v>101</v>
      </c>
      <c r="C65" s="583"/>
      <c r="D65" s="583"/>
      <c r="E65" s="583"/>
      <c r="F65" s="583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8" t="str">
        <f>+Master!G253</f>
        <v>Plan ostvarenja budžeta</v>
      </c>
      <c r="C83" s="639"/>
      <c r="D83" s="639"/>
      <c r="E83" s="639"/>
      <c r="F83" s="639"/>
      <c r="G83" s="646">
        <v>2022</v>
      </c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48"/>
      <c r="S83" s="96" t="str">
        <f>+S7</f>
        <v>BDP</v>
      </c>
      <c r="T83" s="97">
        <v>5700400000</v>
      </c>
    </row>
    <row r="84" spans="1:26" ht="15.75" customHeight="1">
      <c r="B84" s="640"/>
      <c r="C84" s="641"/>
      <c r="D84" s="641"/>
      <c r="E84" s="641"/>
      <c r="F84" s="642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46" t="str">
        <f>+Master!G247</f>
        <v>Jan - Dec</v>
      </c>
      <c r="T84" s="648">
        <f>+T8</f>
        <v>0</v>
      </c>
    </row>
    <row r="85" spans="1:26" ht="13.5" thickBot="1">
      <c r="B85" s="643"/>
      <c r="C85" s="644"/>
      <c r="D85" s="644"/>
      <c r="E85" s="644"/>
      <c r="F85" s="64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12" t="str">
        <f>+VLOOKUP(LEFT($A86,LEN(A86)-1)*1,Master!$D$30:$G$226,4,FALSE)</f>
        <v>Prihodi budžeta</v>
      </c>
      <c r="C86" s="613"/>
      <c r="D86" s="613"/>
      <c r="E86" s="613"/>
      <c r="F86" s="613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6" t="str">
        <f>+VLOOKUP(LEFT($A87,LEN(A87)-1)*1,Master!$D$30:$G$226,4,FALSE)</f>
        <v>Porezi</v>
      </c>
      <c r="C87" s="637"/>
      <c r="D87" s="637"/>
      <c r="E87" s="637"/>
      <c r="F87" s="637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8" t="str">
        <f>+VLOOKUP(LEFT($A88,LEN(A88)-1)*1,Master!$D$30:$G$229,4,FALSE)</f>
        <v>Porez na dohodak fizičkih lica</v>
      </c>
      <c r="C88" s="629"/>
      <c r="D88" s="629"/>
      <c r="E88" s="629"/>
      <c r="F88" s="629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8" t="str">
        <f>+VLOOKUP(LEFT($A89,LEN(A89)-1)*1,Master!$D$30:$G$229,4,FALSE)</f>
        <v>Porez na dobit pravnih lica</v>
      </c>
      <c r="C89" s="629"/>
      <c r="D89" s="629"/>
      <c r="E89" s="629"/>
      <c r="F89" s="629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8" t="str">
        <f>+VLOOKUP(LEFT($A90,LEN(A90)-1)*1,Master!$D$30:$G$229,4,FALSE)</f>
        <v>Porez na promet nepokretnosti</v>
      </c>
      <c r="C90" s="629"/>
      <c r="D90" s="629"/>
      <c r="E90" s="629"/>
      <c r="F90" s="629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8" t="str">
        <f>+VLOOKUP(LEFT($A91,LEN(A91)-1)*1,Master!$D$30:$G$229,4,FALSE)</f>
        <v>Porez na dodatu vrijednost</v>
      </c>
      <c r="C91" s="629"/>
      <c r="D91" s="629"/>
      <c r="E91" s="629"/>
      <c r="F91" s="629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8" t="str">
        <f>+VLOOKUP(LEFT($A92,LEN(A92)-1)*1,Master!$D$30:$G$229,4,FALSE)</f>
        <v>Akcize</v>
      </c>
      <c r="C92" s="629"/>
      <c r="D92" s="629"/>
      <c r="E92" s="629"/>
      <c r="F92" s="629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8" t="str">
        <f>+VLOOKUP(LEFT($A93,LEN(A93)-1)*1,Master!$D$30:$G$229,4,FALSE)</f>
        <v>Porez na međunarodnu trgovinu i transakcije</v>
      </c>
      <c r="C93" s="629"/>
      <c r="D93" s="629"/>
      <c r="E93" s="629"/>
      <c r="F93" s="629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8" t="str">
        <f>+VLOOKUP(LEFT($A94,LEN(A94)-1)*1,Master!$D$30:$G$229,4,FALSE)</f>
        <v>Ostali državni porezi</v>
      </c>
      <c r="C94" s="629"/>
      <c r="D94" s="629"/>
      <c r="E94" s="629"/>
      <c r="F94" s="629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4" t="str">
        <f>+VLOOKUP(LEFT($A95,LEN(A95)-1)*1,Master!$D$30:$G$229,4,FALSE)</f>
        <v>Doprinosi</v>
      </c>
      <c r="C95" s="635"/>
      <c r="D95" s="635"/>
      <c r="E95" s="635"/>
      <c r="F95" s="635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8" t="str">
        <f>+VLOOKUP(LEFT($A96,LEN(A96)-1)*1,Master!$D$30:$G$229,4,FALSE)</f>
        <v>Doprinosi za penzijsko i invalidsko osiguranje</v>
      </c>
      <c r="C96" s="629"/>
      <c r="D96" s="629"/>
      <c r="E96" s="629"/>
      <c r="F96" s="629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8" t="str">
        <f>+VLOOKUP(LEFT($A97,LEN(A97)-1)*1,Master!$D$30:$G$229,4,FALSE)</f>
        <v>Doprinosi za zdravstveno osiguranje</v>
      </c>
      <c r="C97" s="629"/>
      <c r="D97" s="629"/>
      <c r="E97" s="629"/>
      <c r="F97" s="629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8" t="str">
        <f>+VLOOKUP(LEFT($A98,LEN(A98)-1)*1,Master!$D$30:$G$229,4,FALSE)</f>
        <v>Doprinosi za osiguranje od nezaposlenosti</v>
      </c>
      <c r="C98" s="629"/>
      <c r="D98" s="629"/>
      <c r="E98" s="629"/>
      <c r="F98" s="629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8" t="str">
        <f>+VLOOKUP(LEFT($A99,LEN(A99)-1)*1,Master!$D$30:$G$229,4,FALSE)</f>
        <v>Ostali doprinosi</v>
      </c>
      <c r="C99" s="629"/>
      <c r="D99" s="629"/>
      <c r="E99" s="629"/>
      <c r="F99" s="629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4" t="str">
        <f>+VLOOKUP(LEFT($A100,LEN(A100)-1)*1,Master!$D$30:$G$229,4,FALSE)</f>
        <v>Takse</v>
      </c>
      <c r="C100" s="635"/>
      <c r="D100" s="635"/>
      <c r="E100" s="635"/>
      <c r="F100" s="635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4" t="str">
        <f>+VLOOKUP(LEFT($A101,LEN(A101)-1)*1,Master!$D$30:$G$229,4,FALSE)</f>
        <v>Naknade</v>
      </c>
      <c r="C101" s="635"/>
      <c r="D101" s="635"/>
      <c r="E101" s="635"/>
      <c r="F101" s="635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4" t="str">
        <f>+VLOOKUP(LEFT($A102,LEN(A102)-1)*1,Master!$D$30:$G$229,4,FALSE)</f>
        <v>Ostali prihodi</v>
      </c>
      <c r="C102" s="635"/>
      <c r="D102" s="635"/>
      <c r="E102" s="635"/>
      <c r="F102" s="635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4" t="str">
        <f>+VLOOKUP(LEFT($A103,LEN(A103)-1)*1,Master!$D$30:$G$229,4,FALSE)</f>
        <v>Primici od otplate kredita i sredstva prenesena iz prethodne godine</v>
      </c>
      <c r="C103" s="635"/>
      <c r="D103" s="635"/>
      <c r="E103" s="635"/>
      <c r="F103" s="635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0" t="str">
        <f>+VLOOKUP(LEFT($A104,LEN(A104)-1)*1,Master!$D$30:$G$229,4,FALSE)</f>
        <v>Donacije i transferi</v>
      </c>
      <c r="C104" s="631"/>
      <c r="D104" s="631"/>
      <c r="E104" s="631"/>
      <c r="F104" s="631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12" t="str">
        <f>+VLOOKUP(LEFT($A105,LEN(A105)-1)*1,Master!$D$30:$G$229,4,FALSE)</f>
        <v>Izdaci budžeta</v>
      </c>
      <c r="C105" s="613"/>
      <c r="D105" s="613"/>
      <c r="E105" s="613"/>
      <c r="F105" s="613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32" t="str">
        <f>+VLOOKUP(LEFT($A106,LEN(A106)-1)*1,Master!$D$30:$G$229,4,FALSE)</f>
        <v>Tekući izdaci</v>
      </c>
      <c r="C106" s="633"/>
      <c r="D106" s="633"/>
      <c r="E106" s="633"/>
      <c r="F106" s="633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8" t="str">
        <f>+VLOOKUP(LEFT($A107,LEN(A107)-1)*1,Master!$D$30:$G$229,4,FALSE)</f>
        <v>Bruto zarade i doprinosi na teret poslodavca</v>
      </c>
      <c r="C107" s="629"/>
      <c r="D107" s="629"/>
      <c r="E107" s="629"/>
      <c r="F107" s="629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8" t="str">
        <f>+VLOOKUP(LEFT($A108,LEN(A108)-1)*1,Master!$D$30:$G$229,4,FALSE)</f>
        <v>Ostala lična primanja</v>
      </c>
      <c r="C108" s="629"/>
      <c r="D108" s="629"/>
      <c r="E108" s="629"/>
      <c r="F108" s="629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8" t="str">
        <f>+VLOOKUP(LEFT($A109,LEN(A109)-1)*1,Master!$D$30:$G$229,4,FALSE)</f>
        <v>Rashodi za materijal</v>
      </c>
      <c r="C109" s="629"/>
      <c r="D109" s="629"/>
      <c r="E109" s="629"/>
      <c r="F109" s="629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8" t="str">
        <f>+VLOOKUP(LEFT($A110,LEN(A110)-1)*1,Master!$D$30:$G$229,4,FALSE)</f>
        <v>Rashodi za usluge</v>
      </c>
      <c r="C110" s="629"/>
      <c r="D110" s="629"/>
      <c r="E110" s="629"/>
      <c r="F110" s="629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8" t="str">
        <f>+VLOOKUP(LEFT($A111,LEN(A111)-1)*1,Master!$D$30:$G$229,4,FALSE)</f>
        <v>Rashodi za tekuće održavanje</v>
      </c>
      <c r="C111" s="629"/>
      <c r="D111" s="629"/>
      <c r="E111" s="629"/>
      <c r="F111" s="629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8" t="str">
        <f>+VLOOKUP(LEFT($A112,LEN(A112)-1)*1,Master!$D$30:$G$229,4,FALSE)</f>
        <v>Kamate</v>
      </c>
      <c r="C112" s="629"/>
      <c r="D112" s="629"/>
      <c r="E112" s="629"/>
      <c r="F112" s="629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8" t="str">
        <f>+VLOOKUP(LEFT($A113,LEN(A113)-1)*1,Master!$D$30:$G$229,4,FALSE)</f>
        <v>Renta</v>
      </c>
      <c r="C113" s="629"/>
      <c r="D113" s="629"/>
      <c r="E113" s="629"/>
      <c r="F113" s="629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8" t="str">
        <f>+VLOOKUP(LEFT($A114,LEN(A114)-1)*1,Master!$D$30:$G$229,4,FALSE)</f>
        <v>Subvencije</v>
      </c>
      <c r="C114" s="629"/>
      <c r="D114" s="629"/>
      <c r="E114" s="629"/>
      <c r="F114" s="629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8" t="str">
        <f>+VLOOKUP(LEFT($A115,LEN(A115)-1)*1,Master!$D$30:$G$229,4,FALSE)</f>
        <v>Ostali izdaci</v>
      </c>
      <c r="C115" s="629"/>
      <c r="D115" s="629"/>
      <c r="E115" s="629"/>
      <c r="F115" s="629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24" t="str">
        <f>+VLOOKUP(LEFT($A116,LEN(A116)-1)*1,Master!$D$30:$G$229,4,FALSE)</f>
        <v>Transferi za socijalnu zaštitu</v>
      </c>
      <c r="C116" s="625"/>
      <c r="D116" s="625"/>
      <c r="E116" s="625"/>
      <c r="F116" s="625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8" t="str">
        <f>+VLOOKUP(LEFT($A117,LEN(A117)-1)*1,Master!$D$30:$G$229,4,FALSE)</f>
        <v>Prava iz oblasti socijalne zaštite</v>
      </c>
      <c r="C117" s="629"/>
      <c r="D117" s="629"/>
      <c r="E117" s="629"/>
      <c r="F117" s="629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8" t="str">
        <f>+VLOOKUP(LEFT($A118,LEN(A118)-1)*1,Master!$D$30:$G$229,4,FALSE)</f>
        <v>Sredstva za tehnološke viškove</v>
      </c>
      <c r="C118" s="629"/>
      <c r="D118" s="629"/>
      <c r="E118" s="629"/>
      <c r="F118" s="629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8" t="str">
        <f>+VLOOKUP(LEFT($A119,LEN(A119)-1)*1,Master!$D$30:$G$229,4,FALSE)</f>
        <v>Prava iz oblasti penzijskog i invalidskog osiguranja</v>
      </c>
      <c r="C119" s="629"/>
      <c r="D119" s="629"/>
      <c r="E119" s="629"/>
      <c r="F119" s="629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8" t="str">
        <f>+VLOOKUP(LEFT($A120,LEN(A120)-1)*1,Master!$D$30:$G$229,4,FALSE)</f>
        <v>Ostala prava iz oblasti zdravstvene zaštite</v>
      </c>
      <c r="C120" s="629"/>
      <c r="D120" s="629"/>
      <c r="E120" s="629"/>
      <c r="F120" s="629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8" t="str">
        <f>+VLOOKUP(LEFT($A121,LEN(A121)-1)*1,Master!$D$30:$G$229,4,FALSE)</f>
        <v>Ostala prava iz zdravstvenog osiguranja</v>
      </c>
      <c r="C121" s="629"/>
      <c r="D121" s="629"/>
      <c r="E121" s="629"/>
      <c r="F121" s="629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26" t="str">
        <f>+VLOOKUP(LEFT($A122,LEN(A122)-1)*1,Master!$D$30:$G$229,4,FALSE)</f>
        <v xml:space="preserve">Transferi institucijama, pojedincima, nevladinom i javnom sektoru </v>
      </c>
      <c r="C122" s="627"/>
      <c r="D122" s="627"/>
      <c r="E122" s="627"/>
      <c r="F122" s="627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26" t="str">
        <f>+VLOOKUP(LEFT($A123,LEN(A123)-1)*1,Master!$D$30:$G$229,4,FALSE)</f>
        <v>Kapitalni izdaci</v>
      </c>
      <c r="C123" s="627"/>
      <c r="D123" s="627"/>
      <c r="E123" s="627"/>
      <c r="F123" s="627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18" t="str">
        <f>+VLOOKUP(LEFT($A124,LEN(A124)-1)*1,Master!$D$30:$G$229,4,FALSE)</f>
        <v>Pozajmice i krediti</v>
      </c>
      <c r="C124" s="619"/>
      <c r="D124" s="619"/>
      <c r="E124" s="619"/>
      <c r="F124" s="619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18" t="str">
        <f>+VLOOKUP(LEFT($A125,LEN(A125)-1)*1,Master!$D$30:$G$229,4,FALSE)</f>
        <v>Rezerve</v>
      </c>
      <c r="C125" s="619"/>
      <c r="D125" s="619"/>
      <c r="E125" s="619"/>
      <c r="F125" s="619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18" t="str">
        <f>+VLOOKUP(LEFT($A126,LEN(A126)-1)*1,Master!$D$30:$G$229,4,FALSE)</f>
        <v>Otplata garancija</v>
      </c>
      <c r="C126" s="619"/>
      <c r="D126" s="619"/>
      <c r="E126" s="619"/>
      <c r="F126" s="619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18" t="str">
        <f>+VLOOKUP(LEFT($A127,LEN(A127)-1)*1,Master!$D$30:$G$229,4,FALSE)</f>
        <v>Otplata obaveza iz prethodnog perioda</v>
      </c>
      <c r="C127" s="619"/>
      <c r="D127" s="619"/>
      <c r="E127" s="619"/>
      <c r="F127" s="619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18" t="str">
        <f>+VLOOKUP(LEFT($A128,LEN(A128)-1)*1,Master!$D$30:$G$229,4,FALSE)</f>
        <v>Neto povećanje obaveza</v>
      </c>
      <c r="C128" s="619"/>
      <c r="D128" s="619"/>
      <c r="E128" s="619"/>
      <c r="F128" s="619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20" t="str">
        <f>+VLOOKUP(LEFT($A129,LEN(A129)-1)*1,Master!$D$30:$G$226,4,FALSE)</f>
        <v>Suficit / deficit</v>
      </c>
      <c r="C129" s="621"/>
      <c r="D129" s="621"/>
      <c r="E129" s="621"/>
      <c r="F129" s="621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22" t="str">
        <f>+VLOOKUP(LEFT($A130,LEN(A130)-1)*1,Master!$D$30:$G$226,4,FALSE)</f>
        <v>Primarni suficit/deficit</v>
      </c>
      <c r="C130" s="623"/>
      <c r="D130" s="623"/>
      <c r="E130" s="623"/>
      <c r="F130" s="623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24" t="str">
        <f>+VLOOKUP(LEFT($A131,LEN(A131)-1)*1,Master!$D$30:$G$226,4,FALSE)</f>
        <v>Otplata dugova</v>
      </c>
      <c r="C131" s="625"/>
      <c r="D131" s="625"/>
      <c r="E131" s="625"/>
      <c r="F131" s="625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18" t="str">
        <f>+VLOOKUP(LEFT($A133,LEN(A133)-1)*1,Master!$D$30:$G$226,4,FALSE)</f>
        <v>Otplata hartija od vrijednosti i kredita nerezidentima</v>
      </c>
      <c r="C133" s="619"/>
      <c r="D133" s="619"/>
      <c r="E133" s="619"/>
      <c r="F133" s="619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12" t="str">
        <f>+VLOOKUP(LEFT($A134,LEN(A134)-1)*1,Master!$D$30:$G$226,4,FALSE)</f>
        <v>Izdaci za kupovinu hartija od vrijednosti</v>
      </c>
      <c r="C134" s="613"/>
      <c r="D134" s="613"/>
      <c r="E134" s="613"/>
      <c r="F134" s="613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14" t="str">
        <f>+VLOOKUP(LEFT($A135,LEN(A135)-1)*1,Master!$D$30:$G$226,4,FALSE)</f>
        <v>Nedostajuća sredstva</v>
      </c>
      <c r="C135" s="615"/>
      <c r="D135" s="615"/>
      <c r="E135" s="615"/>
      <c r="F135" s="615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12" t="str">
        <f>+VLOOKUP(LEFT($A136,LEN(A136)-1)*1,Master!$D$30:$G$226,4,FALSE)</f>
        <v>Finansiranje</v>
      </c>
      <c r="C136" s="613"/>
      <c r="D136" s="613"/>
      <c r="E136" s="613"/>
      <c r="F136" s="613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16" t="str">
        <f>+VLOOKUP(LEFT($A137,LEN(A137)-1)*1,Master!$D$30:$G$226,4,FALSE)</f>
        <v>Pozajmice i krediti od domaćih izvora</v>
      </c>
      <c r="C137" s="617"/>
      <c r="D137" s="617"/>
      <c r="E137" s="617"/>
      <c r="F137" s="617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18" t="str">
        <f>+VLOOKUP(LEFT($A138,LEN(A138)-1)*1,Master!$D$30:$G$226,4,FALSE)</f>
        <v>Pozajmice i krediti od inostranih izvora</v>
      </c>
      <c r="C138" s="619"/>
      <c r="D138" s="619"/>
      <c r="E138" s="619"/>
      <c r="F138" s="619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18" t="str">
        <f>+VLOOKUP(LEFT($A139,LEN(A139)-1)*1,Master!$D$30:$G$226,4,FALSE)</f>
        <v>Primici od prodaje imovine</v>
      </c>
      <c r="C139" s="619"/>
      <c r="D139" s="619"/>
      <c r="E139" s="619"/>
      <c r="F139" s="619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2021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4955116000</v>
      </c>
    </row>
    <row r="8" spans="1:22" ht="16.5" customHeight="1">
      <c r="A8" s="129"/>
      <c r="B8" s="594"/>
      <c r="C8" s="595"/>
      <c r="D8" s="595"/>
      <c r="E8" s="595"/>
      <c r="F8" s="596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2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60" t="str">
        <f>+VLOOKUP($A10,Master!$D$30:$G$226,4,FALSE)</f>
        <v>Prihodi budžeta</v>
      </c>
      <c r="C10" s="561"/>
      <c r="D10" s="561"/>
      <c r="E10" s="561"/>
      <c r="F10" s="561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68" t="str">
        <f>+VLOOKUP($A19,Master!$D$30:$G$226,4,FALSE)</f>
        <v>Doprinosi</v>
      </c>
      <c r="C19" s="569"/>
      <c r="D19" s="569"/>
      <c r="E19" s="569"/>
      <c r="F19" s="569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70" t="str">
        <f>+VLOOKUP($A28,Master!$D$30:$G$226,4,FALSE)</f>
        <v>Donacije i transferi</v>
      </c>
      <c r="C28" s="571"/>
      <c r="D28" s="571"/>
      <c r="E28" s="571"/>
      <c r="F28" s="571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59" t="str">
        <f>+VLOOKUP($A39,Master!$D$30:$G$226,4,FALSE)</f>
        <v>Ostali izdaci</v>
      </c>
      <c r="C39" s="660"/>
      <c r="D39" s="660"/>
      <c r="E39" s="660"/>
      <c r="F39" s="660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08" t="str">
        <f>+VLOOKUP($A59,Master!$D$30:$G$226,4,FALSE)</f>
        <v>Nedostajuća sredstva</v>
      </c>
      <c r="C59" s="609"/>
      <c r="D59" s="609"/>
      <c r="E59" s="609"/>
      <c r="F59" s="609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2" t="str">
        <f>+VLOOKUP($A60,Master!$D$30:$G$226,4,FALSE)</f>
        <v>Finansiranje</v>
      </c>
      <c r="C60" s="573"/>
      <c r="D60" s="573"/>
      <c r="E60" s="573"/>
      <c r="F60" s="573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06" t="str">
        <f>+VLOOKUP($A61,Master!$D$30:$G$226,4,FALSE)</f>
        <v>Pozajmice i krediti od domaćih izvora</v>
      </c>
      <c r="C61" s="607"/>
      <c r="D61" s="607"/>
      <c r="E61" s="607"/>
      <c r="F61" s="607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82" t="str">
        <f>+VLOOKUP($A62,Master!$D$30:$G$226,4,FALSE)</f>
        <v>Pozajmice i krediti od inostranih izvora</v>
      </c>
      <c r="C62" s="583"/>
      <c r="D62" s="583"/>
      <c r="E62" s="583"/>
      <c r="F62" s="583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82" t="str">
        <f>+VLOOKUP($A63,Master!$D$30:$G$226,4,FALSE)</f>
        <v>Primici od prodaje imovine</v>
      </c>
      <c r="C63" s="583"/>
      <c r="D63" s="583"/>
      <c r="E63" s="583"/>
      <c r="F63" s="583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8" t="str">
        <f>+Master!G253</f>
        <v>Plan ostvarenja budžeta</v>
      </c>
      <c r="C81" s="639"/>
      <c r="D81" s="639"/>
      <c r="E81" s="639"/>
      <c r="F81" s="639"/>
      <c r="G81" s="646">
        <v>2021</v>
      </c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48"/>
      <c r="S81" s="96" t="str">
        <f>+S7</f>
        <v>BDP</v>
      </c>
      <c r="T81" s="97">
        <v>4636600000</v>
      </c>
    </row>
    <row r="82" spans="1:21" ht="15.75" customHeight="1">
      <c r="B82" s="640"/>
      <c r="C82" s="641"/>
      <c r="D82" s="641"/>
      <c r="E82" s="641"/>
      <c r="F82" s="642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46" t="str">
        <f>+Master!G247</f>
        <v>Jan - Dec</v>
      </c>
      <c r="T82" s="648">
        <f>+T8</f>
        <v>0</v>
      </c>
    </row>
    <row r="83" spans="1:21" ht="13.5" thickBot="1">
      <c r="B83" s="643"/>
      <c r="C83" s="644"/>
      <c r="D83" s="644"/>
      <c r="E83" s="644"/>
      <c r="F83" s="645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1" t="str">
        <f>+VLOOKUP(LEFT($A84,LEN(A84)-1)*1,Master!$D$30:$G$226,4,FALSE)</f>
        <v>Prihodi budžeta</v>
      </c>
      <c r="C84" s="662"/>
      <c r="D84" s="662"/>
      <c r="E84" s="662"/>
      <c r="F84" s="662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6" t="str">
        <f>+VLOOKUP(LEFT($A85,LEN(A85)-1)*1,Master!$D$30:$G$226,4,FALSE)</f>
        <v>Porezi</v>
      </c>
      <c r="C85" s="637"/>
      <c r="D85" s="637"/>
      <c r="E85" s="637"/>
      <c r="F85" s="637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8" t="str">
        <f>+VLOOKUP(LEFT($A86,LEN(A86)-1)*1,Master!$D$30:$G$229,4,FALSE)</f>
        <v>Porez na dohodak fizičkih lica</v>
      </c>
      <c r="C86" s="629"/>
      <c r="D86" s="629"/>
      <c r="E86" s="629"/>
      <c r="F86" s="629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8" t="str">
        <f>+VLOOKUP(LEFT($A87,LEN(A87)-1)*1,Master!$D$30:$G$229,4,FALSE)</f>
        <v>Porez na dobit pravnih lica</v>
      </c>
      <c r="C87" s="629"/>
      <c r="D87" s="629"/>
      <c r="E87" s="629"/>
      <c r="F87" s="629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8" t="str">
        <f>+VLOOKUP(LEFT($A88,LEN(A88)-1)*1,Master!$D$30:$G$229,4,FALSE)</f>
        <v>Porez na promet nepokretnosti</v>
      </c>
      <c r="C88" s="629"/>
      <c r="D88" s="629"/>
      <c r="E88" s="629"/>
      <c r="F88" s="629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8" t="str">
        <f>+VLOOKUP(LEFT($A89,LEN(A89)-1)*1,Master!$D$30:$G$229,4,FALSE)</f>
        <v>Porez na dodatu vrijednost</v>
      </c>
      <c r="C89" s="629"/>
      <c r="D89" s="629"/>
      <c r="E89" s="629"/>
      <c r="F89" s="629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8" t="str">
        <f>+VLOOKUP(LEFT($A90,LEN(A90)-1)*1,Master!$D$30:$G$229,4,FALSE)</f>
        <v>Akcize</v>
      </c>
      <c r="C90" s="629"/>
      <c r="D90" s="629"/>
      <c r="E90" s="629"/>
      <c r="F90" s="629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8" t="str">
        <f>+VLOOKUP(LEFT($A91,LEN(A91)-1)*1,Master!$D$30:$G$229,4,FALSE)</f>
        <v>Porez na međunarodnu trgovinu i transakcije</v>
      </c>
      <c r="C91" s="629"/>
      <c r="D91" s="629"/>
      <c r="E91" s="629"/>
      <c r="F91" s="629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8" t="str">
        <f>+VLOOKUP(LEFT($A92,LEN(A92)-1)*1,Master!$D$30:$G$229,4,FALSE)</f>
        <v>Ostali državni porezi</v>
      </c>
      <c r="C92" s="629"/>
      <c r="D92" s="629"/>
      <c r="E92" s="629"/>
      <c r="F92" s="629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3" t="str">
        <f>+VLOOKUP(LEFT($A93,LEN(A93)-1)*1,Master!$D$30:$G$229,4,FALSE)</f>
        <v>Doprinosi</v>
      </c>
      <c r="C93" s="664"/>
      <c r="D93" s="664"/>
      <c r="E93" s="664"/>
      <c r="F93" s="664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8" t="str">
        <f>+VLOOKUP(LEFT($A94,LEN(A94)-1)*1,Master!$D$30:$G$229,4,FALSE)</f>
        <v>Doprinosi za penzijsko i invalidsko osiguranje</v>
      </c>
      <c r="C94" s="629"/>
      <c r="D94" s="629"/>
      <c r="E94" s="629"/>
      <c r="F94" s="629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8" t="str">
        <f>+VLOOKUP(LEFT($A95,LEN(A95)-1)*1,Master!$D$30:$G$229,4,FALSE)</f>
        <v>Doprinosi za zdravstveno osiguranje</v>
      </c>
      <c r="C95" s="629"/>
      <c r="D95" s="629"/>
      <c r="E95" s="629"/>
      <c r="F95" s="629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8" t="str">
        <f>+VLOOKUP(LEFT($A96,LEN(A96)-1)*1,Master!$D$30:$G$229,4,FALSE)</f>
        <v>Doprinosi za osiguranje od nezaposlenosti</v>
      </c>
      <c r="C96" s="629"/>
      <c r="D96" s="629"/>
      <c r="E96" s="629"/>
      <c r="F96" s="629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8" t="str">
        <f>+VLOOKUP(LEFT($A97,LEN(A97)-1)*1,Master!$D$30:$G$229,4,FALSE)</f>
        <v>Ostali doprinosi</v>
      </c>
      <c r="C97" s="629"/>
      <c r="D97" s="629"/>
      <c r="E97" s="629"/>
      <c r="F97" s="629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4" t="str">
        <f>+VLOOKUP(LEFT($A98,LEN(A98)-1)*1,Master!$D$30:$G$229,4,FALSE)</f>
        <v>Takse</v>
      </c>
      <c r="C98" s="635"/>
      <c r="D98" s="635"/>
      <c r="E98" s="635"/>
      <c r="F98" s="635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4" t="str">
        <f>+VLOOKUP(LEFT($A99,LEN(A99)-1)*1,Master!$D$30:$G$229,4,FALSE)</f>
        <v>Naknade</v>
      </c>
      <c r="C99" s="635"/>
      <c r="D99" s="635"/>
      <c r="E99" s="635"/>
      <c r="F99" s="635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4" t="str">
        <f>+VLOOKUP(LEFT($A100,LEN(A100)-1)*1,Master!$D$30:$G$229,4,FALSE)</f>
        <v>Ostali prihodi</v>
      </c>
      <c r="C100" s="635"/>
      <c r="D100" s="635"/>
      <c r="E100" s="635"/>
      <c r="F100" s="635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4" t="str">
        <f>+VLOOKUP(LEFT($A101,LEN(A101)-1)*1,Master!$D$30:$G$229,4,FALSE)</f>
        <v>Primici od otplate kredita i sredstva prenesena iz prethodne godine</v>
      </c>
      <c r="C101" s="635"/>
      <c r="D101" s="635"/>
      <c r="E101" s="635"/>
      <c r="F101" s="635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0" t="str">
        <f>+VLOOKUP(LEFT($A102,LEN(A102)-1)*1,Master!$D$30:$G$229,4,FALSE)</f>
        <v>Donacije i transferi</v>
      </c>
      <c r="C102" s="631"/>
      <c r="D102" s="631"/>
      <c r="E102" s="631"/>
      <c r="F102" s="631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12" t="str">
        <f>+VLOOKUP(LEFT($A103,LEN(A103)-1)*1,Master!$D$30:$G$229,4,FALSE)</f>
        <v>Izdaci budžeta</v>
      </c>
      <c r="C103" s="613"/>
      <c r="D103" s="613"/>
      <c r="E103" s="613"/>
      <c r="F103" s="613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32" t="str">
        <f>+VLOOKUP(LEFT($A104,LEN(A104)-1)*1,Master!$D$30:$G$229,4,FALSE)</f>
        <v>Tekući izdaci</v>
      </c>
      <c r="C104" s="633"/>
      <c r="D104" s="633"/>
      <c r="E104" s="633"/>
      <c r="F104" s="633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8" t="str">
        <f>+VLOOKUP(LEFT($A105,LEN(A105)-1)*1,Master!$D$30:$G$229,4,FALSE)</f>
        <v>Bruto zarade i doprinosi na teret poslodavca</v>
      </c>
      <c r="C105" s="629"/>
      <c r="D105" s="629"/>
      <c r="E105" s="629"/>
      <c r="F105" s="629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8" t="str">
        <f>+VLOOKUP(LEFT($A106,LEN(A106)-1)*1,Master!$D$30:$G$229,4,FALSE)</f>
        <v>Ostala lična primanja</v>
      </c>
      <c r="C106" s="629"/>
      <c r="D106" s="629"/>
      <c r="E106" s="629"/>
      <c r="F106" s="629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8" t="str">
        <f>+VLOOKUP(LEFT($A107,LEN(A107)-1)*1,Master!$D$30:$G$229,4,FALSE)</f>
        <v>Rashodi za materijal</v>
      </c>
      <c r="C107" s="629"/>
      <c r="D107" s="629"/>
      <c r="E107" s="629"/>
      <c r="F107" s="629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8" t="str">
        <f>+VLOOKUP(LEFT($A108,LEN(A108)-1)*1,Master!$D$30:$G$229,4,FALSE)</f>
        <v>Rashodi za usluge</v>
      </c>
      <c r="C108" s="629"/>
      <c r="D108" s="629"/>
      <c r="E108" s="629"/>
      <c r="F108" s="629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8" t="str">
        <f>+VLOOKUP(LEFT($A109,LEN(A109)-1)*1,Master!$D$30:$G$229,4,FALSE)</f>
        <v>Rashodi za tekuće održavanje</v>
      </c>
      <c r="C109" s="629"/>
      <c r="D109" s="629"/>
      <c r="E109" s="629"/>
      <c r="F109" s="629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8" t="str">
        <f>+VLOOKUP(LEFT($A110,LEN(A110)-1)*1,Master!$D$30:$G$229,4,FALSE)</f>
        <v>Kamate</v>
      </c>
      <c r="C110" s="629"/>
      <c r="D110" s="629"/>
      <c r="E110" s="629"/>
      <c r="F110" s="629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8" t="str">
        <f>+VLOOKUP(LEFT($A111,LEN(A111)-1)*1,Master!$D$30:$G$229,4,FALSE)</f>
        <v>Renta</v>
      </c>
      <c r="C111" s="629"/>
      <c r="D111" s="629"/>
      <c r="E111" s="629"/>
      <c r="F111" s="629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8" t="str">
        <f>+VLOOKUP(LEFT($A112,LEN(A112)-1)*1,Master!$D$30:$G$229,4,FALSE)</f>
        <v>Subvencije</v>
      </c>
      <c r="C112" s="629"/>
      <c r="D112" s="629"/>
      <c r="E112" s="629"/>
      <c r="F112" s="629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8" t="str">
        <f>+VLOOKUP(LEFT($A113,LEN(A113)-1)*1,Master!$D$30:$G$229,4,FALSE)</f>
        <v>Ostali izdaci</v>
      </c>
      <c r="C113" s="629"/>
      <c r="D113" s="629"/>
      <c r="E113" s="629"/>
      <c r="F113" s="629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24" t="str">
        <f>+VLOOKUP(LEFT($A114,LEN(A114)-1)*1,Master!$D$30:$G$229,4,FALSE)</f>
        <v>Transferi za socijalnu zaštitu</v>
      </c>
      <c r="C114" s="625"/>
      <c r="D114" s="625"/>
      <c r="E114" s="625"/>
      <c r="F114" s="625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8" t="str">
        <f>+VLOOKUP(LEFT($A115,LEN(A115)-1)*1,Master!$D$30:$G$229,4,FALSE)</f>
        <v>Prava iz oblasti socijalne zaštite</v>
      </c>
      <c r="C115" s="629"/>
      <c r="D115" s="629"/>
      <c r="E115" s="629"/>
      <c r="F115" s="629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8" t="str">
        <f>+VLOOKUP(LEFT($A116,LEN(A116)-1)*1,Master!$D$30:$G$229,4,FALSE)</f>
        <v>Sredstva za tehnološke viškove</v>
      </c>
      <c r="C116" s="629"/>
      <c r="D116" s="629"/>
      <c r="E116" s="629"/>
      <c r="F116" s="629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8" t="str">
        <f>+VLOOKUP(LEFT($A117,LEN(A117)-1)*1,Master!$D$30:$G$229,4,FALSE)</f>
        <v>Prava iz oblasti penzijskog i invalidskog osiguranja</v>
      </c>
      <c r="C117" s="629"/>
      <c r="D117" s="629"/>
      <c r="E117" s="629"/>
      <c r="F117" s="629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8" t="str">
        <f>+VLOOKUP(LEFT($A118,LEN(A118)-1)*1,Master!$D$30:$G$229,4,FALSE)</f>
        <v>Ostala prava iz oblasti zdravstvene zaštite</v>
      </c>
      <c r="C118" s="629"/>
      <c r="D118" s="629"/>
      <c r="E118" s="629"/>
      <c r="F118" s="629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8" t="str">
        <f>+VLOOKUP(LEFT($A119,LEN(A119)-1)*1,Master!$D$30:$G$229,4,FALSE)</f>
        <v>Ostala prava iz zdravstvenog osiguranja</v>
      </c>
      <c r="C119" s="629"/>
      <c r="D119" s="629"/>
      <c r="E119" s="629"/>
      <c r="F119" s="629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26" t="str">
        <f>+VLOOKUP(LEFT($A120,LEN(A120)-1)*1,Master!$D$30:$G$229,4,FALSE)</f>
        <v xml:space="preserve">Transferi institucijama, pojedincima, nevladinom i javnom sektoru </v>
      </c>
      <c r="C120" s="627"/>
      <c r="D120" s="627"/>
      <c r="E120" s="627"/>
      <c r="F120" s="627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26" t="str">
        <f>+VLOOKUP(LEFT($A121,LEN(A121)-1)*1,Master!$D$30:$G$229,4,FALSE)</f>
        <v>Kapitalni izdaci</v>
      </c>
      <c r="C121" s="627"/>
      <c r="D121" s="627"/>
      <c r="E121" s="627"/>
      <c r="F121" s="627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18" t="str">
        <f>+VLOOKUP(LEFT($A122,LEN(A122)-1)*1,Master!$D$30:$G$229,4,FALSE)</f>
        <v>Pozajmice i krediti</v>
      </c>
      <c r="C122" s="619"/>
      <c r="D122" s="619"/>
      <c r="E122" s="619"/>
      <c r="F122" s="619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18" t="str">
        <f>+VLOOKUP(LEFT($A123,LEN(A123)-1)*1,Master!$D$30:$G$229,4,FALSE)</f>
        <v>Rezerve</v>
      </c>
      <c r="C123" s="619"/>
      <c r="D123" s="619"/>
      <c r="E123" s="619"/>
      <c r="F123" s="619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18" t="str">
        <f>+VLOOKUP(LEFT($A124,LEN(A124)-1)*1,Master!$D$30:$G$229,4,FALSE)</f>
        <v>Otplata garancija</v>
      </c>
      <c r="C124" s="619"/>
      <c r="D124" s="619"/>
      <c r="E124" s="619"/>
      <c r="F124" s="619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18" t="str">
        <f>+VLOOKUP(LEFT($A125,LEN(A125)-1)*1,Master!$D$30:$G$229,4,FALSE)</f>
        <v>Otplata obaveza iz prethodnog perioda</v>
      </c>
      <c r="C125" s="619"/>
      <c r="D125" s="619"/>
      <c r="E125" s="619"/>
      <c r="F125" s="619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18" t="str">
        <f>+VLOOKUP(LEFT($A126,LEN(A126)-1)*1,Master!$D$30:$G$229,4,FALSE)</f>
        <v>Neto povećanje obaveza</v>
      </c>
      <c r="C126" s="619"/>
      <c r="D126" s="619"/>
      <c r="E126" s="619"/>
      <c r="F126" s="619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20" t="str">
        <f>+VLOOKUP(LEFT($A127,LEN(A127)-1)*1,Master!$D$30:$G$226,4,FALSE)</f>
        <v>Suficit / deficit</v>
      </c>
      <c r="C127" s="621"/>
      <c r="D127" s="621"/>
      <c r="E127" s="621"/>
      <c r="F127" s="621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22" t="str">
        <f>+VLOOKUP(LEFT($A128,LEN(A128)-1)*1,Master!$D$30:$G$226,4,FALSE)</f>
        <v>Primarni suficit/deficit</v>
      </c>
      <c r="C128" s="623"/>
      <c r="D128" s="623"/>
      <c r="E128" s="623"/>
      <c r="F128" s="623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24" t="str">
        <f>+VLOOKUP(LEFT($A129,LEN(A129)-1)*1,Master!$D$30:$G$226,4,FALSE)</f>
        <v>Otplata dugova</v>
      </c>
      <c r="C129" s="625"/>
      <c r="D129" s="625"/>
      <c r="E129" s="625"/>
      <c r="F129" s="625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16" t="str">
        <f>+VLOOKUP(LEFT($A130,LEN(A130)-1)*1,Master!$D$30:$G$226,4,FALSE)</f>
        <v>Otplata hartija od vrijednosti i kredita rezidentima</v>
      </c>
      <c r="C130" s="617"/>
      <c r="D130" s="617"/>
      <c r="E130" s="617"/>
      <c r="F130" s="617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18" t="str">
        <f>+VLOOKUP(LEFT($A131,LEN(A131)-1)*1,Master!$D$30:$G$226,4,FALSE)</f>
        <v>Otplata hartija od vrijednosti i kredita nerezidentima</v>
      </c>
      <c r="C131" s="619"/>
      <c r="D131" s="619"/>
      <c r="E131" s="619"/>
      <c r="F131" s="619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12" t="str">
        <f>+VLOOKUP(LEFT($A132,LEN(A132)-1)*1,Master!$D$30:$G$226,4,FALSE)</f>
        <v>Izdaci za kupovinu hartija od vrijednosti</v>
      </c>
      <c r="C132" s="613"/>
      <c r="D132" s="613"/>
      <c r="E132" s="613"/>
      <c r="F132" s="613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14" t="str">
        <f>+VLOOKUP(LEFT($A133,LEN(A133)-1)*1,Master!$D$30:$G$226,4,FALSE)</f>
        <v>Nedostajuća sredstva</v>
      </c>
      <c r="C133" s="615"/>
      <c r="D133" s="615"/>
      <c r="E133" s="615"/>
      <c r="F133" s="615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12" t="str">
        <f>+VLOOKUP(LEFT($A134,LEN(A134)-1)*1,Master!$D$30:$G$226,4,FALSE)</f>
        <v>Finansiranje</v>
      </c>
      <c r="C134" s="613"/>
      <c r="D134" s="613"/>
      <c r="E134" s="613"/>
      <c r="F134" s="613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16" t="str">
        <f>+VLOOKUP(LEFT($A135,LEN(A135)-1)*1,Master!$D$30:$G$226,4,FALSE)</f>
        <v>Pozajmice i krediti od domaćih izvora</v>
      </c>
      <c r="C135" s="617"/>
      <c r="D135" s="617"/>
      <c r="E135" s="617"/>
      <c r="F135" s="617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18" t="str">
        <f>+VLOOKUP(LEFT($A136,LEN(A136)-1)*1,Master!$D$30:$G$226,4,FALSE)</f>
        <v>Pozajmice i krediti od inostranih izvora</v>
      </c>
      <c r="C136" s="619"/>
      <c r="D136" s="619"/>
      <c r="E136" s="619"/>
      <c r="F136" s="619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18" t="str">
        <f>+VLOOKUP(LEFT($A137,LEN(A137)-1)*1,Master!$D$30:$G$226,4,FALSE)</f>
        <v>Primici od prodaje imovine</v>
      </c>
      <c r="C137" s="619"/>
      <c r="D137" s="619"/>
      <c r="E137" s="619"/>
      <c r="F137" s="619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2020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4185600000</v>
      </c>
    </row>
    <row r="8" spans="1:20" ht="16.5" customHeight="1">
      <c r="A8" s="129"/>
      <c r="B8" s="594"/>
      <c r="C8" s="595"/>
      <c r="D8" s="595"/>
      <c r="E8" s="595"/>
      <c r="F8" s="596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0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60" t="str">
        <f>+VLOOKUP($A10,Master!$D$30:$G$226,4,FALSE)</f>
        <v>Prihodi budžeta</v>
      </c>
      <c r="C10" s="561"/>
      <c r="D10" s="561"/>
      <c r="E10" s="561"/>
      <c r="F10" s="561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68" t="str">
        <f>+VLOOKUP($A19,Master!$D$30:$G$226,4,FALSE)</f>
        <v>Doprinosi</v>
      </c>
      <c r="C19" s="569"/>
      <c r="D19" s="569"/>
      <c r="E19" s="569"/>
      <c r="F19" s="569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70" t="str">
        <f>+VLOOKUP($A28,Master!$D$30:$G$226,4,FALSE)</f>
        <v>Donacije i transferi</v>
      </c>
      <c r="C28" s="571"/>
      <c r="D28" s="571"/>
      <c r="E28" s="571"/>
      <c r="F28" s="571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59" t="str">
        <f>+VLOOKUP($A39,Master!$D$30:$G$226,4,FALSE)</f>
        <v>Ostali izdaci</v>
      </c>
      <c r="C39" s="660"/>
      <c r="D39" s="660"/>
      <c r="E39" s="660"/>
      <c r="F39" s="660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08" t="str">
        <f>+VLOOKUP($A59,Master!$D$30:$G$226,4,FALSE)</f>
        <v>Nedostajuća sredstva</v>
      </c>
      <c r="C59" s="609"/>
      <c r="D59" s="609"/>
      <c r="E59" s="609"/>
      <c r="F59" s="609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2" t="str">
        <f>+VLOOKUP($A60,Master!$D$30:$G$226,4,FALSE)</f>
        <v>Finansiranje</v>
      </c>
      <c r="C60" s="573"/>
      <c r="D60" s="573"/>
      <c r="E60" s="573"/>
      <c r="F60" s="573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06" t="str">
        <f>+VLOOKUP($A61,Master!$D$30:$G$226,4,FALSE)</f>
        <v>Pozajmice i krediti od domaćih izvora</v>
      </c>
      <c r="C61" s="607"/>
      <c r="D61" s="607"/>
      <c r="E61" s="607"/>
      <c r="F61" s="607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82" t="str">
        <f>+VLOOKUP($A62,Master!$D$30:$G$226,4,FALSE)</f>
        <v>Pozajmice i krediti od inostranih izvora</v>
      </c>
      <c r="C62" s="583"/>
      <c r="D62" s="583"/>
      <c r="E62" s="583"/>
      <c r="F62" s="583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82" t="str">
        <f>+VLOOKUP($A63,Master!$D$30:$G$226,4,FALSE)</f>
        <v>Primici od prodaje imovine</v>
      </c>
      <c r="C63" s="583"/>
      <c r="D63" s="583"/>
      <c r="E63" s="583"/>
      <c r="F63" s="583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8" t="str">
        <f>+Master!G253</f>
        <v>Plan ostvarenja budžeta</v>
      </c>
      <c r="C100" s="639"/>
      <c r="D100" s="639"/>
      <c r="E100" s="639"/>
      <c r="F100" s="639"/>
      <c r="G100" s="646">
        <v>2020</v>
      </c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48"/>
      <c r="S100" s="96" t="str">
        <f>+S7</f>
        <v>BDP</v>
      </c>
      <c r="T100" s="97">
        <v>4607300000</v>
      </c>
    </row>
    <row r="101" spans="1:21" ht="15.75" customHeight="1">
      <c r="B101" s="640"/>
      <c r="C101" s="641"/>
      <c r="D101" s="641"/>
      <c r="E101" s="641"/>
      <c r="F101" s="642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46" t="str">
        <f>+Master!G247</f>
        <v>Jan - Dec</v>
      </c>
      <c r="T101" s="648">
        <f>+T8</f>
        <v>0</v>
      </c>
    </row>
    <row r="102" spans="1:21" ht="13.5" thickBot="1">
      <c r="B102" s="643"/>
      <c r="C102" s="644"/>
      <c r="D102" s="644"/>
      <c r="E102" s="644"/>
      <c r="F102" s="64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1" t="str">
        <f>+VLOOKUP(LEFT($A103,LEN(A103)-1)*1,Master!$D$30:$G$226,4,FALSE)</f>
        <v>Prihodi budžeta</v>
      </c>
      <c r="C103" s="662"/>
      <c r="D103" s="662"/>
      <c r="E103" s="662"/>
      <c r="F103" s="662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6" t="str">
        <f>+VLOOKUP(LEFT($A104,LEN(A104)-1)*1,Master!$D$30:$G$226,4,FALSE)</f>
        <v>Porezi</v>
      </c>
      <c r="C104" s="637"/>
      <c r="D104" s="637"/>
      <c r="E104" s="637"/>
      <c r="F104" s="637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8" t="str">
        <f>+VLOOKUP(LEFT($A105,LEN(A105)-1)*1,Master!$D$30:$G$229,4,FALSE)</f>
        <v>Porez na dohodak fizičkih lica</v>
      </c>
      <c r="C105" s="629"/>
      <c r="D105" s="629"/>
      <c r="E105" s="629"/>
      <c r="F105" s="629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8" t="str">
        <f>+VLOOKUP(LEFT($A106,LEN(A106)-1)*1,Master!$D$30:$G$229,4,FALSE)</f>
        <v>Porez na dobit pravnih lica</v>
      </c>
      <c r="C106" s="629"/>
      <c r="D106" s="629"/>
      <c r="E106" s="629"/>
      <c r="F106" s="629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8" t="str">
        <f>+VLOOKUP(LEFT($A107,LEN(A107)-1)*1,Master!$D$30:$G$229,4,FALSE)</f>
        <v>Porez na promet nepokretnosti</v>
      </c>
      <c r="C107" s="629"/>
      <c r="D107" s="629"/>
      <c r="E107" s="629"/>
      <c r="F107" s="629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8" t="str">
        <f>+VLOOKUP(LEFT($A108,LEN(A108)-1)*1,Master!$D$30:$G$229,4,FALSE)</f>
        <v>Porez na dodatu vrijednost</v>
      </c>
      <c r="C108" s="629"/>
      <c r="D108" s="629"/>
      <c r="E108" s="629"/>
      <c r="F108" s="629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8" t="str">
        <f>+VLOOKUP(LEFT($A109,LEN(A109)-1)*1,Master!$D$30:$G$229,4,FALSE)</f>
        <v>Akcize</v>
      </c>
      <c r="C109" s="629"/>
      <c r="D109" s="629"/>
      <c r="E109" s="629"/>
      <c r="F109" s="629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8" t="str">
        <f>+VLOOKUP(LEFT($A110,LEN(A110)-1)*1,Master!$D$30:$G$229,4,FALSE)</f>
        <v>Porez na međunarodnu trgovinu i transakcije</v>
      </c>
      <c r="C110" s="629"/>
      <c r="D110" s="629"/>
      <c r="E110" s="629"/>
      <c r="F110" s="629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8" t="str">
        <f>+VLOOKUP(LEFT($A111,LEN(A111)-1)*1,Master!$D$30:$G$229,4,FALSE)</f>
        <v>Ostali državni porezi</v>
      </c>
      <c r="C111" s="629"/>
      <c r="D111" s="629"/>
      <c r="E111" s="629"/>
      <c r="F111" s="629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3" t="str">
        <f>+VLOOKUP(LEFT($A112,LEN(A112)-1)*1,Master!$D$30:$G$229,4,FALSE)</f>
        <v>Doprinosi</v>
      </c>
      <c r="C112" s="664"/>
      <c r="D112" s="664"/>
      <c r="E112" s="664"/>
      <c r="F112" s="664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8" t="str">
        <f>+VLOOKUP(LEFT($A113,LEN(A113)-1)*1,Master!$D$30:$G$229,4,FALSE)</f>
        <v>Doprinosi za penzijsko i invalidsko osiguranje</v>
      </c>
      <c r="C113" s="629"/>
      <c r="D113" s="629"/>
      <c r="E113" s="629"/>
      <c r="F113" s="629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8" t="str">
        <f>+VLOOKUP(LEFT($A114,LEN(A114)-1)*1,Master!$D$30:$G$229,4,FALSE)</f>
        <v>Doprinosi za zdravstveno osiguranje</v>
      </c>
      <c r="C114" s="629"/>
      <c r="D114" s="629"/>
      <c r="E114" s="629"/>
      <c r="F114" s="629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8" t="str">
        <f>+VLOOKUP(LEFT($A115,LEN(A115)-1)*1,Master!$D$30:$G$229,4,FALSE)</f>
        <v>Doprinosi za osiguranje od nezaposlenosti</v>
      </c>
      <c r="C115" s="629"/>
      <c r="D115" s="629"/>
      <c r="E115" s="629"/>
      <c r="F115" s="629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8" t="str">
        <f>+VLOOKUP(LEFT($A116,LEN(A116)-1)*1,Master!$D$30:$G$229,4,FALSE)</f>
        <v>Ostali doprinosi</v>
      </c>
      <c r="C116" s="629"/>
      <c r="D116" s="629"/>
      <c r="E116" s="629"/>
      <c r="F116" s="629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4" t="str">
        <f>+VLOOKUP(LEFT($A117,LEN(A117)-1)*1,Master!$D$30:$G$229,4,FALSE)</f>
        <v>Takse</v>
      </c>
      <c r="C117" s="635"/>
      <c r="D117" s="635"/>
      <c r="E117" s="635"/>
      <c r="F117" s="635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4" t="str">
        <f>+VLOOKUP(LEFT($A118,LEN(A118)-1)*1,Master!$D$30:$G$229,4,FALSE)</f>
        <v>Naknade</v>
      </c>
      <c r="C118" s="635"/>
      <c r="D118" s="635"/>
      <c r="E118" s="635"/>
      <c r="F118" s="635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4" t="str">
        <f>+VLOOKUP(LEFT($A119,LEN(A119)-1)*1,Master!$D$30:$G$229,4,FALSE)</f>
        <v>Ostali prihodi</v>
      </c>
      <c r="C119" s="635"/>
      <c r="D119" s="635"/>
      <c r="E119" s="635"/>
      <c r="F119" s="635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4" t="str">
        <f>+VLOOKUP(LEFT($A120,LEN(A120)-1)*1,Master!$D$30:$G$229,4,FALSE)</f>
        <v>Primici od otplate kredita i sredstva prenesena iz prethodne godine</v>
      </c>
      <c r="C120" s="635"/>
      <c r="D120" s="635"/>
      <c r="E120" s="635"/>
      <c r="F120" s="635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0" t="str">
        <f>+VLOOKUP(LEFT($A121,LEN(A121)-1)*1,Master!$D$30:$G$229,4,FALSE)</f>
        <v>Donacije i transferi</v>
      </c>
      <c r="C121" s="631"/>
      <c r="D121" s="631"/>
      <c r="E121" s="631"/>
      <c r="F121" s="631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12" t="str">
        <f>+VLOOKUP(LEFT($A122,LEN(A122)-1)*1,Master!$D$30:$G$229,4,FALSE)</f>
        <v>Izdaci budžeta</v>
      </c>
      <c r="C122" s="613"/>
      <c r="D122" s="613"/>
      <c r="E122" s="613"/>
      <c r="F122" s="613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32" t="str">
        <f>+VLOOKUP(LEFT($A123,LEN(A123)-1)*1,Master!$D$30:$G$229,4,FALSE)</f>
        <v>Tekući izdaci</v>
      </c>
      <c r="C123" s="633"/>
      <c r="D123" s="633"/>
      <c r="E123" s="633"/>
      <c r="F123" s="633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8" t="str">
        <f>+VLOOKUP(LEFT($A124,LEN(A124)-1)*1,Master!$D$30:$G$229,4,FALSE)</f>
        <v>Bruto zarade i doprinosi na teret poslodavca</v>
      </c>
      <c r="C124" s="629"/>
      <c r="D124" s="629"/>
      <c r="E124" s="629"/>
      <c r="F124" s="629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8" t="str">
        <f>+VLOOKUP(LEFT($A125,LEN(A125)-1)*1,Master!$D$30:$G$229,4,FALSE)</f>
        <v>Ostala lična primanja</v>
      </c>
      <c r="C125" s="629"/>
      <c r="D125" s="629"/>
      <c r="E125" s="629"/>
      <c r="F125" s="629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8" t="str">
        <f>+VLOOKUP(LEFT($A126,LEN(A126)-1)*1,Master!$D$30:$G$229,4,FALSE)</f>
        <v>Rashodi za materijal</v>
      </c>
      <c r="C126" s="629"/>
      <c r="D126" s="629"/>
      <c r="E126" s="629"/>
      <c r="F126" s="629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8" t="str">
        <f>+VLOOKUP(LEFT($A127,LEN(A127)-1)*1,Master!$D$30:$G$229,4,FALSE)</f>
        <v>Rashodi za usluge</v>
      </c>
      <c r="C127" s="629"/>
      <c r="D127" s="629"/>
      <c r="E127" s="629"/>
      <c r="F127" s="629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8" t="str">
        <f>+VLOOKUP(LEFT($A128,LEN(A128)-1)*1,Master!$D$30:$G$229,4,FALSE)</f>
        <v>Rashodi za tekuće održavanje</v>
      </c>
      <c r="C128" s="629"/>
      <c r="D128" s="629"/>
      <c r="E128" s="629"/>
      <c r="F128" s="629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8" t="str">
        <f>+VLOOKUP(LEFT($A129,LEN(A129)-1)*1,Master!$D$30:$G$229,4,FALSE)</f>
        <v>Kamate</v>
      </c>
      <c r="C129" s="629"/>
      <c r="D129" s="629"/>
      <c r="E129" s="629"/>
      <c r="F129" s="629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8" t="str">
        <f>+VLOOKUP(LEFT($A130,LEN(A130)-1)*1,Master!$D$30:$G$229,4,FALSE)</f>
        <v>Renta</v>
      </c>
      <c r="C130" s="629"/>
      <c r="D130" s="629"/>
      <c r="E130" s="629"/>
      <c r="F130" s="629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8" t="str">
        <f>+VLOOKUP(LEFT($A131,LEN(A131)-1)*1,Master!$D$30:$G$229,4,FALSE)</f>
        <v>Subvencije</v>
      </c>
      <c r="C131" s="629"/>
      <c r="D131" s="629"/>
      <c r="E131" s="629"/>
      <c r="F131" s="629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8" t="str">
        <f>+VLOOKUP(LEFT($A132,LEN(A132)-1)*1,Master!$D$30:$G$229,4,FALSE)</f>
        <v>Ostali izdaci</v>
      </c>
      <c r="C132" s="629"/>
      <c r="D132" s="629"/>
      <c r="E132" s="629"/>
      <c r="F132" s="629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24" t="str">
        <f>+VLOOKUP(LEFT($A133,LEN(A133)-1)*1,Master!$D$30:$G$229,4,FALSE)</f>
        <v>Transferi za socijalnu zaštitu</v>
      </c>
      <c r="C133" s="625"/>
      <c r="D133" s="625"/>
      <c r="E133" s="625"/>
      <c r="F133" s="625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8" t="str">
        <f>+VLOOKUP(LEFT($A134,LEN(A134)-1)*1,Master!$D$30:$G$229,4,FALSE)</f>
        <v>Prava iz oblasti socijalne zaštite</v>
      </c>
      <c r="C134" s="629"/>
      <c r="D134" s="629"/>
      <c r="E134" s="629"/>
      <c r="F134" s="629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8" t="str">
        <f>+VLOOKUP(LEFT($A135,LEN(A135)-1)*1,Master!$D$30:$G$229,4,FALSE)</f>
        <v>Sredstva za tehnološke viškove</v>
      </c>
      <c r="C135" s="629"/>
      <c r="D135" s="629"/>
      <c r="E135" s="629"/>
      <c r="F135" s="629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8" t="str">
        <f>+VLOOKUP(LEFT($A136,LEN(A136)-1)*1,Master!$D$30:$G$229,4,FALSE)</f>
        <v>Prava iz oblasti penzijskog i invalidskog osiguranja</v>
      </c>
      <c r="C136" s="629"/>
      <c r="D136" s="629"/>
      <c r="E136" s="629"/>
      <c r="F136" s="629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8" t="str">
        <f>+VLOOKUP(LEFT($A137,LEN(A137)-1)*1,Master!$D$30:$G$229,4,FALSE)</f>
        <v>Ostala prava iz oblasti zdravstvene zaštite</v>
      </c>
      <c r="C137" s="629"/>
      <c r="D137" s="629"/>
      <c r="E137" s="629"/>
      <c r="F137" s="629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8" t="str">
        <f>+VLOOKUP(LEFT($A138,LEN(A138)-1)*1,Master!$D$30:$G$229,4,FALSE)</f>
        <v>Ostala prava iz zdravstvenog osiguranja</v>
      </c>
      <c r="C138" s="629"/>
      <c r="D138" s="629"/>
      <c r="E138" s="629"/>
      <c r="F138" s="629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26" t="str">
        <f>+VLOOKUP(LEFT($A139,LEN(A139)-1)*1,Master!$D$30:$G$229,4,FALSE)</f>
        <v xml:space="preserve">Transferi institucijama, pojedincima, nevladinom i javnom sektoru </v>
      </c>
      <c r="C139" s="627"/>
      <c r="D139" s="627"/>
      <c r="E139" s="627"/>
      <c r="F139" s="627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26" t="str">
        <f>+VLOOKUP(LEFT($A140,LEN(A140)-1)*1,Master!$D$30:$G$229,4,FALSE)</f>
        <v>Kapitalni izdaci</v>
      </c>
      <c r="C140" s="627"/>
      <c r="D140" s="627"/>
      <c r="E140" s="627"/>
      <c r="F140" s="627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18" t="str">
        <f>+VLOOKUP(LEFT($A141,LEN(A141)-1)*1,Master!$D$30:$G$229,4,FALSE)</f>
        <v>Pozajmice i krediti</v>
      </c>
      <c r="C141" s="619"/>
      <c r="D141" s="619"/>
      <c r="E141" s="619"/>
      <c r="F141" s="619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18" t="str">
        <f>+VLOOKUP(LEFT($A142,LEN(A142)-1)*1,Master!$D$30:$G$229,4,FALSE)</f>
        <v>Rezerve</v>
      </c>
      <c r="C142" s="619"/>
      <c r="D142" s="619"/>
      <c r="E142" s="619"/>
      <c r="F142" s="619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18" t="str">
        <f>+VLOOKUP(LEFT($A143,LEN(A143)-1)*1,Master!$D$30:$G$229,4,FALSE)</f>
        <v>Otplata garancija</v>
      </c>
      <c r="C143" s="619"/>
      <c r="D143" s="619"/>
      <c r="E143" s="619"/>
      <c r="F143" s="619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18" t="str">
        <f>+VLOOKUP(LEFT($A144,LEN(A144)-1)*1,Master!$D$30:$G$229,4,FALSE)</f>
        <v>Otplata obaveza iz prethodnog perioda</v>
      </c>
      <c r="C144" s="619"/>
      <c r="D144" s="619"/>
      <c r="E144" s="619"/>
      <c r="F144" s="619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18" t="str">
        <f>+VLOOKUP(LEFT($A145,LEN(A145)-1)*1,Master!$D$30:$G$229,4,FALSE)</f>
        <v>Neto povećanje obaveza</v>
      </c>
      <c r="C145" s="619"/>
      <c r="D145" s="619"/>
      <c r="E145" s="619"/>
      <c r="F145" s="619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20" t="str">
        <f>+VLOOKUP(LEFT($A146,LEN(A146)-1)*1,Master!$D$30:$G$226,4,FALSE)</f>
        <v>Suficit / deficit</v>
      </c>
      <c r="C146" s="621"/>
      <c r="D146" s="621"/>
      <c r="E146" s="621"/>
      <c r="F146" s="621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22" t="str">
        <f>+VLOOKUP(LEFT($A147,LEN(A147)-1)*1,Master!$D$30:$G$226,4,FALSE)</f>
        <v>Primarni suficit/deficit</v>
      </c>
      <c r="C147" s="623"/>
      <c r="D147" s="623"/>
      <c r="E147" s="623"/>
      <c r="F147" s="623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24" t="str">
        <f>+VLOOKUP(LEFT($A148,LEN(A148)-1)*1,Master!$D$30:$G$226,4,FALSE)</f>
        <v>Otplata dugova</v>
      </c>
      <c r="C148" s="625"/>
      <c r="D148" s="625"/>
      <c r="E148" s="625"/>
      <c r="F148" s="625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16" t="str">
        <f>+VLOOKUP(LEFT($A149,LEN(A149)-1)*1,Master!$D$30:$G$226,4,FALSE)</f>
        <v>Otplata hartija od vrijednosti i kredita rezidentima</v>
      </c>
      <c r="C149" s="617"/>
      <c r="D149" s="617"/>
      <c r="E149" s="617"/>
      <c r="F149" s="617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18" t="str">
        <f>+VLOOKUP(LEFT($A150,LEN(A150)-1)*1,Master!$D$30:$G$226,4,FALSE)</f>
        <v>Otplata hartija od vrijednosti i kredita nerezidentima</v>
      </c>
      <c r="C150" s="619"/>
      <c r="D150" s="619"/>
      <c r="E150" s="619"/>
      <c r="F150" s="619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12" t="str">
        <f>+VLOOKUP(LEFT($A151,LEN(A151)-1)*1,Master!$D$30:$G$226,4,FALSE)</f>
        <v>Izdaci za kupovinu hartija od vrijednosti</v>
      </c>
      <c r="C151" s="613"/>
      <c r="D151" s="613"/>
      <c r="E151" s="613"/>
      <c r="F151" s="613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14" t="str">
        <f>+VLOOKUP(LEFT($A152,LEN(A152)-1)*1,Master!$D$30:$G$226,4,FALSE)</f>
        <v>Nedostajuća sredstva</v>
      </c>
      <c r="C152" s="615"/>
      <c r="D152" s="615"/>
      <c r="E152" s="615"/>
      <c r="F152" s="615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12" t="str">
        <f>+VLOOKUP(LEFT($A153,LEN(A153)-1)*1,Master!$D$30:$G$226,4,FALSE)</f>
        <v>Finansiranje</v>
      </c>
      <c r="C153" s="613"/>
      <c r="D153" s="613"/>
      <c r="E153" s="613"/>
      <c r="F153" s="613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16" t="str">
        <f>+VLOOKUP(LEFT($A154,LEN(A154)-1)*1,Master!$D$30:$G$226,4,FALSE)</f>
        <v>Pozajmice i krediti od domaćih izvora</v>
      </c>
      <c r="C154" s="617"/>
      <c r="D154" s="617"/>
      <c r="E154" s="617"/>
      <c r="F154" s="617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18" t="str">
        <f>+VLOOKUP(LEFT($A155,LEN(A155)-1)*1,Master!$D$30:$G$226,4,FALSE)</f>
        <v>Pozajmice i krediti od inostranih izvora</v>
      </c>
      <c r="C155" s="619"/>
      <c r="D155" s="619"/>
      <c r="E155" s="619"/>
      <c r="F155" s="619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18" t="str">
        <f>+VLOOKUP(LEFT($A156,LEN(A156)-1)*1,Master!$D$30:$G$226,4,FALSE)</f>
        <v>Primici od prodaje imovine</v>
      </c>
      <c r="C156" s="619"/>
      <c r="D156" s="619"/>
      <c r="E156" s="619"/>
      <c r="F156" s="619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Bojan Paunovic</cp:lastModifiedBy>
  <cp:lastPrinted>2024-06-26T14:13:15Z</cp:lastPrinted>
  <dcterms:created xsi:type="dcterms:W3CDTF">2014-09-15T13:41:17Z</dcterms:created>
  <dcterms:modified xsi:type="dcterms:W3CDTF">2025-03-02T10:34:39Z</dcterms:modified>
</cp:coreProperties>
</file>