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updateLinks="always" codeName="ThisWorkbook" defaultThemeVersion="124226"/>
  <mc:AlternateContent xmlns:mc="http://schemas.openxmlformats.org/markup-compatibility/2006">
    <mc:Choice Requires="x15">
      <x15ac:absPath xmlns:x15ac="http://schemas.microsoft.com/office/spreadsheetml/2010/11/ac" url="C:\Users\milica.rahovic\Desktop\Milica Rahović 2025\Desktop\Izvještaji Ministarstvo finansija\Konsolidovani\2025\Drugi kvartal 2025. godine\"/>
    </mc:Choice>
  </mc:AlternateContent>
  <xr:revisionPtr revIDLastSave="0" documentId="13_ncr:1_{B63ABB9F-AC9B-49E3-84B9-871AB9805140}" xr6:coauthVersionLast="36" xr6:coauthVersionMax="36" xr10:uidLastSave="{00000000-0000-0000-0000-000000000000}"/>
  <workbookProtection workbookAlgorithmName="SHA-512" workbookHashValue="U0Zt6j3MJMiX083PeojI5Oir6JWHxlEDlMR+Z+pmAn5B5Y9btdZxnk4nGoLRhk2v/MuU3/84UU5jeSV30ev7fw==" workbookSaltValue="7mTQf/fELNkj/k3gvkzHUQ==" workbookSpinCount="100000" lockStructure="1"/>
  <bookViews>
    <workbookView xWindow="0" yWindow="0" windowWidth="28800" windowHeight="12225" xr2:uid="{00000000-000D-0000-FFFF-FFFF0000000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91029"/>
  <customWorkbookViews>
    <customWorkbookView name="iva.vukovic - Personal View" guid="{E484E83A-8AE1-4ACE-A5D4-7D98A52A9B4B}" mergeInterval="0" personalView="1" maximized="1" windowWidth="1276" windowHeight="856" tabRatio="796" activeSheetId="3"/>
    <customWorkbookView name="pc - Personal View" guid="{5F444141-AB98-4370-9413-F1F0A45DC16B}" mergeInterval="0" personalView="1" maximized="1" windowWidth="1276" windowHeight="874" activeSheetId="5"/>
    <customWorkbookView name="RATKO - Personal View" guid="{A4D59F75-8091-4878-A19C-E6F7EFCC98D0}" mergeInterval="0" personalView="1" maximized="1" windowWidth="1276" windowHeight="850" activeSheetId="5"/>
  </customWorkbookViews>
  <fileRecoveryPr autoRecover="0"/>
</workbook>
</file>

<file path=xl/calcChain.xml><?xml version="1.0" encoding="utf-8"?>
<calcChain xmlns="http://schemas.openxmlformats.org/spreadsheetml/2006/main">
  <c r="I2" i="44" l="1"/>
  <c r="D74" i="10" l="1"/>
  <c r="D75" i="10"/>
  <c r="D76" i="10"/>
  <c r="D77" i="10"/>
  <c r="I32" i="10" l="1"/>
  <c r="I25" i="10"/>
  <c r="I20" i="10"/>
  <c r="I15" i="10"/>
  <c r="I6" i="10" s="1"/>
  <c r="I7" i="10"/>
  <c r="E32" i="10"/>
  <c r="E25" i="10"/>
  <c r="E20" i="10"/>
  <c r="E15" i="10"/>
  <c r="E7" i="10"/>
  <c r="E6" i="10" s="1"/>
  <c r="C32" i="10"/>
  <c r="C25" i="10"/>
  <c r="C20" i="10"/>
  <c r="C15" i="10"/>
  <c r="C6" i="10" s="1"/>
  <c r="C7" i="10"/>
  <c r="E50" i="10" l="1"/>
  <c r="L51" i="43" l="1"/>
  <c r="L52" i="43"/>
  <c r="H51" i="43"/>
  <c r="L65" i="43"/>
  <c r="L64" i="43"/>
  <c r="H65" i="43"/>
  <c r="H64" i="43"/>
  <c r="L10" i="10"/>
  <c r="H10" i="10"/>
  <c r="L63" i="10"/>
  <c r="H63" i="10"/>
  <c r="L28" i="10"/>
  <c r="H28" i="10"/>
  <c r="L37" i="10"/>
  <c r="H37" i="10"/>
  <c r="L58" i="10"/>
  <c r="H58" i="10"/>
  <c r="L74" i="10"/>
  <c r="H75" i="10"/>
  <c r="H74" i="10"/>
  <c r="I60" i="43" l="1"/>
  <c r="I38" i="43"/>
  <c r="I37" i="43" s="1"/>
  <c r="I30" i="43"/>
  <c r="I19" i="43"/>
  <c r="I12" i="43"/>
  <c r="I7" i="43"/>
  <c r="I6" i="43" l="1"/>
  <c r="I59" i="43" s="1"/>
  <c r="I55" i="43" l="1"/>
  <c r="I57" i="43" s="1"/>
  <c r="I66" i="43" s="1"/>
  <c r="I73" i="43" s="1"/>
  <c r="I67" i="43" s="1"/>
  <c r="I58" i="43" l="1"/>
  <c r="C12" i="43"/>
  <c r="E12" i="43" l="1"/>
  <c r="E30" i="43" l="1"/>
  <c r="E7" i="43"/>
  <c r="E19" i="43"/>
  <c r="C2" i="43" l="1"/>
  <c r="D70" i="43" s="1"/>
  <c r="K24" i="43" l="1"/>
  <c r="L24" i="43"/>
  <c r="D12" i="43" l="1"/>
  <c r="I67" i="10" l="1"/>
  <c r="I55" i="44" l="1"/>
  <c r="J55" i="44" s="1"/>
  <c r="E55" i="44"/>
  <c r="C55" i="44"/>
  <c r="K65" i="43"/>
  <c r="G65" i="43"/>
  <c r="J71" i="10"/>
  <c r="K71" i="10"/>
  <c r="L71" i="10"/>
  <c r="F71" i="10"/>
  <c r="G71" i="10"/>
  <c r="H71" i="10"/>
  <c r="D71" i="10"/>
  <c r="L55" i="44" l="1"/>
  <c r="G55" i="44"/>
  <c r="K55" i="44"/>
  <c r="H55" i="44"/>
  <c r="L71" i="43"/>
  <c r="K71" i="43"/>
  <c r="H71" i="43"/>
  <c r="G71" i="43"/>
  <c r="I61" i="44"/>
  <c r="J61" i="44" s="1"/>
  <c r="E61" i="44"/>
  <c r="C61" i="44"/>
  <c r="I2" i="43"/>
  <c r="J24" i="43" s="1"/>
  <c r="E2" i="43"/>
  <c r="F24" i="43" s="1"/>
  <c r="D25" i="43" l="1"/>
  <c r="D22" i="43"/>
  <c r="D23" i="43"/>
  <c r="J71" i="43"/>
  <c r="J65" i="43"/>
  <c r="F71" i="43"/>
  <c r="F65" i="43"/>
  <c r="D71" i="43"/>
  <c r="D65" i="43"/>
  <c r="K61" i="44"/>
  <c r="H61" i="44"/>
  <c r="L61" i="44"/>
  <c r="G61" i="44"/>
  <c r="L77" i="10" l="1"/>
  <c r="K77" i="10"/>
  <c r="J77" i="10"/>
  <c r="H77" i="10"/>
  <c r="G77" i="10"/>
  <c r="F77" i="10"/>
  <c r="H59" i="10" l="1"/>
  <c r="E67" i="10"/>
  <c r="H60" i="10" l="1"/>
  <c r="J58" i="10" l="1"/>
  <c r="C67" i="10" l="1"/>
  <c r="D68" i="10" l="1"/>
  <c r="F68" i="10"/>
  <c r="I43" i="44" l="1"/>
  <c r="C38" i="43" l="1"/>
  <c r="C37" i="43" s="1"/>
  <c r="E38" i="43"/>
  <c r="E37" i="43" s="1"/>
  <c r="J74" i="10" l="1"/>
  <c r="J75" i="10"/>
  <c r="J76" i="10"/>
  <c r="I53" i="44" l="1"/>
  <c r="E60" i="43" l="1"/>
  <c r="C60" i="43"/>
  <c r="C51" i="44"/>
  <c r="E43" i="44"/>
  <c r="C43" i="44"/>
  <c r="F56" i="43" l="1"/>
  <c r="K68" i="10" l="1"/>
  <c r="K69" i="10"/>
  <c r="C8" i="44" l="1"/>
  <c r="I54" i="44" l="1"/>
  <c r="E54" i="44"/>
  <c r="C54" i="44"/>
  <c r="E2" i="44" l="1"/>
  <c r="C2" i="44"/>
  <c r="J63" i="43"/>
  <c r="D56" i="43"/>
  <c r="F61" i="44" l="1"/>
  <c r="F55" i="44"/>
  <c r="D61" i="44"/>
  <c r="D55" i="44"/>
  <c r="F17" i="46"/>
  <c r="I17" i="46" s="1"/>
  <c r="G15" i="46"/>
  <c r="G19" i="46" s="1"/>
  <c r="F15" i="46"/>
  <c r="F19" i="46" s="1"/>
  <c r="I19" i="46" s="1"/>
  <c r="D15" i="46"/>
  <c r="D19" i="46" s="1"/>
  <c r="C15" i="46"/>
  <c r="C19" i="46" s="1"/>
  <c r="F13" i="46"/>
  <c r="I13" i="46" s="1"/>
  <c r="J11" i="46"/>
  <c r="G11" i="46"/>
  <c r="J15" i="46" s="1"/>
  <c r="J19" i="46" s="1"/>
  <c r="F11" i="46"/>
  <c r="I15" i="46" s="1"/>
  <c r="F9" i="46"/>
  <c r="I9" i="46" s="1"/>
  <c r="I11" i="46" l="1"/>
  <c r="I62" i="44"/>
  <c r="J62" i="44" s="1"/>
  <c r="E62" i="44"/>
  <c r="F62" i="44" s="1"/>
  <c r="C62" i="44"/>
  <c r="D62" i="44" s="1"/>
  <c r="I60" i="44"/>
  <c r="E60" i="44"/>
  <c r="F60" i="44" s="1"/>
  <c r="C60" i="44"/>
  <c r="I59" i="44"/>
  <c r="J59" i="44" s="1"/>
  <c r="I58" i="44"/>
  <c r="J58" i="44" s="1"/>
  <c r="E59" i="44"/>
  <c r="E58" i="44"/>
  <c r="F58" i="44" s="1"/>
  <c r="C59" i="44"/>
  <c r="C58" i="44"/>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E41" i="44"/>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F41" i="44" l="1"/>
  <c r="H41" i="44"/>
  <c r="J41" i="44"/>
  <c r="L41" i="44"/>
  <c r="L25" i="44"/>
  <c r="H25" i="44"/>
  <c r="H20" i="44"/>
  <c r="D58" i="44"/>
  <c r="D20" i="44"/>
  <c r="H37" i="44"/>
  <c r="H33" i="44"/>
  <c r="L13" i="44"/>
  <c r="G20" i="44"/>
  <c r="L20" i="44"/>
  <c r="G14" i="44"/>
  <c r="K35" i="44"/>
  <c r="G39" i="44"/>
  <c r="G10" i="44"/>
  <c r="L15" i="44"/>
  <c r="K60" i="44"/>
  <c r="L36" i="44"/>
  <c r="K32" i="44"/>
  <c r="L31" i="44"/>
  <c r="D15" i="44"/>
  <c r="G51" i="44"/>
  <c r="K15" i="44"/>
  <c r="K43" i="44"/>
  <c r="K31" i="44"/>
  <c r="D35" i="44"/>
  <c r="J20" i="44"/>
  <c r="K20" i="44"/>
  <c r="J13" i="44"/>
  <c r="H19" i="44"/>
  <c r="F20" i="44"/>
  <c r="H12" i="44"/>
  <c r="L8" i="44"/>
  <c r="L12" i="44"/>
  <c r="G13" i="44"/>
  <c r="K13" i="44"/>
  <c r="L59" i="44"/>
  <c r="K51" i="44"/>
  <c r="L51" i="44"/>
  <c r="K26" i="44"/>
  <c r="K62" i="44"/>
  <c r="L62" i="44"/>
  <c r="H59" i="44"/>
  <c r="D39" i="44"/>
  <c r="K21" i="44"/>
  <c r="J8" i="44"/>
  <c r="J12" i="44"/>
  <c r="G60" i="44"/>
  <c r="H18" i="44"/>
  <c r="G9" i="44"/>
  <c r="L35" i="44"/>
  <c r="G12" i="44"/>
  <c r="G8" i="44"/>
  <c r="H13" i="44"/>
  <c r="H10" i="44"/>
  <c r="G36" i="44"/>
  <c r="G62" i="44"/>
  <c r="L60" i="44"/>
  <c r="H8" i="44"/>
  <c r="K9" i="44"/>
  <c r="G32" i="44"/>
  <c r="H36" i="44"/>
  <c r="H51" i="44"/>
  <c r="D60" i="44"/>
  <c r="K29" i="44"/>
  <c r="J32" i="44"/>
  <c r="J15" i="44"/>
  <c r="F51" i="44"/>
  <c r="G31" i="44"/>
  <c r="F10" i="44"/>
  <c r="K59" i="44"/>
  <c r="H62" i="44"/>
  <c r="D59" i="44"/>
  <c r="L53" i="44"/>
  <c r="H32" i="44"/>
  <c r="H39" i="44"/>
  <c r="L40" i="44"/>
  <c r="K10" i="44"/>
  <c r="D10" i="44"/>
  <c r="L10" i="44"/>
  <c r="J60"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8" i="44"/>
  <c r="G59" i="44"/>
  <c r="H60" i="44"/>
  <c r="K46" i="44"/>
  <c r="K34" i="44"/>
  <c r="G29" i="44"/>
  <c r="K30" i="44"/>
  <c r="H35" i="44"/>
  <c r="D26" i="44"/>
  <c r="H26" i="44"/>
  <c r="D19" i="44"/>
  <c r="H14" i="44"/>
  <c r="D14" i="44"/>
  <c r="H16" i="44"/>
  <c r="H11" i="44"/>
  <c r="G11" i="44"/>
  <c r="D11" i="44"/>
  <c r="C7" i="44"/>
  <c r="D7" i="44" s="1"/>
  <c r="D9" i="44"/>
  <c r="L9" i="44"/>
  <c r="F59" i="44"/>
  <c r="H58" i="44"/>
  <c r="G58" i="44"/>
  <c r="L58"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K41" i="44"/>
  <c r="G41" i="44"/>
  <c r="K40" i="44"/>
  <c r="J40" i="44"/>
  <c r="G40" i="44"/>
  <c r="H40" i="44"/>
  <c r="L29" i="44"/>
  <c r="I28" i="44"/>
  <c r="E28" i="44"/>
  <c r="F28" i="44" s="1"/>
  <c r="G30" i="44"/>
  <c r="L30" i="44"/>
  <c r="G34" i="44"/>
  <c r="L34" i="44"/>
  <c r="H30" i="44"/>
  <c r="G33" i="44"/>
  <c r="L33" i="44"/>
  <c r="H34" i="44"/>
  <c r="G37" i="44"/>
  <c r="L37" i="44"/>
  <c r="C28" i="44"/>
  <c r="D28" i="44" s="1"/>
  <c r="F26" i="44"/>
  <c r="G26"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2" i="43" l="1"/>
  <c r="K72" i="43"/>
  <c r="L72" i="43"/>
  <c r="F72" i="43"/>
  <c r="G72" i="43"/>
  <c r="H72" i="43"/>
  <c r="D72" i="43"/>
  <c r="J25" i="43"/>
  <c r="K25" i="43"/>
  <c r="L25" i="43"/>
  <c r="J26" i="43"/>
  <c r="K26" i="43"/>
  <c r="L26" i="43"/>
  <c r="J27" i="43"/>
  <c r="K27" i="43"/>
  <c r="L27" i="43"/>
  <c r="G25" i="43"/>
  <c r="H25" i="43"/>
  <c r="G26" i="43"/>
  <c r="H26" i="43"/>
  <c r="G27" i="43"/>
  <c r="H27" i="43"/>
  <c r="F25" i="43"/>
  <c r="F26" i="43"/>
  <c r="F27" i="43"/>
  <c r="F28" i="43"/>
  <c r="F29" i="43"/>
  <c r="D26" i="43"/>
  <c r="D27" i="43"/>
  <c r="D28" i="43"/>
  <c r="D29" i="43"/>
  <c r="J17" i="43"/>
  <c r="K17" i="43"/>
  <c r="L17" i="43"/>
  <c r="F17" i="43"/>
  <c r="G17" i="43"/>
  <c r="H17" i="43"/>
  <c r="D17" i="43"/>
  <c r="J60" i="43"/>
  <c r="F60" i="43"/>
  <c r="J9" i="43"/>
  <c r="K9" i="43"/>
  <c r="L9" i="43"/>
  <c r="G9" i="43"/>
  <c r="H9" i="43"/>
  <c r="F9" i="43"/>
  <c r="D9" i="43"/>
  <c r="L70" i="43"/>
  <c r="K70" i="43"/>
  <c r="J70" i="43"/>
  <c r="H70" i="43"/>
  <c r="G70" i="43"/>
  <c r="F70" i="43"/>
  <c r="L69" i="43"/>
  <c r="K69" i="43"/>
  <c r="J69" i="43"/>
  <c r="H69" i="43"/>
  <c r="G69" i="43"/>
  <c r="F69" i="43"/>
  <c r="D69" i="43"/>
  <c r="L68" i="43"/>
  <c r="K68" i="43"/>
  <c r="J68" i="43"/>
  <c r="H68" i="43"/>
  <c r="G68" i="43"/>
  <c r="F68" i="43"/>
  <c r="D68" i="43"/>
  <c r="K64" i="43"/>
  <c r="J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K52" i="43"/>
  <c r="J52" i="43"/>
  <c r="G52" i="43"/>
  <c r="F52" i="43"/>
  <c r="D52" i="43"/>
  <c r="K51" i="43"/>
  <c r="J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K35" i="43"/>
  <c r="J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J30" i="43"/>
  <c r="F30" i="43"/>
  <c r="C30" i="43"/>
  <c r="L29" i="43"/>
  <c r="K29" i="43"/>
  <c r="J29" i="43"/>
  <c r="H29" i="43"/>
  <c r="G29" i="43"/>
  <c r="L28" i="43"/>
  <c r="K28" i="43"/>
  <c r="J28" i="43"/>
  <c r="H28" i="43"/>
  <c r="G28" i="43"/>
  <c r="L23" i="43"/>
  <c r="K23" i="43"/>
  <c r="J23" i="43"/>
  <c r="H23" i="43"/>
  <c r="G23" i="43"/>
  <c r="F23" i="43"/>
  <c r="L22" i="43"/>
  <c r="K22" i="43"/>
  <c r="J22" i="43"/>
  <c r="H22" i="43"/>
  <c r="G22" i="43"/>
  <c r="F22" i="43"/>
  <c r="L21" i="43"/>
  <c r="K21" i="43"/>
  <c r="J21" i="43"/>
  <c r="H21" i="43"/>
  <c r="G21" i="43"/>
  <c r="F21" i="43"/>
  <c r="D21" i="43"/>
  <c r="L20" i="43"/>
  <c r="K20" i="43"/>
  <c r="J20" i="43"/>
  <c r="H20" i="43"/>
  <c r="G20" i="43"/>
  <c r="F20" i="43"/>
  <c r="D20" i="43"/>
  <c r="J19" i="43"/>
  <c r="F19" i="43"/>
  <c r="C19" i="43"/>
  <c r="L18" i="43"/>
  <c r="K18" i="43"/>
  <c r="J18" i="43"/>
  <c r="H18" i="43"/>
  <c r="G18" i="43"/>
  <c r="F18" i="43"/>
  <c r="D18" i="43"/>
  <c r="L13" i="43"/>
  <c r="K13" i="43"/>
  <c r="J13" i="43"/>
  <c r="H13" i="43"/>
  <c r="G13" i="43"/>
  <c r="F13" i="43"/>
  <c r="D13" i="43"/>
  <c r="J12" i="43"/>
  <c r="F12" i="43"/>
  <c r="L11" i="43"/>
  <c r="K11" i="43"/>
  <c r="J11" i="43"/>
  <c r="H11" i="43"/>
  <c r="G11" i="43"/>
  <c r="F11" i="43"/>
  <c r="D11" i="43"/>
  <c r="L10" i="43"/>
  <c r="K10" i="43"/>
  <c r="J10" i="43"/>
  <c r="H10" i="43"/>
  <c r="G10" i="43"/>
  <c r="F10" i="43"/>
  <c r="D10" i="43"/>
  <c r="L8" i="43"/>
  <c r="K8" i="43"/>
  <c r="J8" i="43"/>
  <c r="H8" i="43"/>
  <c r="G8" i="43"/>
  <c r="F8" i="43"/>
  <c r="D8" i="43"/>
  <c r="C7" i="43"/>
  <c r="K7" i="43" l="1"/>
  <c r="C6" i="43"/>
  <c r="C55" i="43" s="1"/>
  <c r="E6" i="43"/>
  <c r="F14" i="46"/>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4" i="10"/>
  <c r="K75" i="10"/>
  <c r="L75" i="10"/>
  <c r="K76" i="10"/>
  <c r="L76" i="10"/>
  <c r="G74" i="10"/>
  <c r="G75" i="10"/>
  <c r="G76" i="10"/>
  <c r="H76" i="10"/>
  <c r="F74" i="10"/>
  <c r="F75" i="10"/>
  <c r="F76" i="10"/>
  <c r="J6" i="43" l="1"/>
  <c r="J59" i="43"/>
  <c r="F6" i="43"/>
  <c r="E59" i="43"/>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9" i="10"/>
  <c r="F70" i="10"/>
  <c r="D69" i="10"/>
  <c r="D70" i="10"/>
  <c r="J67" i="10"/>
  <c r="H67" i="10"/>
  <c r="K63" i="10"/>
  <c r="J63" i="10"/>
  <c r="G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K59" i="10"/>
  <c r="L59" i="10"/>
  <c r="K60" i="10"/>
  <c r="L60" i="10"/>
  <c r="K61" i="10"/>
  <c r="L61" i="10"/>
  <c r="J41" i="10"/>
  <c r="J42" i="10"/>
  <c r="J43" i="10"/>
  <c r="J44" i="10"/>
  <c r="J45" i="10"/>
  <c r="J46" i="10"/>
  <c r="J47" i="10"/>
  <c r="J48" i="10"/>
  <c r="J49" i="10"/>
  <c r="J51" i="10"/>
  <c r="J52" i="10"/>
  <c r="J53" i="10"/>
  <c r="J54" i="10"/>
  <c r="J55" i="10"/>
  <c r="J56" i="10"/>
  <c r="J57" i="10"/>
  <c r="J59" i="10"/>
  <c r="J60" i="10"/>
  <c r="J61" i="10"/>
  <c r="I50" i="10"/>
  <c r="I40" i="10"/>
  <c r="H41" i="10"/>
  <c r="H42" i="10"/>
  <c r="H43" i="10"/>
  <c r="H44" i="10"/>
  <c r="H45" i="10"/>
  <c r="H46" i="10"/>
  <c r="H47" i="10"/>
  <c r="H48" i="10"/>
  <c r="H49" i="10"/>
  <c r="H51" i="10"/>
  <c r="H52" i="10"/>
  <c r="H53" i="10"/>
  <c r="H54" i="10"/>
  <c r="H55" i="10"/>
  <c r="H56" i="10"/>
  <c r="H57" i="10"/>
  <c r="H61" i="10"/>
  <c r="G41" i="10"/>
  <c r="G42" i="10"/>
  <c r="G43" i="10"/>
  <c r="G44" i="10"/>
  <c r="G45" i="10"/>
  <c r="G46" i="10"/>
  <c r="G47" i="10"/>
  <c r="G48" i="10"/>
  <c r="G49" i="10"/>
  <c r="G51" i="10"/>
  <c r="G52" i="10"/>
  <c r="G53" i="10"/>
  <c r="G54" i="10"/>
  <c r="G55" i="10"/>
  <c r="G56" i="10"/>
  <c r="G57" i="10"/>
  <c r="G58" i="10"/>
  <c r="G59" i="10"/>
  <c r="G60" i="10"/>
  <c r="G61"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1" i="10"/>
  <c r="L12" i="10"/>
  <c r="L13" i="10"/>
  <c r="L14" i="10"/>
  <c r="L16" i="10"/>
  <c r="L17" i="10"/>
  <c r="L18" i="10"/>
  <c r="L19" i="10"/>
  <c r="L21" i="10"/>
  <c r="L22" i="10"/>
  <c r="L23" i="10"/>
  <c r="L24" i="10"/>
  <c r="L26" i="10"/>
  <c r="L27" i="10"/>
  <c r="L29" i="10"/>
  <c r="L30" i="10"/>
  <c r="L31" i="10"/>
  <c r="L33" i="10"/>
  <c r="L34" i="10"/>
  <c r="L35" i="10"/>
  <c r="L36"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J15" i="10"/>
  <c r="H8" i="10"/>
  <c r="H9" i="10"/>
  <c r="H11" i="10"/>
  <c r="H12" i="10"/>
  <c r="H13" i="10"/>
  <c r="H14" i="10"/>
  <c r="H16" i="10"/>
  <c r="H17" i="10"/>
  <c r="H18" i="10"/>
  <c r="H19" i="10"/>
  <c r="H21" i="10"/>
  <c r="H22" i="10"/>
  <c r="H23" i="10"/>
  <c r="H24" i="10"/>
  <c r="H26" i="10"/>
  <c r="H27" i="10"/>
  <c r="H29" i="10"/>
  <c r="H30" i="10"/>
  <c r="H31" i="10"/>
  <c r="H33" i="10"/>
  <c r="H34" i="10"/>
  <c r="H35" i="10"/>
  <c r="H36"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F15"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24" i="44"/>
  <c r="F59" i="43" l="1"/>
  <c r="F18" i="46"/>
  <c r="G14" i="46"/>
  <c r="C39" i="10"/>
  <c r="C22" i="44"/>
  <c r="D22" i="44" s="1"/>
  <c r="F7"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F55" i="43"/>
  <c r="L59" i="43"/>
  <c r="H59" i="43"/>
  <c r="D59" i="43"/>
  <c r="K59" i="43"/>
  <c r="G59" i="43"/>
  <c r="J55" i="43"/>
  <c r="K55" i="43"/>
  <c r="G55" i="43"/>
  <c r="C57" i="43"/>
  <c r="C66" i="43" s="1"/>
  <c r="C73" i="43" s="1"/>
  <c r="L55" i="43"/>
  <c r="D55" i="43"/>
  <c r="G18" i="46" s="1"/>
  <c r="H55" i="43"/>
  <c r="L50" i="10"/>
  <c r="K40" i="10"/>
  <c r="D67" i="10"/>
  <c r="K50" i="10"/>
  <c r="G40" i="10"/>
  <c r="G67" i="10"/>
  <c r="L67" i="10"/>
  <c r="K67" i="10"/>
  <c r="G50" i="10"/>
  <c r="D40" i="10"/>
  <c r="D50" i="10"/>
  <c r="H50" i="10"/>
  <c r="I39" i="10"/>
  <c r="J40" i="10"/>
  <c r="L40" i="10"/>
  <c r="H40" i="10"/>
  <c r="L25" i="10"/>
  <c r="L15" i="10"/>
  <c r="K20" i="10"/>
  <c r="L20" i="10"/>
  <c r="D20" i="10"/>
  <c r="G25" i="10"/>
  <c r="G20" i="10"/>
  <c r="H25" i="10"/>
  <c r="L7" i="10"/>
  <c r="L32" i="10"/>
  <c r="K25" i="10"/>
  <c r="G32" i="10"/>
  <c r="D32" i="10"/>
  <c r="G15" i="10"/>
  <c r="G7" i="10"/>
  <c r="H32" i="10"/>
  <c r="H20" i="10"/>
  <c r="J7" i="10"/>
  <c r="K32" i="10"/>
  <c r="D15" i="10"/>
  <c r="D7" i="10"/>
  <c r="H15" i="10"/>
  <c r="H7" i="10"/>
  <c r="K15" i="10"/>
  <c r="K7" i="10"/>
  <c r="E66" i="43" l="1"/>
  <c r="C66" i="10"/>
  <c r="J39" i="10"/>
  <c r="I66" i="10"/>
  <c r="J66" i="10" s="1"/>
  <c r="F6" i="10"/>
  <c r="E66" i="10"/>
  <c r="F66" i="10" s="1"/>
  <c r="H22" i="44"/>
  <c r="C6" i="44"/>
  <c r="C10" i="46"/>
  <c r="C62" i="10"/>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K57" i="43"/>
  <c r="H57" i="43"/>
  <c r="G57" i="43"/>
  <c r="L57" i="43"/>
  <c r="D57" i="43"/>
  <c r="J57" i="43"/>
  <c r="J58" i="43"/>
  <c r="F57" i="43"/>
  <c r="E58" i="43"/>
  <c r="E62" i="10"/>
  <c r="K39" i="10"/>
  <c r="H39" i="10"/>
  <c r="D39" i="10"/>
  <c r="D14" i="46" s="1"/>
  <c r="G39" i="10"/>
  <c r="L39" i="10"/>
  <c r="J6" i="10"/>
  <c r="I62" i="10"/>
  <c r="L6" i="10"/>
  <c r="K6" i="10"/>
  <c r="H6" i="10"/>
  <c r="D6" i="10"/>
  <c r="D10" i="46" s="1"/>
  <c r="G6" i="10"/>
  <c r="E73" i="43" l="1"/>
  <c r="F58" i="43"/>
  <c r="C64" i="10"/>
  <c r="C72" i="10" s="1"/>
  <c r="C78" i="10" s="1"/>
  <c r="D6" i="44"/>
  <c r="J10" i="46" s="1"/>
  <c r="E49" i="44"/>
  <c r="F49" i="44" s="1"/>
  <c r="K66" i="10"/>
  <c r="I49" i="44"/>
  <c r="J49" i="44" s="1"/>
  <c r="G66" i="10"/>
  <c r="G6" i="44"/>
  <c r="C49" i="44"/>
  <c r="D49" i="44" s="1"/>
  <c r="I10" i="46"/>
  <c r="C45" i="44"/>
  <c r="K6" i="44"/>
  <c r="G27" i="44"/>
  <c r="C18" i="46"/>
  <c r="H6" i="44"/>
  <c r="L6" i="44"/>
  <c r="K27" i="44"/>
  <c r="L27" i="44"/>
  <c r="J6" i="44"/>
  <c r="I45" i="44"/>
  <c r="H27" i="44"/>
  <c r="F6" i="44"/>
  <c r="E45" i="44"/>
  <c r="J66" i="43"/>
  <c r="F66" i="43"/>
  <c r="L66" i="43"/>
  <c r="H66" i="43"/>
  <c r="D66" i="43"/>
  <c r="K66" i="43"/>
  <c r="G66" i="43"/>
  <c r="L58" i="43"/>
  <c r="H58" i="43"/>
  <c r="D58" i="43"/>
  <c r="K58" i="43"/>
  <c r="G58" i="43"/>
  <c r="E64" i="10"/>
  <c r="E72" i="10" s="1"/>
  <c r="F62" i="10"/>
  <c r="L62" i="10"/>
  <c r="H62" i="10"/>
  <c r="D62" i="10"/>
  <c r="D18" i="46" s="1"/>
  <c r="K62" i="10"/>
  <c r="G62" i="10"/>
  <c r="J62" i="10"/>
  <c r="I64" i="10"/>
  <c r="H66" i="10"/>
  <c r="L66" i="10"/>
  <c r="D66" i="10"/>
  <c r="E67" i="43" l="1"/>
  <c r="F67" i="43" s="1"/>
  <c r="E78" i="10"/>
  <c r="E73" i="10" s="1"/>
  <c r="I72" i="10"/>
  <c r="C73" i="10"/>
  <c r="C65" i="10"/>
  <c r="D45" i="44"/>
  <c r="J18" i="46" s="1"/>
  <c r="G45" i="44"/>
  <c r="I18" i="46"/>
  <c r="C47" i="44"/>
  <c r="L45" i="44"/>
  <c r="K45" i="44"/>
  <c r="K49" i="44"/>
  <c r="H49" i="44"/>
  <c r="L49" i="44"/>
  <c r="J45" i="44"/>
  <c r="I47" i="44"/>
  <c r="I56" i="44" s="1"/>
  <c r="H45" i="44"/>
  <c r="G49" i="44"/>
  <c r="E47" i="44"/>
  <c r="E56" i="44" s="1"/>
  <c r="E63" i="44" s="1"/>
  <c r="F45" i="44"/>
  <c r="F73" i="43"/>
  <c r="J73" i="43"/>
  <c r="J67" i="43"/>
  <c r="J64" i="10"/>
  <c r="I65" i="10"/>
  <c r="J65" i="10" s="1"/>
  <c r="H64" i="10"/>
  <c r="D64" i="10"/>
  <c r="G64" i="10"/>
  <c r="K64" i="10"/>
  <c r="L64" i="10"/>
  <c r="F64" i="10"/>
  <c r="E65" i="10"/>
  <c r="I78" i="10" l="1"/>
  <c r="I73" i="10" s="1"/>
  <c r="J73" i="10" s="1"/>
  <c r="L72" i="10"/>
  <c r="J72" i="10"/>
  <c r="I63" i="44"/>
  <c r="I57" i="44" s="1"/>
  <c r="C48" i="44"/>
  <c r="D48" i="44" s="1"/>
  <c r="C56" i="44"/>
  <c r="C63" i="44" s="1"/>
  <c r="C57" i="44" s="1"/>
  <c r="K72" i="10"/>
  <c r="D72" i="10"/>
  <c r="H47" i="44"/>
  <c r="D47" i="44"/>
  <c r="L47" i="44"/>
  <c r="K47" i="44"/>
  <c r="J47" i="44"/>
  <c r="I48" i="44"/>
  <c r="J48" i="44" s="1"/>
  <c r="G47" i="44"/>
  <c r="E48" i="44"/>
  <c r="F48" i="44" s="1"/>
  <c r="F47" i="44"/>
  <c r="D78" i="10"/>
  <c r="D65" i="10"/>
  <c r="H65" i="10"/>
  <c r="L65" i="10"/>
  <c r="K65" i="10"/>
  <c r="G65" i="10"/>
  <c r="F65" i="10"/>
  <c r="J78" i="10" l="1"/>
  <c r="L78" i="10"/>
  <c r="D56" i="44"/>
  <c r="K78" i="10"/>
  <c r="G48" i="44"/>
  <c r="D63" i="44"/>
  <c r="G56" i="44"/>
  <c r="E57" i="44"/>
  <c r="K56" i="44"/>
  <c r="L48" i="44"/>
  <c r="H48" i="44"/>
  <c r="K48" i="44"/>
  <c r="J56" i="44"/>
  <c r="L56" i="44"/>
  <c r="H56" i="44"/>
  <c r="F56" i="44"/>
  <c r="K73" i="10"/>
  <c r="D73" i="10"/>
  <c r="L73" i="10"/>
  <c r="L63" i="44" l="1"/>
  <c r="D57" i="44"/>
  <c r="H63" i="44"/>
  <c r="K63" i="44"/>
  <c r="J63" i="44"/>
  <c r="J57" i="44"/>
  <c r="F63" i="44"/>
  <c r="F57" i="44"/>
  <c r="G63" i="44"/>
  <c r="L57" i="44" l="1"/>
  <c r="K57" i="44"/>
  <c r="G57" i="44"/>
  <c r="H57" i="44"/>
  <c r="G72" i="10" l="1"/>
  <c r="F72" i="10"/>
  <c r="H72" i="10"/>
  <c r="G73" i="10" l="1"/>
  <c r="H73" i="10"/>
  <c r="F73" i="10"/>
  <c r="G78" i="10"/>
  <c r="H78" i="10"/>
  <c r="F78" i="10"/>
  <c r="D73" i="43" l="1"/>
  <c r="L73" i="43"/>
  <c r="K73" i="43"/>
  <c r="G73" i="43"/>
  <c r="C67" i="43"/>
  <c r="G67" i="43" s="1"/>
  <c r="H73" i="43"/>
  <c r="H67" i="43" l="1"/>
  <c r="L67" i="43"/>
  <c r="K67" i="43"/>
  <c r="D67" i="43"/>
</calcChain>
</file>

<file path=xl/sharedStrings.xml><?xml version="1.0" encoding="utf-8"?>
<sst xmlns="http://schemas.openxmlformats.org/spreadsheetml/2006/main" count="473" uniqueCount="194">
  <si>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</si>
  <si>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</si>
  <si>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</si>
  <si>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</si>
  <si>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</si>
  <si>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</si>
  <si>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</si>
  <si>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</si>
  <si>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</si>
  <si>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</si>
  <si>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</si>
  <si>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</si>
  <si>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</si>
  <si>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</si>
  <si>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</si>
  <si>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</si>
  <si>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</si>
  <si>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</si>
  <si>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</si>
  <si>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</si>
  <si>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</si>
  <si>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</si>
  <si>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</si>
  <si>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</si>
  <si>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</si>
  <si>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</si>
  <si>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</si>
  <si>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</si>
  <si>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</si>
  <si>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</si>
  <si>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</si>
  <si>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</si>
  <si>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</si>
  <si>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</si>
  <si>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</si>
  <si>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</si>
  <si>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</si>
  <si>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</si>
  <si>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</si>
  <si>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</si>
  <si>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</si>
  <si>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</si>
  <si>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</si>
  <si>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</si>
  <si>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</si>
  <si>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</si>
  <si>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</si>
  <si>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</si>
  <si>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</si>
  <si>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</si>
  <si>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Izvorni prihodi</t>
  </si>
  <si>
    <t>Otplata duga rezidentima</t>
  </si>
  <si>
    <t>Otplata duga nerezidentima</t>
  </si>
  <si>
    <t>Nedostajuća sredstva</t>
  </si>
  <si>
    <t>Pozajmice i krediti iz domaćih izvora</t>
  </si>
  <si>
    <t>% BDP</t>
  </si>
  <si>
    <t>Neto povećanje obaveza</t>
  </si>
  <si>
    <t>BDP (u mil. €)</t>
  </si>
  <si>
    <t>Korigovani suficit/deficit</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</si>
  <si>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</si>
  <si>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</si>
  <si>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</si>
  <si>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</si>
  <si>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</si>
  <si>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</si>
  <si>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</si>
  <si>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</si>
  <si>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</si>
  <si>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</si>
  <si>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</si>
  <si>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</si>
  <si>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</si>
  <si>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</si>
  <si>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</si>
  <si>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</si>
  <si>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</si>
  <si>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</si>
  <si>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</si>
  <si>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</si>
  <si>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</si>
  <si>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</si>
  <si>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</si>
  <si>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</si>
  <si>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</si>
  <si>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</si>
  <si>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</si>
  <si>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</si>
  <si>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</si>
  <si>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</si>
  <si>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</si>
  <si>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</si>
  <si>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</si>
  <si>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</si>
  <si>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</si>
  <si>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</si>
  <si>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</si>
  <si>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</si>
  <si>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</si>
  <si>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</si>
  <si>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</si>
  <si>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</si>
  <si>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</si>
  <si>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</si>
  <si>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</si>
  <si>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</si>
  <si>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</si>
  <si>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</si>
  <si>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</si>
  <si>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</si>
  <si>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</si>
  <si>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</si>
  <si>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</si>
  <si>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</si>
  <si>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</si>
  <si>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</si>
  <si>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</si>
  <si>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</si>
  <si>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</si>
  <si>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</si>
  <si>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</si>
  <si>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</si>
  <si>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</si>
  <si>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</si>
  <si>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</si>
  <si>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</si>
  <si>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</si>
  <si>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</si>
  <si>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</si>
  <si>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</si>
  <si>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</si>
  <si>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</si>
  <si>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</si>
  <si>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</si>
  <si>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</si>
  <si>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</si>
  <si>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</si>
  <si>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</si>
  <si>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</si>
  <si>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</si>
  <si>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</si>
  <si>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</si>
  <si>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</si>
  <si>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</si>
  <si>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</si>
  <si>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</si>
  <si>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</si>
  <si>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</si>
  <si>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</si>
  <si>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</si>
  <si>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</si>
  <si>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Transferi iz budžeta CG </t>
  </si>
  <si>
    <t>Transfers from Central Budget</t>
  </si>
  <si>
    <t>Lolacl utility duties</t>
  </si>
  <si>
    <t>Fees for usage of construction land</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</si>
  <si>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</si>
  <si>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</si>
  <si>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</si>
  <si>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</si>
  <si>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</si>
  <si>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</si>
  <si>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</si>
  <si>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</si>
  <si>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</si>
  <si>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</si>
  <si>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</si>
  <si>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</si>
  <si>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</si>
  <si>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</si>
  <si>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</si>
  <si>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</si>
  <si>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</si>
  <si>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</si>
  <si>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</si>
  <si>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</si>
  <si>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</si>
  <si>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Otplata hartija od vrijednosti i kredita rezidentima</t>
  </si>
  <si>
    <t>Otplata hartija od vrijednosti i kredita nerezidentima</t>
  </si>
  <si>
    <t xml:space="preserve">Ministarstvo finansija/ Ministry of finance </t>
  </si>
  <si>
    <t>Neto promjena obaveza</t>
  </si>
  <si>
    <t>Donacije i transferi</t>
  </si>
  <si>
    <t>Naknada za komunalno opremanje građevinskog zemljišta</t>
  </si>
  <si>
    <t>Fee for communal equipment of construction land</t>
  </si>
  <si>
    <t>Primarni  suficit/deficit</t>
  </si>
  <si>
    <t xml:space="preserve">Primici od otplate kredita </t>
  </si>
  <si>
    <t>Primici od otplate kredita</t>
  </si>
  <si>
    <t>71175</t>
  </si>
  <si>
    <t>Prirez porezu na dohodak fizičkih lica</t>
  </si>
  <si>
    <t>Q1-Q2 2025</t>
  </si>
  <si>
    <t>Plan Q1-Q2 2025</t>
  </si>
  <si>
    <t>Q1-Q2 2024</t>
  </si>
  <si>
    <t>Koršćenje depozita*</t>
  </si>
  <si>
    <t>NAPOMENA</t>
  </si>
  <si>
    <t>Korišćenje depozita*</t>
  </si>
  <si>
    <t>*Korišćenje depozita - negativni predznak ispred iznosa planira, odnosno ostvarenja, označava povećanje depozita za navedeni iznos, dok pozitivan iznos prestavlja iznos korišćenja depozita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</si>
</sst>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_-* #,##0.00\ _€_-;\-* #,##0.00\ _€_-;_-* &quot;-&quot;??\ _€_-;_-@_-"/>
    <numFmt numFmtId="165" formatCode="0.0,,"/>
    <numFmt numFmtId="166" formatCode="#,##0.0"/>
    <numFmt numFmtId="167" formatCode="&quot;   &quot;@"/>
    <numFmt numFmtId="168" formatCode="&quot;      &quot;@"/>
    <numFmt numFmtId="169" formatCode="&quot;         &quot;@"/>
    <numFmt numFmtId="170" formatCode="&quot;            &quot;@"/>
    <numFmt numFmtId="171" formatCode="[&gt;0.05]#,##0.0;[&lt;-0.05]\-#,##0.0;\-\-&quot; &quot;;"/>
    <numFmt numFmtId="172" formatCode="[&gt;0.5]#,##0;[&lt;-0.5]\-#,##0;\-\-&quot; &quot;;"/>
    <numFmt numFmtId="173" formatCode="[Black]#,##0.0;[Black]\-#,##0.0;;"/>
    <numFmt numFmtId="174" formatCode="#,##0.0,,"/>
    <numFmt numFmtId="175" formatCode="0.0"/>
    <numFmt numFmtId="176" formatCode="_-* #,##0.00\ &quot;RSD&quot;_-;\-* #,##0.00\ &quot;RSD&quot;_-;_-* &quot;-&quot;??\ &quot;RSD&quot;_-;_-@_-"/>
    <numFmt numFmtId="177" formatCode="[$-409]General"/>
    <numFmt numFmtId="178" formatCode="0.00,,"/>
    <numFmt numFmtId="179" formatCode="0.000000000000000000"/>
    <numFmt numFmtId="180" formatCode="_-* #,##0.00\ _D_i_n_._-;\-* #,##0.00\ _D_i_n_._-;_-* &quot;-&quot;??\ _D_i_n_._-;_-@_-"/>
  </numFmts>
  <fonts count="69">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
      <b/>
      <sz val="10"/>
      <name val="Century Gothic"/>
      <family val="2"/>
    </font>
    <font>
      <sz val="12"/>
      <name val="Arial"/>
      <family val="2"/>
      <charset val="238"/>
    </font>
    <font>
      <sz val="11"/>
      <color rgb="FF9C0006"/>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alibri"/>
      <family val="2"/>
      <charset val="238"/>
    </font>
    <font>
      <sz val="10"/>
      <color indexed="8"/>
      <name val="Arial"/>
      <family val="2"/>
    </font>
    <font>
      <b/>
      <sz val="11"/>
      <color indexed="8"/>
      <name val="Calibri"/>
      <family val="2"/>
      <charset val="238"/>
    </font>
    <font>
      <sz val="11"/>
      <color indexed="8"/>
      <name val="Calibri"/>
      <family val="2"/>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s>
  <fills count="6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86">
    <xf numFmtId="0" fontId="0" fillId="0" borderId="0"/>
    <xf numFmtId="167"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0" fontId="6" fillId="0" borderId="0" applyProtection="0"/>
    <xf numFmtId="0" fontId="7" fillId="0" borderId="0">
      <protection locked="0"/>
    </xf>
    <xf numFmtId="0" fontId="7" fillId="0" borderId="0">
      <protection locked="0"/>
    </xf>
    <xf numFmtId="0" fontId="8" fillId="0" borderId="0">
      <protection locked="0"/>
    </xf>
    <xf numFmtId="0" fontId="7" fillId="0" borderId="0">
      <protection locked="0"/>
    </xf>
    <xf numFmtId="0" fontId="7" fillId="0" borderId="0">
      <protection locked="0"/>
    </xf>
    <xf numFmtId="0" fontId="7" fillId="0" borderId="0">
      <protection locked="0"/>
    </xf>
    <xf numFmtId="0" fontId="8" fillId="0" borderId="0">
      <protection locked="0"/>
    </xf>
    <xf numFmtId="2" fontId="6" fillId="0" borderId="0" applyProtection="0"/>
    <xf numFmtId="0" fontId="6" fillId="0" borderId="0" applyNumberFormat="0" applyFont="0" applyFill="0" applyBorder="0" applyAlignment="0" applyProtection="0"/>
    <xf numFmtId="0" fontId="9" fillId="0" borderId="0" applyProtection="0"/>
    <xf numFmtId="171" fontId="5" fillId="0" borderId="0" applyFont="0" applyFill="0" applyBorder="0" applyAlignment="0" applyProtection="0"/>
    <xf numFmtId="172" fontId="5" fillId="0" borderId="0" applyFont="0" applyFill="0" applyBorder="0" applyAlignment="0" applyProtection="0"/>
    <xf numFmtId="166" fontId="10" fillId="0" borderId="0"/>
    <xf numFmtId="0" fontId="11" fillId="0" borderId="0"/>
    <xf numFmtId="0" fontId="12" fillId="0" borderId="0"/>
    <xf numFmtId="0" fontId="12" fillId="0" borderId="0"/>
    <xf numFmtId="0" fontId="15" fillId="0" borderId="0"/>
    <xf numFmtId="0" fontId="15" fillId="0" borderId="0"/>
    <xf numFmtId="0" fontId="15" fillId="0" borderId="0"/>
    <xf numFmtId="0" fontId="14" fillId="0" borderId="0">
      <alignment vertical="center"/>
    </xf>
    <xf numFmtId="0" fontId="16" fillId="0" borderId="0"/>
    <xf numFmtId="0" fontId="5" fillId="0" borderId="0"/>
    <xf numFmtId="0" fontId="4" fillId="0" borderId="0"/>
    <xf numFmtId="0" fontId="4"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4" fillId="0" borderId="0"/>
    <xf numFmtId="173" fontId="5" fillId="0" borderId="0" applyFont="0" applyFill="0" applyBorder="0" applyAlignment="0" applyProtection="0"/>
    <xf numFmtId="0" fontId="13" fillId="0" borderId="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9" fontId="4" fillId="0" borderId="0" applyFont="0" applyFill="0" applyBorder="0" applyAlignment="0" applyProtection="0"/>
    <xf numFmtId="0" fontId="4" fillId="0" borderId="0"/>
    <xf numFmtId="176" fontId="4" fillId="0" borderId="0" applyFont="0" applyFill="0" applyBorder="0" applyAlignment="0" applyProtection="0"/>
    <xf numFmtId="177" fontId="31" fillId="0" borderId="0"/>
    <xf numFmtId="0" fontId="14" fillId="0" borderId="0"/>
    <xf numFmtId="0" fontId="14" fillId="0" borderId="0"/>
    <xf numFmtId="0" fontId="34" fillId="8" borderId="0" applyNumberFormat="0" applyBorder="0" applyAlignment="0" applyProtection="0"/>
    <xf numFmtId="0" fontId="35" fillId="0" borderId="0" applyNumberFormat="0" applyFill="0" applyBorder="0" applyAlignment="0" applyProtection="0"/>
    <xf numFmtId="0" fontId="36" fillId="0" borderId="32" applyNumberFormat="0" applyFill="0" applyAlignment="0" applyProtection="0"/>
    <xf numFmtId="0" fontId="37" fillId="0" borderId="33" applyNumberFormat="0" applyFill="0" applyAlignment="0" applyProtection="0"/>
    <xf numFmtId="0" fontId="38" fillId="0" borderId="34" applyNumberFormat="0" applyFill="0" applyAlignment="0" applyProtection="0"/>
    <xf numFmtId="0" fontId="38" fillId="0" borderId="0" applyNumberFormat="0" applyFill="0" applyBorder="0" applyAlignment="0" applyProtection="0"/>
    <xf numFmtId="0" fontId="39" fillId="7" borderId="0" applyNumberFormat="0" applyBorder="0" applyAlignment="0" applyProtection="0"/>
    <xf numFmtId="0" fontId="34" fillId="8" borderId="0" applyNumberFormat="0" applyBorder="0" applyAlignment="0" applyProtection="0"/>
    <xf numFmtId="0" fontId="40" fillId="9" borderId="0" applyNumberFormat="0" applyBorder="0" applyAlignment="0" applyProtection="0"/>
    <xf numFmtId="0" fontId="41" fillId="10" borderId="35" applyNumberFormat="0" applyAlignment="0" applyProtection="0"/>
    <xf numFmtId="0" fontId="42" fillId="11" borderId="36" applyNumberFormat="0" applyAlignment="0" applyProtection="0"/>
    <xf numFmtId="0" fontId="43" fillId="11" borderId="35" applyNumberFormat="0" applyAlignment="0" applyProtection="0"/>
    <xf numFmtId="0" fontId="44" fillId="0" borderId="37" applyNumberFormat="0" applyFill="0" applyAlignment="0" applyProtection="0"/>
    <xf numFmtId="0" fontId="45" fillId="12" borderId="38"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40" applyNumberFormat="0" applyFill="0" applyAlignment="0" applyProtection="0"/>
    <xf numFmtId="0" fontId="4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9" fillId="29" borderId="0" applyNumberFormat="0" applyBorder="0" applyAlignment="0" applyProtection="0"/>
    <xf numFmtId="0" fontId="4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9" fillId="33" borderId="0" applyNumberFormat="0" applyBorder="0" applyAlignment="0" applyProtection="0"/>
    <xf numFmtId="0" fontId="4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9" fillId="37" borderId="0" applyNumberFormat="0" applyBorder="0" applyAlignment="0" applyProtection="0"/>
    <xf numFmtId="0" fontId="2" fillId="0" borderId="0"/>
    <xf numFmtId="0" fontId="2" fillId="13" borderId="3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39"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0" borderId="0"/>
    <xf numFmtId="0" fontId="2" fillId="0" borderId="0"/>
    <xf numFmtId="0" fontId="1" fillId="0" borderId="0"/>
    <xf numFmtId="0" fontId="33" fillId="0" borderId="0"/>
    <xf numFmtId="0" fontId="1"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0" fontId="14" fillId="0" borderId="0"/>
    <xf numFmtId="167" fontId="4" fillId="0" borderId="0" applyFont="0" applyFill="0" applyBorder="0" applyAlignment="0" applyProtection="0"/>
    <xf numFmtId="168" fontId="4" fillId="0" borderId="0" applyFont="0" applyFill="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169" fontId="4" fillId="0" borderId="0" applyFont="0" applyFill="0" applyBorder="0" applyAlignment="0" applyProtection="0"/>
    <xf numFmtId="170" fontId="4" fillId="0" borderId="0" applyFont="0" applyFill="0" applyBorder="0" applyAlignment="0" applyProtection="0"/>
    <xf numFmtId="0" fontId="50" fillId="44"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7" borderId="0" applyNumberFormat="0" applyBorder="0" applyAlignment="0" applyProtection="0"/>
    <xf numFmtId="0" fontId="54" fillId="48" borderId="0" applyNumberFormat="0" applyBorder="0" applyAlignment="0" applyProtection="0"/>
    <xf numFmtId="0" fontId="54" fillId="45" borderId="0" applyNumberFormat="0" applyBorder="0" applyAlignment="0" applyProtection="0"/>
    <xf numFmtId="0" fontId="54" fillId="46"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54" fillId="54"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5" borderId="0" applyNumberFormat="0" applyBorder="0" applyAlignment="0" applyProtection="0"/>
    <xf numFmtId="0" fontId="55" fillId="39" borderId="0" applyNumberFormat="0" applyBorder="0" applyAlignment="0" applyProtection="0"/>
    <xf numFmtId="0" fontId="56" fillId="56" borderId="41" applyNumberFormat="0" applyAlignment="0" applyProtection="0"/>
    <xf numFmtId="0" fontId="57" fillId="57" borderId="42" applyNumberFormat="0" applyAlignment="0" applyProtection="0"/>
    <xf numFmtId="43" fontId="14" fillId="0" borderId="0" applyFont="0" applyFill="0" applyBorder="0" applyAlignment="0" applyProtection="0"/>
    <xf numFmtId="43" fontId="4" fillId="0" borderId="0" applyFont="0" applyFill="0" applyBorder="0" applyAlignment="0" applyProtection="0"/>
    <xf numFmtId="0" fontId="50" fillId="0" borderId="0"/>
    <xf numFmtId="0" fontId="4" fillId="0" borderId="0"/>
    <xf numFmtId="0" fontId="4" fillId="0" borderId="0"/>
    <xf numFmtId="0" fontId="4" fillId="0" borderId="0"/>
    <xf numFmtId="0" fontId="58" fillId="0" borderId="0" applyNumberFormat="0" applyFill="0" applyBorder="0" applyAlignment="0" applyProtection="0"/>
    <xf numFmtId="0" fontId="59" fillId="40" borderId="0" applyNumberFormat="0" applyBorder="0" applyAlignment="0" applyProtection="0"/>
    <xf numFmtId="0" fontId="60" fillId="0" borderId="43" applyNumberFormat="0" applyFill="0" applyAlignment="0" applyProtection="0"/>
    <xf numFmtId="0" fontId="61" fillId="0" borderId="44" applyNumberFormat="0" applyFill="0" applyAlignment="0" applyProtection="0"/>
    <xf numFmtId="0" fontId="62" fillId="0" borderId="45" applyNumberFormat="0" applyFill="0" applyAlignment="0" applyProtection="0"/>
    <xf numFmtId="0" fontId="62" fillId="0" borderId="0" applyNumberForma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0" fontId="63" fillId="43" borderId="41" applyNumberFormat="0" applyAlignment="0" applyProtection="0"/>
    <xf numFmtId="0" fontId="64" fillId="0" borderId="46" applyNumberFormat="0" applyFill="0" applyAlignment="0" applyProtection="0"/>
    <xf numFmtId="0" fontId="65" fillId="5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alignment vertical="top"/>
    </xf>
    <xf numFmtId="0" fontId="51" fillId="0" borderId="0">
      <alignment vertical="top"/>
    </xf>
    <xf numFmtId="0" fontId="51"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53" fillId="59" borderId="47" applyNumberFormat="0" applyFont="0" applyAlignment="0" applyProtection="0"/>
    <xf numFmtId="0" fontId="66" fillId="56" borderId="48" applyNumberFormat="0" applyAlignment="0" applyProtection="0"/>
    <xf numFmtId="173" fontId="4" fillId="0" borderId="0" applyFont="0" applyFill="0" applyBorder="0" applyAlignment="0" applyProtection="0"/>
    <xf numFmtId="0" fontId="67" fillId="0" borderId="0" applyNumberFormat="0" applyFill="0" applyBorder="0" applyAlignment="0" applyProtection="0"/>
    <xf numFmtId="0" fontId="52" fillId="0" borderId="49" applyNumberFormat="0" applyFill="0" applyAlignment="0" applyProtection="0"/>
    <xf numFmtId="0" fontId="6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 fillId="0" borderId="0"/>
    <xf numFmtId="0" fontId="2" fillId="31" borderId="0" applyNumberFormat="0" applyBorder="0" applyAlignment="0" applyProtection="0"/>
    <xf numFmtId="0" fontId="2" fillId="32" borderId="0" applyNumberFormat="0" applyBorder="0" applyAlignment="0" applyProtection="0"/>
    <xf numFmtId="0" fontId="1" fillId="0" borderId="0"/>
    <xf numFmtId="0" fontId="2" fillId="35" borderId="0" applyNumberFormat="0" applyBorder="0" applyAlignment="0" applyProtection="0"/>
    <xf numFmtId="0" fontId="2" fillId="36" borderId="0" applyNumberFormat="0" applyBorder="0" applyAlignment="0" applyProtection="0"/>
    <xf numFmtId="0" fontId="2" fillId="0" borderId="0"/>
    <xf numFmtId="0" fontId="2" fillId="13" borderId="39" applyNumberFormat="0" applyFont="0" applyAlignment="0" applyProtection="0"/>
    <xf numFmtId="0" fontId="1" fillId="0" borderId="0"/>
    <xf numFmtId="0" fontId="1" fillId="0" borderId="0"/>
    <xf numFmtId="180" fontId="1" fillId="0" borderId="0" applyFont="0" applyFill="0" applyBorder="0" applyAlignment="0" applyProtection="0"/>
    <xf numFmtId="0" fontId="1" fillId="0" borderId="0"/>
    <xf numFmtId="0" fontId="1" fillId="0" borderId="0"/>
    <xf numFmtId="0" fontId="1" fillId="0" borderId="0"/>
    <xf numFmtId="0" fontId="1" fillId="0" borderId="0"/>
  </cellStyleXfs>
  <cellXfs count="130">
    <xf numFmtId="0" fontId="0" fillId="0" borderId="0" xfId="0"/>
    <xf numFmtId="0" fontId="4" fillId="0" borderId="0" xfId="27" applyFont="1"/>
    <xf numFmtId="0" fontId="4" fillId="0" borderId="0" xfId="27" applyFont="1" applyFill="1"/>
    <xf numFmtId="0" fontId="4" fillId="2" borderId="0" xfId="27" applyFont="1" applyFill="1"/>
    <xf numFmtId="0" fontId="17" fillId="0" borderId="0" xfId="0" applyFont="1"/>
    <xf numFmtId="0" fontId="17" fillId="0" borderId="0" xfId="0" applyFont="1" applyAlignment="1">
      <alignment horizontal="center"/>
    </xf>
    <xf numFmtId="165" fontId="17" fillId="0" borderId="0" xfId="0" applyNumberFormat="1" applyFont="1"/>
    <xf numFmtId="0" fontId="17" fillId="0" borderId="0" xfId="27" applyFont="1"/>
    <xf numFmtId="0" fontId="18" fillId="0" borderId="0" xfId="0" applyFont="1"/>
    <xf numFmtId="0" fontId="18" fillId="0" borderId="0" xfId="0" applyFont="1" applyBorder="1" applyAlignment="1"/>
    <xf numFmtId="0" fontId="18" fillId="0" borderId="0" xfId="27" applyFont="1"/>
    <xf numFmtId="165" fontId="18" fillId="0" borderId="0" xfId="0" applyNumberFormat="1" applyFont="1"/>
    <xf numFmtId="165" fontId="18" fillId="0" borderId="1" xfId="0" applyNumberFormat="1" applyFont="1" applyBorder="1" applyAlignment="1">
      <alignment horizontal="center"/>
    </xf>
    <xf numFmtId="0" fontId="18" fillId="0" borderId="1" xfId="0" applyFont="1" applyBorder="1" applyAlignment="1">
      <alignment horizontal="center"/>
    </xf>
    <xf numFmtId="0" fontId="18" fillId="0" borderId="1" xfId="27" applyFont="1" applyBorder="1" applyAlignment="1">
      <alignment horizontal="center"/>
    </xf>
    <xf numFmtId="0" fontId="18" fillId="5" borderId="5" xfId="0" applyFont="1" applyFill="1" applyBorder="1"/>
    <xf numFmtId="0" fontId="19" fillId="5" borderId="1" xfId="0" applyFont="1" applyFill="1" applyBorder="1"/>
    <xf numFmtId="165" fontId="18" fillId="5" borderId="1" xfId="0" applyNumberFormat="1" applyFont="1" applyFill="1" applyBorder="1"/>
    <xf numFmtId="0" fontId="18" fillId="0" borderId="5" xfId="0" applyFont="1" applyBorder="1"/>
    <xf numFmtId="0" fontId="18" fillId="0" borderId="1" xfId="0" applyFont="1" applyBorder="1"/>
    <xf numFmtId="165" fontId="18" fillId="0" borderId="1" xfId="0" applyNumberFormat="1" applyFont="1" applyBorder="1"/>
    <xf numFmtId="0" fontId="17" fillId="0" borderId="5" xfId="0" applyFont="1" applyBorder="1"/>
    <xf numFmtId="0" fontId="17" fillId="0" borderId="1" xfId="0" applyFont="1" applyBorder="1"/>
    <xf numFmtId="165" fontId="17" fillId="0" borderId="1" xfId="0" applyNumberFormat="1" applyFont="1" applyBorder="1"/>
    <xf numFmtId="0" fontId="18" fillId="0" borderId="7" xfId="0" applyFont="1" applyBorder="1"/>
    <xf numFmtId="0" fontId="18" fillId="0" borderId="8" xfId="0" applyFont="1" applyBorder="1"/>
    <xf numFmtId="165" fontId="18" fillId="0" borderId="8" xfId="0" applyNumberFormat="1" applyFont="1" applyBorder="1"/>
    <xf numFmtId="0" fontId="17" fillId="0" borderId="1" xfId="0" applyFont="1" applyBorder="1" applyAlignment="1">
      <alignment wrapText="1"/>
    </xf>
    <xf numFmtId="0" fontId="18" fillId="0" borderId="14" xfId="0" applyFont="1" applyBorder="1"/>
    <xf numFmtId="0" fontId="18" fillId="0" borderId="15" xfId="0" applyFont="1" applyBorder="1"/>
    <xf numFmtId="165" fontId="18" fillId="0" borderId="15" xfId="0" applyNumberFormat="1" applyFont="1" applyBorder="1"/>
    <xf numFmtId="0" fontId="18" fillId="3" borderId="5" xfId="0" applyFont="1" applyFill="1" applyBorder="1"/>
    <xf numFmtId="0" fontId="19" fillId="3" borderId="1" xfId="0" applyFont="1" applyFill="1" applyBorder="1"/>
    <xf numFmtId="165" fontId="18" fillId="3" borderId="1" xfId="0" applyNumberFormat="1" applyFont="1" applyFill="1" applyBorder="1"/>
    <xf numFmtId="0" fontId="4" fillId="3" borderId="0" xfId="27" applyFont="1" applyFill="1"/>
    <xf numFmtId="0" fontId="18" fillId="4" borderId="5" xfId="0" applyFont="1" applyFill="1" applyBorder="1"/>
    <xf numFmtId="0" fontId="19" fillId="4" borderId="1" xfId="0" applyFont="1" applyFill="1" applyBorder="1"/>
    <xf numFmtId="165" fontId="18" fillId="4" borderId="1" xfId="0" applyNumberFormat="1" applyFont="1" applyFill="1" applyBorder="1"/>
    <xf numFmtId="0" fontId="4" fillId="4" borderId="0" xfId="27" applyFont="1" applyFill="1"/>
    <xf numFmtId="175" fontId="18" fillId="5" borderId="1" xfId="0" applyNumberFormat="1" applyFont="1" applyFill="1" applyBorder="1"/>
    <xf numFmtId="175" fontId="18" fillId="0" borderId="1" xfId="0" applyNumberFormat="1" applyFont="1" applyBorder="1"/>
    <xf numFmtId="175" fontId="17" fillId="0" borderId="1" xfId="0" applyNumberFormat="1" applyFont="1" applyBorder="1"/>
    <xf numFmtId="175" fontId="18" fillId="0" borderId="8" xfId="0" applyNumberFormat="1" applyFont="1" applyBorder="1"/>
    <xf numFmtId="175" fontId="18" fillId="3" borderId="1" xfId="0" applyNumberFormat="1" applyFont="1" applyFill="1" applyBorder="1"/>
    <xf numFmtId="175" fontId="18"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22" fillId="6" borderId="0" xfId="0" applyFont="1" applyFill="1" applyBorder="1" applyAlignment="1" applyProtection="1">
      <alignment vertical="center"/>
      <protection hidden="1"/>
    </xf>
    <xf numFmtId="0" fontId="0" fillId="6" borderId="0" xfId="0" applyFill="1"/>
    <xf numFmtId="174" fontId="23" fillId="6" borderId="21" xfId="0" applyNumberFormat="1" applyFont="1" applyFill="1" applyBorder="1" applyAlignment="1" applyProtection="1">
      <alignment vertical="center"/>
      <protection hidden="1"/>
    </xf>
    <xf numFmtId="175" fontId="23" fillId="6" borderId="1" xfId="0" applyNumberFormat="1" applyFont="1" applyFill="1" applyBorder="1" applyAlignment="1" applyProtection="1">
      <alignment vertical="center"/>
      <protection hidden="1"/>
    </xf>
    <xf numFmtId="174" fontId="24" fillId="6" borderId="21" xfId="0" applyNumberFormat="1" applyFont="1" applyFill="1" applyBorder="1" applyAlignment="1" applyProtection="1">
      <alignment vertical="center"/>
      <protection hidden="1"/>
    </xf>
    <xf numFmtId="0" fontId="25" fillId="6" borderId="0" xfId="0" applyFont="1" applyFill="1" applyBorder="1" applyAlignment="1" applyProtection="1">
      <alignment horizontal="center" vertical="top"/>
      <protection hidden="1"/>
    </xf>
    <xf numFmtId="0" fontId="26"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2" fillId="6" borderId="0" xfId="0" applyFont="1" applyFill="1" applyAlignment="1" applyProtection="1">
      <alignment vertical="center"/>
      <protection hidden="1"/>
    </xf>
    <xf numFmtId="0" fontId="27"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20" fillId="2" borderId="0" xfId="0" applyFont="1" applyFill="1" applyAlignment="1" applyProtection="1">
      <alignment vertical="center"/>
      <protection hidden="1"/>
    </xf>
    <xf numFmtId="0" fontId="30" fillId="0" borderId="0" xfId="0" applyFont="1" applyAlignment="1">
      <alignment vertical="center" wrapText="1"/>
    </xf>
    <xf numFmtId="165" fontId="18" fillId="2" borderId="1" xfId="0" applyNumberFormat="1" applyFont="1" applyFill="1" applyBorder="1"/>
    <xf numFmtId="0" fontId="19" fillId="3" borderId="6" xfId="0" applyFont="1" applyFill="1" applyBorder="1"/>
    <xf numFmtId="0" fontId="18" fillId="0" borderId="6" xfId="0" applyFont="1" applyBorder="1"/>
    <xf numFmtId="0" fontId="17" fillId="0" borderId="6" xfId="0" applyFont="1" applyBorder="1"/>
    <xf numFmtId="0" fontId="17" fillId="0" borderId="6" xfId="0" applyFont="1" applyBorder="1" applyAlignment="1">
      <alignment wrapText="1"/>
    </xf>
    <xf numFmtId="0" fontId="18" fillId="0" borderId="28" xfId="0" applyFont="1" applyBorder="1"/>
    <xf numFmtId="0" fontId="18" fillId="0" borderId="25" xfId="0" applyFont="1" applyBorder="1"/>
    <xf numFmtId="165" fontId="17" fillId="0" borderId="1" xfId="27" applyNumberFormat="1" applyFont="1" applyBorder="1" applyAlignment="1">
      <alignment horizontal="right"/>
    </xf>
    <xf numFmtId="0" fontId="18" fillId="0" borderId="1" xfId="0" applyFont="1" applyBorder="1" applyAlignment="1">
      <alignment wrapText="1"/>
    </xf>
    <xf numFmtId="2" fontId="4" fillId="0" borderId="0" xfId="27" applyNumberFormat="1" applyFont="1"/>
    <xf numFmtId="0" fontId="19" fillId="4" borderId="6" xfId="0" applyFont="1" applyFill="1" applyBorder="1"/>
    <xf numFmtId="0" fontId="19" fillId="5" borderId="6" xfId="0" applyFont="1" applyFill="1" applyBorder="1"/>
    <xf numFmtId="0" fontId="19" fillId="5" borderId="5" xfId="0" applyFont="1" applyFill="1" applyBorder="1"/>
    <xf numFmtId="165" fontId="17" fillId="0" borderId="1" xfId="28" applyNumberFormat="1" applyFont="1" applyBorder="1" applyAlignment="1">
      <alignment horizontal="right"/>
    </xf>
    <xf numFmtId="175" fontId="4" fillId="0" borderId="0" xfId="27" applyNumberFormat="1" applyFont="1"/>
    <xf numFmtId="166" fontId="17" fillId="0" borderId="0" xfId="0" applyNumberFormat="1" applyFont="1"/>
    <xf numFmtId="166" fontId="17" fillId="0" borderId="0" xfId="27" applyNumberFormat="1" applyFont="1"/>
    <xf numFmtId="178" fontId="4" fillId="0" borderId="0" xfId="27" applyNumberFormat="1" applyFont="1"/>
    <xf numFmtId="165" fontId="4" fillId="0" borderId="0" xfId="27" applyNumberFormat="1" applyFont="1"/>
    <xf numFmtId="166" fontId="0" fillId="0" borderId="0" xfId="0" applyNumberFormat="1"/>
    <xf numFmtId="175" fontId="18" fillId="0" borderId="1" xfId="0" applyNumberFormat="1" applyFont="1" applyBorder="1" applyAlignment="1">
      <alignment horizontal="right"/>
    </xf>
    <xf numFmtId="0" fontId="18" fillId="0" borderId="31" xfId="0" applyFont="1" applyBorder="1"/>
    <xf numFmtId="0" fontId="18" fillId="2" borderId="1" xfId="0" applyFont="1" applyFill="1" applyBorder="1"/>
    <xf numFmtId="0" fontId="32" fillId="0" borderId="1" xfId="0" applyFont="1" applyBorder="1"/>
    <xf numFmtId="175" fontId="18" fillId="5" borderId="1" xfId="0" applyNumberFormat="1" applyFont="1" applyFill="1" applyBorder="1" applyAlignment="1">
      <alignment horizontal="right"/>
    </xf>
    <xf numFmtId="175" fontId="17" fillId="0" borderId="1" xfId="0" applyNumberFormat="1" applyFont="1" applyBorder="1" applyAlignment="1">
      <alignment horizontal="right"/>
    </xf>
    <xf numFmtId="175" fontId="18" fillId="0" borderId="8" xfId="0" applyNumberFormat="1" applyFont="1" applyBorder="1" applyAlignment="1">
      <alignment horizontal="right"/>
    </xf>
    <xf numFmtId="0" fontId="17" fillId="0" borderId="0" xfId="27" applyFont="1" applyAlignment="1">
      <alignment horizontal="right"/>
    </xf>
    <xf numFmtId="0" fontId="18" fillId="0" borderId="0" xfId="27" applyFont="1" applyAlignment="1">
      <alignment horizontal="right"/>
    </xf>
    <xf numFmtId="0" fontId="18" fillId="0" borderId="1" xfId="0" applyFont="1" applyBorder="1" applyAlignment="1">
      <alignment horizontal="right"/>
    </xf>
    <xf numFmtId="175" fontId="18" fillId="3" borderId="1" xfId="0" applyNumberFormat="1" applyFont="1" applyFill="1" applyBorder="1" applyAlignment="1">
      <alignment horizontal="right"/>
    </xf>
    <xf numFmtId="0" fontId="18" fillId="0" borderId="1" xfId="27" applyFont="1" applyBorder="1" applyAlignment="1">
      <alignment horizontal="right"/>
    </xf>
    <xf numFmtId="175" fontId="18" fillId="4" borderId="1" xfId="0" applyNumberFormat="1" applyFont="1" applyFill="1" applyBorder="1" applyAlignment="1">
      <alignment horizontal="right"/>
    </xf>
    <xf numFmtId="0" fontId="18" fillId="0" borderId="1" xfId="0" applyFont="1" applyFill="1" applyBorder="1"/>
    <xf numFmtId="179" fontId="4" fillId="0" borderId="0" xfId="27" applyNumberFormat="1" applyFont="1"/>
    <xf numFmtId="178" fontId="18" fillId="0" borderId="1" xfId="0" applyNumberFormat="1" applyFont="1" applyBorder="1" applyAlignment="1">
      <alignment horizontal="right"/>
    </xf>
    <xf numFmtId="175" fontId="17" fillId="0" borderId="0" xfId="0" applyNumberFormat="1" applyFont="1" applyAlignment="1">
      <alignment horizontal="center"/>
    </xf>
    <xf numFmtId="0" fontId="17" fillId="0" borderId="5" xfId="0" applyFont="1" applyBorder="1" applyAlignment="1">
      <alignment horizontal="right"/>
    </xf>
    <xf numFmtId="165" fontId="17" fillId="0" borderId="1" xfId="0" applyNumberFormat="1" applyFont="1" applyFill="1" applyBorder="1"/>
    <xf numFmtId="165" fontId="18" fillId="0" borderId="1" xfId="0" applyNumberFormat="1" applyFont="1" applyFill="1" applyBorder="1"/>
    <xf numFmtId="165" fontId="17" fillId="0" borderId="1" xfId="27" applyNumberFormat="1" applyFont="1" applyFill="1" applyBorder="1" applyAlignment="1">
      <alignment horizontal="right"/>
    </xf>
    <xf numFmtId="175" fontId="18" fillId="0" borderId="1" xfId="0" applyNumberFormat="1" applyFont="1" applyFill="1" applyBorder="1"/>
    <xf numFmtId="0" fontId="20" fillId="6" borderId="0" xfId="0" applyFont="1" applyFill="1" applyBorder="1" applyAlignment="1" applyProtection="1">
      <alignment horizontal="center" vertical="center" wrapText="1"/>
      <protection hidden="1"/>
    </xf>
    <xf numFmtId="165" fontId="18" fillId="0" borderId="3" xfId="0" applyNumberFormat="1" applyFont="1" applyBorder="1" applyAlignment="1">
      <alignment horizontal="center"/>
    </xf>
    <xf numFmtId="165" fontId="18" fillId="0" borderId="4" xfId="0" applyNumberFormat="1" applyFont="1" applyBorder="1" applyAlignment="1">
      <alignment horizontal="center"/>
    </xf>
    <xf numFmtId="0" fontId="18" fillId="0" borderId="26" xfId="0" applyFont="1" applyBorder="1" applyAlignment="1">
      <alignment horizontal="center"/>
    </xf>
    <xf numFmtId="0" fontId="18" fillId="0" borderId="27" xfId="0" applyFont="1" applyBorder="1" applyAlignment="1">
      <alignment horizontal="center"/>
    </xf>
    <xf numFmtId="0" fontId="18" fillId="0" borderId="12" xfId="0" applyFont="1" applyBorder="1" applyAlignment="1">
      <alignment horizontal="center"/>
    </xf>
    <xf numFmtId="0" fontId="18" fillId="0" borderId="13" xfId="0" applyFont="1" applyBorder="1" applyAlignment="1">
      <alignment horizontal="center"/>
    </xf>
    <xf numFmtId="0" fontId="18" fillId="0" borderId="2" xfId="0" applyFont="1" applyBorder="1" applyAlignment="1">
      <alignment horizontal="center" wrapText="1"/>
    </xf>
    <xf numFmtId="0" fontId="18" fillId="0" borderId="11" xfId="0" applyFont="1" applyBorder="1" applyAlignment="1">
      <alignment horizontal="center" wrapText="1"/>
    </xf>
    <xf numFmtId="0" fontId="18" fillId="0" borderId="9" xfId="27" applyFont="1" applyBorder="1" applyAlignment="1">
      <alignment horizontal="center"/>
    </xf>
    <xf numFmtId="0" fontId="18" fillId="0" borderId="10" xfId="27"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xf>
    <xf numFmtId="0" fontId="18" fillId="0" borderId="9" xfId="28" applyFont="1" applyBorder="1" applyAlignment="1">
      <alignment horizontal="center"/>
    </xf>
    <xf numFmtId="0" fontId="18" fillId="0" borderId="10" xfId="28" applyFont="1" applyBorder="1" applyAlignment="1">
      <alignment horizontal="center"/>
    </xf>
    <xf numFmtId="165" fontId="18" fillId="2" borderId="3" xfId="0" applyNumberFormat="1" applyFont="1" applyFill="1" applyBorder="1" applyAlignment="1">
      <alignment horizontal="center"/>
    </xf>
    <xf numFmtId="165" fontId="18" fillId="2" borderId="4" xfId="0" applyNumberFormat="1" applyFont="1" applyFill="1" applyBorder="1" applyAlignment="1">
      <alignment horizontal="center"/>
    </xf>
    <xf numFmtId="0" fontId="18" fillId="0" borderId="29" xfId="27" applyFont="1" applyBorder="1" applyAlignment="1">
      <alignment horizontal="center"/>
    </xf>
    <xf numFmtId="0" fontId="18" fillId="0" borderId="30" xfId="27" applyFont="1" applyBorder="1" applyAlignment="1">
      <alignment horizontal="center"/>
    </xf>
  </cellXfs>
  <cellStyles count="286">
    <cellStyle name="1 indent" xfId="1" xr:uid="{00000000-0005-0000-0000-000000000000}"/>
    <cellStyle name="1 indent 2" xfId="41" xr:uid="{00000000-0005-0000-0000-000001000000}"/>
    <cellStyle name="1 indent 3" xfId="140" xr:uid="{00000000-0005-0000-0000-000002000000}"/>
    <cellStyle name="2 indents" xfId="2" xr:uid="{00000000-0005-0000-0000-000003000000}"/>
    <cellStyle name="2 indents 2" xfId="42" xr:uid="{00000000-0005-0000-0000-000004000000}"/>
    <cellStyle name="2 indents 3" xfId="141" xr:uid="{00000000-0005-0000-0000-000005000000}"/>
    <cellStyle name="20% - Accent1 2" xfId="118" xr:uid="{00000000-0005-0000-0000-000006000000}"/>
    <cellStyle name="20% - Accent1 2 2" xfId="142" xr:uid="{00000000-0005-0000-0000-000007000000}"/>
    <cellStyle name="20% - Accent1 3" xfId="263" xr:uid="{00000000-0005-0000-0000-000008000000}"/>
    <cellStyle name="20% - Accent1 4" xfId="82" xr:uid="{00000000-0005-0000-0000-000009000000}"/>
    <cellStyle name="20% - Accent2 2" xfId="120" xr:uid="{00000000-0005-0000-0000-00000A000000}"/>
    <cellStyle name="20% - Accent2 2 2" xfId="143" xr:uid="{00000000-0005-0000-0000-00000B000000}"/>
    <cellStyle name="20% - Accent2 3" xfId="265" xr:uid="{00000000-0005-0000-0000-00000C000000}"/>
    <cellStyle name="20% - Accent2 4" xfId="86" xr:uid="{00000000-0005-0000-0000-00000D000000}"/>
    <cellStyle name="20% - Accent3 2" xfId="122" xr:uid="{00000000-0005-0000-0000-00000E000000}"/>
    <cellStyle name="20% - Accent3 2 2" xfId="144" xr:uid="{00000000-0005-0000-0000-00000F000000}"/>
    <cellStyle name="20% - Accent3 3" xfId="267" xr:uid="{00000000-0005-0000-0000-000010000000}"/>
    <cellStyle name="20% - Accent3 4" xfId="90" xr:uid="{00000000-0005-0000-0000-000011000000}"/>
    <cellStyle name="20% - Accent4 2" xfId="124" xr:uid="{00000000-0005-0000-0000-000012000000}"/>
    <cellStyle name="20% - Accent4 2 2" xfId="145" xr:uid="{00000000-0005-0000-0000-000013000000}"/>
    <cellStyle name="20% - Accent4 3" xfId="269" xr:uid="{00000000-0005-0000-0000-000014000000}"/>
    <cellStyle name="20% - Accent4 4" xfId="94" xr:uid="{00000000-0005-0000-0000-000015000000}"/>
    <cellStyle name="20% - Accent5 2" xfId="126" xr:uid="{00000000-0005-0000-0000-000016000000}"/>
    <cellStyle name="20% - Accent5 2 2" xfId="146" xr:uid="{00000000-0005-0000-0000-000017000000}"/>
    <cellStyle name="20% - Accent5 3" xfId="272" xr:uid="{00000000-0005-0000-0000-000018000000}"/>
    <cellStyle name="20% - Accent5 4" xfId="98" xr:uid="{00000000-0005-0000-0000-000019000000}"/>
    <cellStyle name="20% - Accent6 2" xfId="128" xr:uid="{00000000-0005-0000-0000-00001A000000}"/>
    <cellStyle name="20% - Accent6 2 2" xfId="147" xr:uid="{00000000-0005-0000-0000-00001B000000}"/>
    <cellStyle name="20% - Accent6 3" xfId="275" xr:uid="{00000000-0005-0000-0000-00001C000000}"/>
    <cellStyle name="20% - Accent6 4" xfId="102" xr:uid="{00000000-0005-0000-0000-00001D000000}"/>
    <cellStyle name="3 indents" xfId="3" xr:uid="{00000000-0005-0000-0000-00001E000000}"/>
    <cellStyle name="3 indents 2" xfId="43" xr:uid="{00000000-0005-0000-0000-00001F000000}"/>
    <cellStyle name="3 indents 3" xfId="148" xr:uid="{00000000-0005-0000-0000-000020000000}"/>
    <cellStyle name="4 indents" xfId="4" xr:uid="{00000000-0005-0000-0000-000021000000}"/>
    <cellStyle name="4 indents 2" xfId="44" xr:uid="{00000000-0005-0000-0000-000022000000}"/>
    <cellStyle name="4 indents 3" xfId="149" xr:uid="{00000000-0005-0000-0000-000023000000}"/>
    <cellStyle name="40% - Accent1 2" xfId="119" xr:uid="{00000000-0005-0000-0000-000024000000}"/>
    <cellStyle name="40% - Accent1 2 2" xfId="150" xr:uid="{00000000-0005-0000-0000-000025000000}"/>
    <cellStyle name="40% - Accent1 3" xfId="264" xr:uid="{00000000-0005-0000-0000-000026000000}"/>
    <cellStyle name="40% - Accent1 4" xfId="83" xr:uid="{00000000-0005-0000-0000-000027000000}"/>
    <cellStyle name="40% - Accent2 2" xfId="121" xr:uid="{00000000-0005-0000-0000-000028000000}"/>
    <cellStyle name="40% - Accent2 2 2" xfId="151" xr:uid="{00000000-0005-0000-0000-000029000000}"/>
    <cellStyle name="40% - Accent2 3" xfId="266" xr:uid="{00000000-0005-0000-0000-00002A000000}"/>
    <cellStyle name="40% - Accent2 4" xfId="87" xr:uid="{00000000-0005-0000-0000-00002B000000}"/>
    <cellStyle name="40% - Accent3 2" xfId="123" xr:uid="{00000000-0005-0000-0000-00002C000000}"/>
    <cellStyle name="40% - Accent3 2 2" xfId="152" xr:uid="{00000000-0005-0000-0000-00002D000000}"/>
    <cellStyle name="40% - Accent3 3" xfId="268" xr:uid="{00000000-0005-0000-0000-00002E000000}"/>
    <cellStyle name="40% - Accent3 4" xfId="91" xr:uid="{00000000-0005-0000-0000-00002F000000}"/>
    <cellStyle name="40% - Accent4 2" xfId="125" xr:uid="{00000000-0005-0000-0000-000030000000}"/>
    <cellStyle name="40% - Accent4 2 2" xfId="153" xr:uid="{00000000-0005-0000-0000-000031000000}"/>
    <cellStyle name="40% - Accent4 3" xfId="270" xr:uid="{00000000-0005-0000-0000-000032000000}"/>
    <cellStyle name="40% - Accent4 4" xfId="95" xr:uid="{00000000-0005-0000-0000-000033000000}"/>
    <cellStyle name="40% - Accent5 2" xfId="127" xr:uid="{00000000-0005-0000-0000-000034000000}"/>
    <cellStyle name="40% - Accent5 2 2" xfId="154" xr:uid="{00000000-0005-0000-0000-000035000000}"/>
    <cellStyle name="40% - Accent5 3" xfId="273" xr:uid="{00000000-0005-0000-0000-000036000000}"/>
    <cellStyle name="40% - Accent5 4" xfId="99" xr:uid="{00000000-0005-0000-0000-000037000000}"/>
    <cellStyle name="40% - Accent6 2" xfId="129" xr:uid="{00000000-0005-0000-0000-000038000000}"/>
    <cellStyle name="40% - Accent6 2 2" xfId="155" xr:uid="{00000000-0005-0000-0000-000039000000}"/>
    <cellStyle name="40% - Accent6 3" xfId="276" xr:uid="{00000000-0005-0000-0000-00003A000000}"/>
    <cellStyle name="40% - Accent6 4" xfId="103" xr:uid="{00000000-0005-0000-0000-00003B000000}"/>
    <cellStyle name="60% - Accent1 2" xfId="156" xr:uid="{00000000-0005-0000-0000-00003C000000}"/>
    <cellStyle name="60% - Accent1 3" xfId="84" xr:uid="{00000000-0005-0000-0000-00003D000000}"/>
    <cellStyle name="60% - Accent2 2" xfId="157" xr:uid="{00000000-0005-0000-0000-00003E000000}"/>
    <cellStyle name="60% - Accent2 3" xfId="88" xr:uid="{00000000-0005-0000-0000-00003F000000}"/>
    <cellStyle name="60% - Accent3 2" xfId="158" xr:uid="{00000000-0005-0000-0000-000040000000}"/>
    <cellStyle name="60% - Accent3 3" xfId="92" xr:uid="{00000000-0005-0000-0000-000041000000}"/>
    <cellStyle name="60% - Accent4 2" xfId="159" xr:uid="{00000000-0005-0000-0000-000042000000}"/>
    <cellStyle name="60% - Accent4 3" xfId="96" xr:uid="{00000000-0005-0000-0000-000043000000}"/>
    <cellStyle name="60% - Accent5 2" xfId="160" xr:uid="{00000000-0005-0000-0000-000044000000}"/>
    <cellStyle name="60% - Accent5 3" xfId="100" xr:uid="{00000000-0005-0000-0000-000045000000}"/>
    <cellStyle name="60% - Accent6 2" xfId="161" xr:uid="{00000000-0005-0000-0000-000046000000}"/>
    <cellStyle name="60% - Accent6 3" xfId="104" xr:uid="{00000000-0005-0000-0000-000047000000}"/>
    <cellStyle name="Accent1 2" xfId="162" xr:uid="{00000000-0005-0000-0000-000048000000}"/>
    <cellStyle name="Accent1 3" xfId="81" xr:uid="{00000000-0005-0000-0000-000049000000}"/>
    <cellStyle name="Accent2 2" xfId="163" xr:uid="{00000000-0005-0000-0000-00004A000000}"/>
    <cellStyle name="Accent2 3" xfId="85" xr:uid="{00000000-0005-0000-0000-00004B000000}"/>
    <cellStyle name="Accent3 2" xfId="164" xr:uid="{00000000-0005-0000-0000-00004C000000}"/>
    <cellStyle name="Accent3 3" xfId="89" xr:uid="{00000000-0005-0000-0000-00004D000000}"/>
    <cellStyle name="Accent4 2" xfId="165" xr:uid="{00000000-0005-0000-0000-00004E000000}"/>
    <cellStyle name="Accent4 3" xfId="93" xr:uid="{00000000-0005-0000-0000-00004F000000}"/>
    <cellStyle name="Accent5 2" xfId="166" xr:uid="{00000000-0005-0000-0000-000050000000}"/>
    <cellStyle name="Accent5 3" xfId="97" xr:uid="{00000000-0005-0000-0000-000051000000}"/>
    <cellStyle name="Accent6 2" xfId="167" xr:uid="{00000000-0005-0000-0000-000052000000}"/>
    <cellStyle name="Accent6 3" xfId="101" xr:uid="{00000000-0005-0000-0000-000053000000}"/>
    <cellStyle name="Bad 2" xfId="64" xr:uid="{00000000-0005-0000-0000-000054000000}"/>
    <cellStyle name="Bad 2 2" xfId="168" xr:uid="{00000000-0005-0000-0000-000055000000}"/>
    <cellStyle name="Bad 3" xfId="71" xr:uid="{00000000-0005-0000-0000-000056000000}"/>
    <cellStyle name="Calculation 2" xfId="169" xr:uid="{00000000-0005-0000-0000-000057000000}"/>
    <cellStyle name="Calculation 3" xfId="75" xr:uid="{00000000-0005-0000-0000-000058000000}"/>
    <cellStyle name="Check Cell 2" xfId="170" xr:uid="{00000000-0005-0000-0000-000059000000}"/>
    <cellStyle name="Check Cell 3" xfId="77" xr:uid="{00000000-0005-0000-0000-00005A000000}"/>
    <cellStyle name="Comma 2" xfId="138" xr:uid="{00000000-0005-0000-0000-00005B000000}"/>
    <cellStyle name="Comma 2 2" xfId="172" xr:uid="{00000000-0005-0000-0000-00005C000000}"/>
    <cellStyle name="Comma 3" xfId="171" xr:uid="{00000000-0005-0000-0000-00005D000000}"/>
    <cellStyle name="Comma 4" xfId="281" xr:uid="{00000000-0005-0000-0000-00005E000000}"/>
    <cellStyle name="Comma 5" xfId="136" xr:uid="{00000000-0005-0000-0000-00005F000000}"/>
    <cellStyle name="Currency 2" xfId="60" xr:uid="{00000000-0005-0000-0000-000060000000}"/>
    <cellStyle name="Date" xfId="5" xr:uid="{00000000-0005-0000-0000-000061000000}"/>
    <cellStyle name="Excel Built-in Normal" xfId="61" xr:uid="{00000000-0005-0000-0000-000062000000}"/>
    <cellStyle name="Excel Built-in Normal 2" xfId="174" xr:uid="{00000000-0005-0000-0000-000063000000}"/>
    <cellStyle name="Excel Built-in Normal 2 2" xfId="175" xr:uid="{00000000-0005-0000-0000-000064000000}"/>
    <cellStyle name="Excel Built-in Normal 2 3" xfId="176" xr:uid="{00000000-0005-0000-0000-000065000000}"/>
    <cellStyle name="Excel Built-in Normal 3" xfId="173" xr:uid="{00000000-0005-0000-0000-000066000000}"/>
    <cellStyle name="Explanatory Text 2" xfId="177" xr:uid="{00000000-0005-0000-0000-000067000000}"/>
    <cellStyle name="Explanatory Text 3" xfId="79" xr:uid="{00000000-0005-0000-0000-000068000000}"/>
    <cellStyle name="F2" xfId="6" xr:uid="{00000000-0005-0000-0000-000069000000}"/>
    <cellStyle name="F3" xfId="7" xr:uid="{00000000-0005-0000-0000-00006A000000}"/>
    <cellStyle name="F4" xfId="8" xr:uid="{00000000-0005-0000-0000-00006B000000}"/>
    <cellStyle name="F5" xfId="9" xr:uid="{00000000-0005-0000-0000-00006C000000}"/>
    <cellStyle name="F6" xfId="10" xr:uid="{00000000-0005-0000-0000-00006D000000}"/>
    <cellStyle name="F7" xfId="11" xr:uid="{00000000-0005-0000-0000-00006E000000}"/>
    <cellStyle name="F8" xfId="12" xr:uid="{00000000-0005-0000-0000-00006F000000}"/>
    <cellStyle name="Fixed" xfId="13" xr:uid="{00000000-0005-0000-0000-000070000000}"/>
    <cellStyle name="Good 2" xfId="178" xr:uid="{00000000-0005-0000-0000-000071000000}"/>
    <cellStyle name="Good 3" xfId="70" xr:uid="{00000000-0005-0000-0000-000072000000}"/>
    <cellStyle name="Heading 1 2" xfId="179" xr:uid="{00000000-0005-0000-0000-000073000000}"/>
    <cellStyle name="Heading 1 3" xfId="66" xr:uid="{00000000-0005-0000-0000-000074000000}"/>
    <cellStyle name="Heading 2 2" xfId="180" xr:uid="{00000000-0005-0000-0000-000075000000}"/>
    <cellStyle name="Heading 2 3" xfId="67" xr:uid="{00000000-0005-0000-0000-000076000000}"/>
    <cellStyle name="Heading 3 2" xfId="181" xr:uid="{00000000-0005-0000-0000-000077000000}"/>
    <cellStyle name="Heading 3 3" xfId="68" xr:uid="{00000000-0005-0000-0000-000078000000}"/>
    <cellStyle name="Heading 4 2" xfId="182" xr:uid="{00000000-0005-0000-0000-000079000000}"/>
    <cellStyle name="Heading 4 3" xfId="69" xr:uid="{00000000-0005-0000-0000-00007A000000}"/>
    <cellStyle name="HEADING1" xfId="14" xr:uid="{00000000-0005-0000-0000-00007B000000}"/>
    <cellStyle name="HEADING2" xfId="15" xr:uid="{00000000-0005-0000-0000-00007C000000}"/>
    <cellStyle name="imf-one decimal" xfId="16" xr:uid="{00000000-0005-0000-0000-00007D000000}"/>
    <cellStyle name="imf-one decimal 2" xfId="45" xr:uid="{00000000-0005-0000-0000-00007E000000}"/>
    <cellStyle name="imf-one decimal 3" xfId="183" xr:uid="{00000000-0005-0000-0000-00007F000000}"/>
    <cellStyle name="imf-zero decimal" xfId="17" xr:uid="{00000000-0005-0000-0000-000080000000}"/>
    <cellStyle name="imf-zero decimal 2" xfId="46" xr:uid="{00000000-0005-0000-0000-000081000000}"/>
    <cellStyle name="imf-zero decimal 3" xfId="184" xr:uid="{00000000-0005-0000-0000-000082000000}"/>
    <cellStyle name="Input 2" xfId="185" xr:uid="{00000000-0005-0000-0000-000083000000}"/>
    <cellStyle name="Input 3" xfId="73" xr:uid="{00000000-0005-0000-0000-000084000000}"/>
    <cellStyle name="Label" xfId="18" xr:uid="{00000000-0005-0000-0000-000085000000}"/>
    <cellStyle name="Linked Cell 2" xfId="186" xr:uid="{00000000-0005-0000-0000-000086000000}"/>
    <cellStyle name="Linked Cell 3" xfId="76" xr:uid="{00000000-0005-0000-0000-000087000000}"/>
    <cellStyle name="Neutral 2" xfId="187" xr:uid="{00000000-0005-0000-0000-000088000000}"/>
    <cellStyle name="Neutral 3" xfId="72" xr:uid="{00000000-0005-0000-0000-000089000000}"/>
    <cellStyle name="Normal" xfId="0" builtinId="0"/>
    <cellStyle name="Normal - Style1" xfId="19" xr:uid="{00000000-0005-0000-0000-00008B000000}"/>
    <cellStyle name="Normal - Style2" xfId="20" xr:uid="{00000000-0005-0000-0000-00008C000000}"/>
    <cellStyle name="Normal - Style3" xfId="21" xr:uid="{00000000-0005-0000-0000-00008D000000}"/>
    <cellStyle name="Normal 10" xfId="22" xr:uid="{00000000-0005-0000-0000-00008E000000}"/>
    <cellStyle name="Normal 10 2" xfId="54" xr:uid="{00000000-0005-0000-0000-00008F000000}"/>
    <cellStyle name="Normal 10 2 2" xfId="254" xr:uid="{00000000-0005-0000-0000-000090000000}"/>
    <cellStyle name="Normal 11" xfId="23" xr:uid="{00000000-0005-0000-0000-000091000000}"/>
    <cellStyle name="Normal 11 2" xfId="55" xr:uid="{00000000-0005-0000-0000-000092000000}"/>
    <cellStyle name="Normal 11 2 2" xfId="255" xr:uid="{00000000-0005-0000-0000-000093000000}"/>
    <cellStyle name="Normal 12" xfId="24" xr:uid="{00000000-0005-0000-0000-000094000000}"/>
    <cellStyle name="Normal 12 2" xfId="56" xr:uid="{00000000-0005-0000-0000-000095000000}"/>
    <cellStyle name="Normal 12 2 2" xfId="256" xr:uid="{00000000-0005-0000-0000-000096000000}"/>
    <cellStyle name="Normal 13" xfId="40" xr:uid="{00000000-0005-0000-0000-000097000000}"/>
    <cellStyle name="Normal 13 2" xfId="63" xr:uid="{00000000-0005-0000-0000-000098000000}"/>
    <cellStyle name="Normal 14" xfId="105" xr:uid="{00000000-0005-0000-0000-000099000000}"/>
    <cellStyle name="Normal 14 2" xfId="257" xr:uid="{00000000-0005-0000-0000-00009A000000}"/>
    <cellStyle name="Normal 15" xfId="25" xr:uid="{00000000-0005-0000-0000-00009B000000}"/>
    <cellStyle name="Normal 15 2" xfId="107" xr:uid="{00000000-0005-0000-0000-00009C000000}"/>
    <cellStyle name="Normal 16" xfId="26" xr:uid="{00000000-0005-0000-0000-00009D000000}"/>
    <cellStyle name="Normal 16 2" xfId="130" xr:uid="{00000000-0005-0000-0000-00009E000000}"/>
    <cellStyle name="Normal 16 2 2" xfId="189" xr:uid="{00000000-0005-0000-0000-00009F000000}"/>
    <cellStyle name="Normal 16 3" xfId="190" xr:uid="{00000000-0005-0000-0000-0000A0000000}"/>
    <cellStyle name="Normal 16 4" xfId="188" xr:uid="{00000000-0005-0000-0000-0000A1000000}"/>
    <cellStyle name="Normal 16 5" xfId="111" xr:uid="{00000000-0005-0000-0000-0000A2000000}"/>
    <cellStyle name="Normal 17" xfId="113" xr:uid="{00000000-0005-0000-0000-0000A3000000}"/>
    <cellStyle name="Normal 17 2" xfId="131" xr:uid="{00000000-0005-0000-0000-0000A4000000}"/>
    <cellStyle name="Normal 17 2 2" xfId="192" xr:uid="{00000000-0005-0000-0000-0000A5000000}"/>
    <cellStyle name="Normal 17 3" xfId="193" xr:uid="{00000000-0005-0000-0000-0000A6000000}"/>
    <cellStyle name="Normal 17 4" xfId="191" xr:uid="{00000000-0005-0000-0000-0000A7000000}"/>
    <cellStyle name="Normal 18" xfId="114" xr:uid="{00000000-0005-0000-0000-0000A8000000}"/>
    <cellStyle name="Normal 19" xfId="109" xr:uid="{00000000-0005-0000-0000-0000A9000000}"/>
    <cellStyle name="Normal 19 2" xfId="132" xr:uid="{00000000-0005-0000-0000-0000AA000000}"/>
    <cellStyle name="Normal 19 2 2" xfId="195" xr:uid="{00000000-0005-0000-0000-0000AB000000}"/>
    <cellStyle name="Normal 19 3" xfId="196" xr:uid="{00000000-0005-0000-0000-0000AC000000}"/>
    <cellStyle name="Normal 19 4" xfId="194" xr:uid="{00000000-0005-0000-0000-0000AD000000}"/>
    <cellStyle name="Normal 2" xfId="27" xr:uid="{00000000-0005-0000-0000-0000AE000000}"/>
    <cellStyle name="Normal 2 10" xfId="198" xr:uid="{00000000-0005-0000-0000-0000AF000000}"/>
    <cellStyle name="Normal 2 11" xfId="197" xr:uid="{00000000-0005-0000-0000-0000B0000000}"/>
    <cellStyle name="Normal 2 2" xfId="28" xr:uid="{00000000-0005-0000-0000-0000B1000000}"/>
    <cellStyle name="Normal 2 2 2" xfId="59" xr:uid="{00000000-0005-0000-0000-0000B2000000}"/>
    <cellStyle name="Normal 2 2 2 2" xfId="200" xr:uid="{00000000-0005-0000-0000-0000B3000000}"/>
    <cellStyle name="Normal 2 2 3" xfId="201" xr:uid="{00000000-0005-0000-0000-0000B4000000}"/>
    <cellStyle name="Normal 2 2 4" xfId="199" xr:uid="{00000000-0005-0000-0000-0000B5000000}"/>
    <cellStyle name="Normal 2 3" xfId="202" xr:uid="{00000000-0005-0000-0000-0000B6000000}"/>
    <cellStyle name="Normal 2 3 2" xfId="203" xr:uid="{00000000-0005-0000-0000-0000B7000000}"/>
    <cellStyle name="Normal 2 3 3" xfId="204" xr:uid="{00000000-0005-0000-0000-0000B8000000}"/>
    <cellStyle name="Normal 2 4" xfId="205" xr:uid="{00000000-0005-0000-0000-0000B9000000}"/>
    <cellStyle name="Normal 2 4 2" xfId="206" xr:uid="{00000000-0005-0000-0000-0000BA000000}"/>
    <cellStyle name="Normal 2 4 3" xfId="207" xr:uid="{00000000-0005-0000-0000-0000BB000000}"/>
    <cellStyle name="Normal 2 5" xfId="208" xr:uid="{00000000-0005-0000-0000-0000BC000000}"/>
    <cellStyle name="Normal 2 5 2" xfId="209" xr:uid="{00000000-0005-0000-0000-0000BD000000}"/>
    <cellStyle name="Normal 2 5 3" xfId="210" xr:uid="{00000000-0005-0000-0000-0000BE000000}"/>
    <cellStyle name="Normal 2 6" xfId="211" xr:uid="{00000000-0005-0000-0000-0000BF000000}"/>
    <cellStyle name="Normal 2 6 2" xfId="212" xr:uid="{00000000-0005-0000-0000-0000C0000000}"/>
    <cellStyle name="Normal 2 6 3" xfId="213" xr:uid="{00000000-0005-0000-0000-0000C1000000}"/>
    <cellStyle name="Normal 2 7" xfId="214" xr:uid="{00000000-0005-0000-0000-0000C2000000}"/>
    <cellStyle name="Normal 2 7 2" xfId="215" xr:uid="{00000000-0005-0000-0000-0000C3000000}"/>
    <cellStyle name="Normal 2 7 3" xfId="216" xr:uid="{00000000-0005-0000-0000-0000C4000000}"/>
    <cellStyle name="Normal 2 8" xfId="217" xr:uid="{00000000-0005-0000-0000-0000C5000000}"/>
    <cellStyle name="Normal 2 8 2" xfId="218" xr:uid="{00000000-0005-0000-0000-0000C6000000}"/>
    <cellStyle name="Normal 2 8 3" xfId="219" xr:uid="{00000000-0005-0000-0000-0000C7000000}"/>
    <cellStyle name="Normal 2 9" xfId="220" xr:uid="{00000000-0005-0000-0000-0000C8000000}"/>
    <cellStyle name="Normal 20" xfId="108" xr:uid="{00000000-0005-0000-0000-0000C9000000}"/>
    <cellStyle name="Normal 21" xfId="110" xr:uid="{00000000-0005-0000-0000-0000CA000000}"/>
    <cellStyle name="Normal 22" xfId="112" xr:uid="{00000000-0005-0000-0000-0000CB000000}"/>
    <cellStyle name="Normal 23" xfId="115" xr:uid="{00000000-0005-0000-0000-0000CC000000}"/>
    <cellStyle name="Normal 24" xfId="116" xr:uid="{00000000-0005-0000-0000-0000CD000000}"/>
    <cellStyle name="Normal 25" xfId="137" xr:uid="{00000000-0005-0000-0000-0000CE000000}"/>
    <cellStyle name="Normal 26" xfId="139" xr:uid="{00000000-0005-0000-0000-0000CF000000}"/>
    <cellStyle name="Normal 27" xfId="258" xr:uid="{00000000-0005-0000-0000-0000D0000000}"/>
    <cellStyle name="Normal 28" xfId="262" xr:uid="{00000000-0005-0000-0000-0000D1000000}"/>
    <cellStyle name="Normal 29" xfId="274" xr:uid="{00000000-0005-0000-0000-0000D2000000}"/>
    <cellStyle name="Normal 3" xfId="29" xr:uid="{00000000-0005-0000-0000-0000D3000000}"/>
    <cellStyle name="Normal 3 2" xfId="221" xr:uid="{00000000-0005-0000-0000-0000D4000000}"/>
    <cellStyle name="Normal 3 2 2" xfId="222" xr:uid="{00000000-0005-0000-0000-0000D5000000}"/>
    <cellStyle name="Normal 3 2 3" xfId="223" xr:uid="{00000000-0005-0000-0000-0000D6000000}"/>
    <cellStyle name="Normal 3 3" xfId="224" xr:uid="{00000000-0005-0000-0000-0000D7000000}"/>
    <cellStyle name="Normal 3 3 2" xfId="225" xr:uid="{00000000-0005-0000-0000-0000D8000000}"/>
    <cellStyle name="Normal 3 3 3" xfId="226" xr:uid="{00000000-0005-0000-0000-0000D9000000}"/>
    <cellStyle name="Normal 3 4" xfId="227" xr:uid="{00000000-0005-0000-0000-0000DA000000}"/>
    <cellStyle name="Normal 3 4 2" xfId="228" xr:uid="{00000000-0005-0000-0000-0000DB000000}"/>
    <cellStyle name="Normal 3 4 3" xfId="229" xr:uid="{00000000-0005-0000-0000-0000DC000000}"/>
    <cellStyle name="Normal 3 5" xfId="230" xr:uid="{00000000-0005-0000-0000-0000DD000000}"/>
    <cellStyle name="Normal 3 5 2" xfId="231" xr:uid="{00000000-0005-0000-0000-0000DE000000}"/>
    <cellStyle name="Normal 3 5 3" xfId="232" xr:uid="{00000000-0005-0000-0000-0000DF000000}"/>
    <cellStyle name="Normal 3 6" xfId="233" xr:uid="{00000000-0005-0000-0000-0000E0000000}"/>
    <cellStyle name="Normal 3 6 2" xfId="234" xr:uid="{00000000-0005-0000-0000-0000E1000000}"/>
    <cellStyle name="Normal 3 6 3" xfId="235" xr:uid="{00000000-0005-0000-0000-0000E2000000}"/>
    <cellStyle name="Normal 3 7" xfId="236" xr:uid="{00000000-0005-0000-0000-0000E3000000}"/>
    <cellStyle name="Normal 3 7 2" xfId="237" xr:uid="{00000000-0005-0000-0000-0000E4000000}"/>
    <cellStyle name="Normal 3 7 3" xfId="238" xr:uid="{00000000-0005-0000-0000-0000E5000000}"/>
    <cellStyle name="Normal 3 8" xfId="239" xr:uid="{00000000-0005-0000-0000-0000E6000000}"/>
    <cellStyle name="Normal 3 8 2" xfId="240" xr:uid="{00000000-0005-0000-0000-0000E7000000}"/>
    <cellStyle name="Normal 3 8 3" xfId="241" xr:uid="{00000000-0005-0000-0000-0000E8000000}"/>
    <cellStyle name="Normal 30" xfId="271" xr:uid="{00000000-0005-0000-0000-0000E9000000}"/>
    <cellStyle name="Normal 31" xfId="260" xr:uid="{00000000-0005-0000-0000-0000EA000000}"/>
    <cellStyle name="Normal 32" xfId="261" xr:uid="{00000000-0005-0000-0000-0000EB000000}"/>
    <cellStyle name="Normal 33" xfId="279" xr:uid="{00000000-0005-0000-0000-0000EC000000}"/>
    <cellStyle name="Normal 34" xfId="285" xr:uid="{00000000-0005-0000-0000-0000ED000000}"/>
    <cellStyle name="Normal 35" xfId="283" xr:uid="{00000000-0005-0000-0000-0000EE000000}"/>
    <cellStyle name="Normal 36" xfId="284" xr:uid="{00000000-0005-0000-0000-0000EF000000}"/>
    <cellStyle name="Normal 37" xfId="282" xr:uid="{00000000-0005-0000-0000-0000F0000000}"/>
    <cellStyle name="Normal 38" xfId="62" xr:uid="{00000000-0005-0000-0000-0000F1000000}"/>
    <cellStyle name="Normal 4" xfId="30" xr:uid="{00000000-0005-0000-0000-0000F2000000}"/>
    <cellStyle name="Normal 4 2" xfId="57" xr:uid="{00000000-0005-0000-0000-0000F3000000}"/>
    <cellStyle name="Normal 4 2 2" xfId="243" xr:uid="{00000000-0005-0000-0000-0000F4000000}"/>
    <cellStyle name="Normal 4 2 3" xfId="133" xr:uid="{00000000-0005-0000-0000-0000F5000000}"/>
    <cellStyle name="Normal 4 3" xfId="48" xr:uid="{00000000-0005-0000-0000-0000F6000000}"/>
    <cellStyle name="Normal 4 3 2" xfId="244" xr:uid="{00000000-0005-0000-0000-0000F7000000}"/>
    <cellStyle name="Normal 4 4" xfId="242" xr:uid="{00000000-0005-0000-0000-0000F8000000}"/>
    <cellStyle name="Normal 4 5" xfId="259" xr:uid="{00000000-0005-0000-0000-0000F9000000}"/>
    <cellStyle name="Normal 48" xfId="31" xr:uid="{00000000-0005-0000-0000-0000FA000000}"/>
    <cellStyle name="Normal 5" xfId="32" xr:uid="{00000000-0005-0000-0000-0000FB000000}"/>
    <cellStyle name="Normal 5 2" xfId="49" xr:uid="{00000000-0005-0000-0000-0000FC000000}"/>
    <cellStyle name="Normal 5 2 2" xfId="135" xr:uid="{00000000-0005-0000-0000-0000FD000000}"/>
    <cellStyle name="Normal 5 3" xfId="245" xr:uid="{00000000-0005-0000-0000-0000FE000000}"/>
    <cellStyle name="Normal 5 4" xfId="280" xr:uid="{00000000-0005-0000-0000-0000FF000000}"/>
    <cellStyle name="Normal 6" xfId="33" xr:uid="{00000000-0005-0000-0000-000000010000}"/>
    <cellStyle name="Normal 6 2" xfId="50" xr:uid="{00000000-0005-0000-0000-000001010000}"/>
    <cellStyle name="Normal 7" xfId="34" xr:uid="{00000000-0005-0000-0000-000002010000}"/>
    <cellStyle name="Normal 7 2" xfId="51" xr:uid="{00000000-0005-0000-0000-000003010000}"/>
    <cellStyle name="Normal 7 2 2" xfId="252" xr:uid="{00000000-0005-0000-0000-000004010000}"/>
    <cellStyle name="Normal 7 3" xfId="277" xr:uid="{00000000-0005-0000-0000-000005010000}"/>
    <cellStyle name="Normal 8" xfId="35" xr:uid="{00000000-0005-0000-0000-000006010000}"/>
    <cellStyle name="Normal 8 2" xfId="52" xr:uid="{00000000-0005-0000-0000-000007010000}"/>
    <cellStyle name="Normal 9" xfId="36" xr:uid="{00000000-0005-0000-0000-000008010000}"/>
    <cellStyle name="Normal 9 2" xfId="53" xr:uid="{00000000-0005-0000-0000-000009010000}"/>
    <cellStyle name="Normal 9 2 2" xfId="253" xr:uid="{00000000-0005-0000-0000-00000A010000}"/>
    <cellStyle name="Note 2" xfId="106" xr:uid="{00000000-0005-0000-0000-00000B010000}"/>
    <cellStyle name="Note 2 2" xfId="246" xr:uid="{00000000-0005-0000-0000-00000C010000}"/>
    <cellStyle name="Note 2 3" xfId="278" xr:uid="{00000000-0005-0000-0000-00000D010000}"/>
    <cellStyle name="Note 3" xfId="117" xr:uid="{00000000-0005-0000-0000-00000E010000}"/>
    <cellStyle name="Obično_KnjigaZIKS i Min pomorstva i saobracaja" xfId="37" xr:uid="{00000000-0005-0000-0000-00000F010000}"/>
    <cellStyle name="Output 2" xfId="247" xr:uid="{00000000-0005-0000-0000-000010010000}"/>
    <cellStyle name="Output 3" xfId="74" xr:uid="{00000000-0005-0000-0000-000011010000}"/>
    <cellStyle name="Percent 2" xfId="58" xr:uid="{00000000-0005-0000-0000-000012010000}"/>
    <cellStyle name="percentage difference" xfId="38" xr:uid="{00000000-0005-0000-0000-000013010000}"/>
    <cellStyle name="percentage difference 2" xfId="47" xr:uid="{00000000-0005-0000-0000-000014010000}"/>
    <cellStyle name="percentage difference 3" xfId="248" xr:uid="{00000000-0005-0000-0000-000015010000}"/>
    <cellStyle name="Publication" xfId="39" xr:uid="{00000000-0005-0000-0000-000016010000}"/>
    <cellStyle name="Standard_Tabellenteil in EURO" xfId="134" xr:uid="{00000000-0005-0000-0000-000017010000}"/>
    <cellStyle name="Title 2" xfId="249" xr:uid="{00000000-0005-0000-0000-000018010000}"/>
    <cellStyle name="Title 3" xfId="65" xr:uid="{00000000-0005-0000-0000-000019010000}"/>
    <cellStyle name="Total 2" xfId="250" xr:uid="{00000000-0005-0000-0000-00001A010000}"/>
    <cellStyle name="Total 3" xfId="80" xr:uid="{00000000-0005-0000-0000-00001B010000}"/>
    <cellStyle name="Warning Text 2" xfId="251" xr:uid="{00000000-0005-0000-0000-00001C010000}"/>
    <cellStyle name="Warning Text 3" xfId="78" xr:uid="{00000000-0005-0000-0000-00001D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endParaRPr lang="sr-Latn-R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Plan prihoda</a:t>
          </a:r>
          <a:r>
            <a:rPr lang="sr-Latn-CS" sz="1100" b="0" i="0" u="none" strike="noStrike" baseline="0">
              <a:solidFill>
                <a:schemeClr val="dk1"/>
              </a:solidFill>
              <a:effectLst/>
              <a:latin typeface="+mn-lt"/>
              <a:ea typeface="+mn-ea"/>
              <a:cs typeface="+mn-cs"/>
            </a:rPr>
            <a:t> i rashoda pripremljen je u skladu sa Zakonom o budžetu za 202</a:t>
          </a:r>
          <a:r>
            <a:rPr lang="sr-Latn-ME" sz="1100" b="0" i="0" u="none" strike="noStrike" baseline="0">
              <a:solidFill>
                <a:schemeClr val="dk1"/>
              </a:solidFill>
              <a:effectLst/>
              <a:latin typeface="+mn-lt"/>
              <a:ea typeface="+mn-ea"/>
              <a:cs typeface="+mn-cs"/>
            </a:rPr>
            <a:t>5</a:t>
          </a:r>
          <a:r>
            <a:rPr lang="sr-Latn-CS" sz="1100" b="0" i="0" u="none" strike="noStrike" baseline="0">
              <a:solidFill>
                <a:schemeClr val="dk1"/>
              </a:solidFill>
              <a:effectLst/>
              <a:latin typeface="+mn-lt"/>
              <a:ea typeface="+mn-ea"/>
              <a:cs typeface="+mn-cs"/>
            </a:rPr>
            <a:t>. godinu.</a:t>
          </a: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the </a:t>
          </a:r>
          <a:r>
            <a:rPr lang="sr-Latn-ME" sz="1100" b="0" i="0" baseline="0">
              <a:solidFill>
                <a:schemeClr val="dk1"/>
              </a:solidFill>
              <a:effectLst/>
              <a:latin typeface="+mn-lt"/>
              <a:ea typeface="+mn-ea"/>
              <a:cs typeface="+mn-cs"/>
            </a:rPr>
            <a:t>Budget Law for 2025.</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42"/>
  <sheetViews>
    <sheetView tabSelected="1" zoomScaleNormal="100" workbookViewId="0">
      <selection activeCell="A3" sqref="A3"/>
    </sheetView>
  </sheetViews>
  <sheetFormatPr defaultRowHeight="12.75"/>
  <cols>
    <col min="4" max="4" width="25.28515625" customWidth="1"/>
    <col min="7" max="7" width="24.28515625" customWidth="1"/>
    <col min="10" max="10" width="26.42578125" customWidth="1"/>
  </cols>
  <sheetData>
    <row r="2" spans="2:11">
      <c r="D2" s="67" t="s">
        <v>165</v>
      </c>
    </row>
    <row r="3" spans="2:11">
      <c r="D3" s="67" t="s">
        <v>177</v>
      </c>
    </row>
    <row r="4" spans="2:11">
      <c r="D4" s="67" t="s">
        <v>166</v>
      </c>
    </row>
    <row r="5" spans="2:11" ht="13.5" thickBot="1"/>
    <row r="6" spans="2:11">
      <c r="B6" s="45"/>
      <c r="C6" s="46"/>
      <c r="D6" s="46"/>
      <c r="E6" s="46"/>
      <c r="F6" s="46"/>
      <c r="G6" s="46"/>
      <c r="H6" s="46"/>
      <c r="I6" s="46"/>
      <c r="J6" s="46"/>
      <c r="K6" s="47"/>
    </row>
    <row r="7" spans="2:11">
      <c r="B7" s="48"/>
      <c r="C7" s="111" t="s">
        <v>159</v>
      </c>
      <c r="D7" s="111"/>
      <c r="E7" s="49"/>
      <c r="F7" s="111" t="s">
        <v>160</v>
      </c>
      <c r="G7" s="111"/>
      <c r="H7" s="49"/>
      <c r="I7" s="111" t="s">
        <v>161</v>
      </c>
      <c r="J7" s="111"/>
      <c r="K7" s="50"/>
    </row>
    <row r="8" spans="2:11">
      <c r="B8" s="48"/>
      <c r="C8" s="51"/>
      <c r="D8" s="49"/>
      <c r="E8" s="49"/>
      <c r="F8" s="49"/>
      <c r="G8" s="49"/>
      <c r="H8" s="49"/>
      <c r="I8" s="49"/>
      <c r="J8" s="49"/>
      <c r="K8" s="50"/>
    </row>
    <row r="9" spans="2:11" ht="15">
      <c r="B9" s="48"/>
      <c r="C9" s="52" t="s">
        <v>162</v>
      </c>
      <c r="D9" s="53"/>
      <c r="E9" s="53"/>
      <c r="F9" s="52" t="str">
        <f>+C9</f>
        <v>Prihodi/Revenues</v>
      </c>
      <c r="G9" s="54"/>
      <c r="H9" s="55"/>
      <c r="I9" s="52" t="str">
        <f>+F9</f>
        <v>Prihodi/Revenues</v>
      </c>
      <c r="J9" s="54"/>
      <c r="K9" s="50"/>
    </row>
    <row r="10" spans="2:11">
      <c r="B10" s="48"/>
      <c r="C10" s="56">
        <f>+'Centralna država-ek klas'!C6</f>
        <v>1322827504.8899999</v>
      </c>
      <c r="D10" s="57">
        <f>+'Centralna država-ek klas'!D6</f>
        <v>16.705531412388709</v>
      </c>
      <c r="E10" s="49"/>
      <c r="F10" s="58">
        <f>+'Lokalna država-ek klas '!C6</f>
        <v>194955495.88690898</v>
      </c>
      <c r="G10" s="57">
        <f>+'Lokalna država-ek klas '!D6</f>
        <v>2.4620255842256613</v>
      </c>
      <c r="H10" s="55"/>
      <c r="I10" s="58">
        <f>+'Opšta država-ek klas'!C6</f>
        <v>1517783000.7769086</v>
      </c>
      <c r="J10" s="57">
        <f>+'Opšta država-ek klas'!D6</f>
        <v>19.167556996614366</v>
      </c>
      <c r="K10" s="50"/>
    </row>
    <row r="11" spans="2:11">
      <c r="B11" s="48"/>
      <c r="C11" s="59" t="s">
        <v>157</v>
      </c>
      <c r="D11" s="59" t="s">
        <v>158</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163</v>
      </c>
      <c r="D13" s="55"/>
      <c r="E13" s="49"/>
      <c r="F13" s="52" t="str">
        <f>+C13</f>
        <v>Rashodi/Expenditures</v>
      </c>
      <c r="G13" s="54"/>
      <c r="H13" s="55"/>
      <c r="I13" s="52" t="str">
        <f>+F13</f>
        <v>Rashodi/Expenditures</v>
      </c>
      <c r="J13" s="54"/>
      <c r="K13" s="50"/>
    </row>
    <row r="14" spans="2:11">
      <c r="B14" s="48"/>
      <c r="C14" s="56">
        <f>+'Centralna država-ek klas'!C39</f>
        <v>1429966043.6700003</v>
      </c>
      <c r="D14" s="57">
        <f>+'Centralna država-ek klas'!D39</f>
        <v>18.058546993369962</v>
      </c>
      <c r="E14" s="49"/>
      <c r="F14" s="58">
        <f>+'Lokalna država-ek klas '!C37</f>
        <v>197454678.51000002</v>
      </c>
      <c r="G14" s="57">
        <f>+'Lokalna država-ek klas '!D37</f>
        <v>2.493586897897329</v>
      </c>
      <c r="H14" s="55"/>
      <c r="I14" s="58">
        <f>+'Opšta država-ek klas'!C27</f>
        <v>1627420722.1800001</v>
      </c>
      <c r="J14" s="57">
        <f>+'Opšta država-ek klas'!D27</f>
        <v>20.552133891267285</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164</v>
      </c>
      <c r="D17" s="49"/>
      <c r="E17" s="49"/>
      <c r="F17" s="52" t="str">
        <f>+C17</f>
        <v>Budžetski bilans/ Budget balance</v>
      </c>
      <c r="G17" s="54"/>
      <c r="H17" s="55"/>
      <c r="I17" s="52" t="str">
        <f>+F17</f>
        <v>Budžetski bilans/ Budget balance</v>
      </c>
      <c r="J17" s="54"/>
      <c r="K17" s="50"/>
    </row>
    <row r="18" spans="2:11">
      <c r="B18" s="48"/>
      <c r="C18" s="56">
        <f>+'Centralna država-ek klas'!C62</f>
        <v>-107138538.78000045</v>
      </c>
      <c r="D18" s="57">
        <f>+'Centralna država-ek klas'!D62</f>
        <v>-1.3530155809812521</v>
      </c>
      <c r="E18" s="49"/>
      <c r="F18" s="58">
        <f>+'Lokalna država-ek klas '!C55</f>
        <v>-2499182.623091042</v>
      </c>
      <c r="G18" s="57">
        <f>+'Lokalna država-ek klas '!D55</f>
        <v>-3.1561313671668145E-2</v>
      </c>
      <c r="H18" s="55"/>
      <c r="I18" s="58">
        <f>+'Opšta država-ek klas'!C45</f>
        <v>-109637721.40309143</v>
      </c>
      <c r="J18" s="57">
        <f>+'Opšta država-ek klas'!D45</f>
        <v>-1.3845768946529196</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23" spans="2:11">
      <c r="D23" s="88"/>
    </row>
    <row r="24" spans="2:11">
      <c r="D24" s="88"/>
    </row>
    <row r="25" spans="2:11">
      <c r="D25" s="88"/>
    </row>
    <row r="41" spans="19:19" ht="15">
      <c r="S41" s="68"/>
    </row>
    <row r="42" spans="19:19" ht="15">
      <c r="S42" s="68"/>
    </row>
  </sheetData>
  <sheetProtection algorithmName="SHA-512" hashValue="HzDE8eTJex0vdWpMTDAgNpyiRKJ4/Uh9XEdCb0AfnrUTFNTCw1lKbDfTgmAvuAXvIuakGJ+zne5DkhNbV8fzxQ==" saltValue="rWdA84pIpJNlFw4OqXJn9w=="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A82"/>
  <sheetViews>
    <sheetView zoomScale="90" zoomScaleNormal="90" zoomScaleSheetLayoutView="90" workbookViewId="0">
      <pane ySplit="5" topLeftCell="A6" activePane="bottomLeft" state="frozen"/>
      <selection activeCell="G14" sqref="G14"/>
      <selection pane="bottomLeft" activeCell="B1" sqref="B1"/>
    </sheetView>
  </sheetViews>
  <sheetFormatPr defaultColWidth="9.140625" defaultRowHeight="13.5"/>
  <cols>
    <col min="1" max="1" width="13.28515625" style="4" customWidth="1"/>
    <col min="2" max="2" width="65.7109375" style="4" bestFit="1" customWidth="1"/>
    <col min="3" max="3" width="12.28515625" style="6" customWidth="1"/>
    <col min="4" max="4" width="9.7109375" style="4" customWidth="1"/>
    <col min="5" max="5" width="10.5703125" style="6" customWidth="1"/>
    <col min="6" max="6" width="10.140625" style="7" customWidth="1"/>
    <col min="7" max="7" width="11.140625" style="6" customWidth="1"/>
    <col min="8" max="8" width="11.5703125" style="96" customWidth="1"/>
    <col min="9" max="9" width="11.140625" style="6" customWidth="1"/>
    <col min="10" max="10" width="10.28515625" style="7" customWidth="1"/>
    <col min="11" max="11" width="10.7109375" style="6" customWidth="1"/>
    <col min="12" max="12" width="12" style="96" customWidth="1"/>
    <col min="13" max="13" width="59.5703125" style="4" bestFit="1" customWidth="1"/>
    <col min="14" max="14" width="9.140625" style="1"/>
    <col min="15" max="16" width="13.85546875" style="1" bestFit="1" customWidth="1"/>
    <col min="17" max="16384" width="9.140625" style="1"/>
  </cols>
  <sheetData>
    <row r="1" spans="1:13" ht="18.75" customHeight="1" thickBot="1">
      <c r="B1" s="5"/>
      <c r="M1" s="5"/>
    </row>
    <row r="2" spans="1:13" ht="15.75" customHeight="1" thickBot="1">
      <c r="A2" s="8" t="s">
        <v>57</v>
      </c>
      <c r="B2" s="8"/>
      <c r="C2" s="112">
        <v>7918500000</v>
      </c>
      <c r="D2" s="113"/>
      <c r="E2" s="112">
        <v>7918500000</v>
      </c>
      <c r="F2" s="113"/>
      <c r="G2" s="9"/>
      <c r="H2" s="9"/>
      <c r="I2" s="112">
        <v>7459213000</v>
      </c>
      <c r="J2" s="113"/>
      <c r="K2" s="9"/>
      <c r="L2" s="9"/>
      <c r="M2" s="8" t="s">
        <v>77</v>
      </c>
    </row>
    <row r="3" spans="1:13" ht="15" customHeight="1" thickBot="1">
      <c r="A3" s="8"/>
      <c r="B3" s="8"/>
      <c r="C3" s="11"/>
      <c r="D3" s="8"/>
      <c r="E3" s="11"/>
      <c r="F3" s="10"/>
      <c r="G3" s="11"/>
      <c r="H3" s="97"/>
      <c r="I3" s="11"/>
      <c r="J3" s="10"/>
      <c r="K3" s="11"/>
      <c r="L3" s="97"/>
      <c r="M3" s="8"/>
    </row>
    <row r="4" spans="1:13" ht="15" customHeight="1">
      <c r="A4" s="118" t="s">
        <v>69</v>
      </c>
      <c r="B4" s="116" t="s">
        <v>70</v>
      </c>
      <c r="C4" s="122" t="s">
        <v>187</v>
      </c>
      <c r="D4" s="123"/>
      <c r="E4" s="124" t="s">
        <v>188</v>
      </c>
      <c r="F4" s="125"/>
      <c r="G4" s="120" t="s">
        <v>167</v>
      </c>
      <c r="H4" s="121"/>
      <c r="I4" s="120" t="s">
        <v>189</v>
      </c>
      <c r="J4" s="121"/>
      <c r="K4" s="120" t="s">
        <v>167</v>
      </c>
      <c r="L4" s="121"/>
      <c r="M4" s="114" t="s">
        <v>147</v>
      </c>
    </row>
    <row r="5" spans="1:13" ht="27" customHeight="1">
      <c r="A5" s="119"/>
      <c r="B5" s="117"/>
      <c r="C5" s="12" t="s">
        <v>60</v>
      </c>
      <c r="D5" s="13" t="s">
        <v>55</v>
      </c>
      <c r="E5" s="12" t="s">
        <v>60</v>
      </c>
      <c r="F5" s="13" t="s">
        <v>55</v>
      </c>
      <c r="G5" s="12" t="s">
        <v>63</v>
      </c>
      <c r="H5" s="98" t="s">
        <v>61</v>
      </c>
      <c r="I5" s="12" t="s">
        <v>60</v>
      </c>
      <c r="J5" s="14" t="s">
        <v>55</v>
      </c>
      <c r="K5" s="12" t="s">
        <v>60</v>
      </c>
      <c r="L5" s="100" t="s">
        <v>61</v>
      </c>
      <c r="M5" s="115"/>
    </row>
    <row r="6" spans="1:13" ht="15" customHeight="1">
      <c r="A6" s="15"/>
      <c r="B6" s="16" t="s">
        <v>50</v>
      </c>
      <c r="C6" s="17">
        <f>+C7+C15+C20+C25+C32+C37+C38</f>
        <v>1322827504.8899999</v>
      </c>
      <c r="D6" s="39">
        <f>+C6/$C$2*100</f>
        <v>16.705531412388709</v>
      </c>
      <c r="E6" s="17">
        <f>+E7+E15+E20+E25+E32+E37+E38</f>
        <v>1359561883.3961887</v>
      </c>
      <c r="F6" s="39">
        <f>+E6/$E$2*100</f>
        <v>17.169437183761936</v>
      </c>
      <c r="G6" s="17">
        <f>+C6-E6</f>
        <v>-36734378.506188869</v>
      </c>
      <c r="H6" s="93">
        <f>+C6/E6*100-100</f>
        <v>-2.7019276544018851</v>
      </c>
      <c r="I6" s="17">
        <f>+I7+I15+I20+I25+I32+I37+I38</f>
        <v>1309730668.7900002</v>
      </c>
      <c r="J6" s="39">
        <f>+I6/$I$2*100</f>
        <v>17.558563735745313</v>
      </c>
      <c r="K6" s="17">
        <f>+C6-I6</f>
        <v>13096836.099999666</v>
      </c>
      <c r="L6" s="93">
        <f>+C6/I6*100-100</f>
        <v>0.99996406987241926</v>
      </c>
      <c r="M6" s="80" t="s">
        <v>148</v>
      </c>
    </row>
    <row r="7" spans="1:13" ht="15" customHeight="1">
      <c r="A7" s="18">
        <v>711</v>
      </c>
      <c r="B7" s="19" t="s">
        <v>1</v>
      </c>
      <c r="C7" s="20">
        <f>+SUM(C8:C14)</f>
        <v>1071434911.4399999</v>
      </c>
      <c r="D7" s="40">
        <f t="shared" ref="D7:D72" si="0">+C7/$C$2*100</f>
        <v>13.530781226747489</v>
      </c>
      <c r="E7" s="20">
        <f>+SUM(E8:E14)</f>
        <v>1064921577.54557</v>
      </c>
      <c r="F7" s="40">
        <f t="shared" ref="F7:F38" si="1">+E7/$E$2*100</f>
        <v>13.448526583893036</v>
      </c>
      <c r="G7" s="20">
        <f t="shared" ref="G7:G62" si="2">+C7-E7</f>
        <v>6513333.8944299221</v>
      </c>
      <c r="H7" s="89">
        <f t="shared" ref="H7:H62" si="3">+C7/E7*100-100</f>
        <v>0.61162568509898563</v>
      </c>
      <c r="I7" s="20">
        <f>+SUM(I8:I14)</f>
        <v>959313974.54999995</v>
      </c>
      <c r="J7" s="40">
        <f t="shared" ref="J7:J72" si="4">+I7/$I$2*100</f>
        <v>12.860793418152827</v>
      </c>
      <c r="K7" s="20">
        <f t="shared" ref="K7:K38" si="5">+C7-I7</f>
        <v>112120936.88999999</v>
      </c>
      <c r="L7" s="89">
        <f t="shared" ref="L7:L38" si="6">+C7/I7*100-100</f>
        <v>11.687616345065166</v>
      </c>
      <c r="M7" s="71" t="s">
        <v>78</v>
      </c>
    </row>
    <row r="8" spans="1:13" ht="15" customHeight="1">
      <c r="A8" s="21">
        <v>7111</v>
      </c>
      <c r="B8" s="22" t="s">
        <v>2</v>
      </c>
      <c r="C8" s="23">
        <v>46585289.640000001</v>
      </c>
      <c r="D8" s="41">
        <f t="shared" si="0"/>
        <v>0.58830952377344192</v>
      </c>
      <c r="E8" s="23">
        <v>47454013.386564322</v>
      </c>
      <c r="F8" s="41">
        <f t="shared" si="1"/>
        <v>0.59928033575253292</v>
      </c>
      <c r="G8" s="23">
        <f t="shared" si="2"/>
        <v>-868723.74656432122</v>
      </c>
      <c r="H8" s="94">
        <f t="shared" si="3"/>
        <v>-1.8306644360880995</v>
      </c>
      <c r="I8" s="23">
        <v>37769481.850000001</v>
      </c>
      <c r="J8" s="41">
        <f t="shared" si="4"/>
        <v>0.50634673993087476</v>
      </c>
      <c r="K8" s="23">
        <f t="shared" si="5"/>
        <v>8815807.7899999991</v>
      </c>
      <c r="L8" s="94">
        <f t="shared" si="6"/>
        <v>23.341087455241322</v>
      </c>
      <c r="M8" s="72" t="s">
        <v>79</v>
      </c>
    </row>
    <row r="9" spans="1:13" ht="15" customHeight="1">
      <c r="A9" s="21">
        <v>7112</v>
      </c>
      <c r="B9" s="22" t="s">
        <v>3</v>
      </c>
      <c r="C9" s="23">
        <v>210114445.28999999</v>
      </c>
      <c r="D9" s="41">
        <f t="shared" si="0"/>
        <v>2.653462717560144</v>
      </c>
      <c r="E9" s="23">
        <v>198385149.93708393</v>
      </c>
      <c r="F9" s="41">
        <f t="shared" si="1"/>
        <v>2.5053374999947455</v>
      </c>
      <c r="G9" s="23">
        <f t="shared" si="2"/>
        <v>11729295.352916062</v>
      </c>
      <c r="H9" s="94">
        <f t="shared" si="3"/>
        <v>5.9123857590328157</v>
      </c>
      <c r="I9" s="23">
        <v>191189769.47999999</v>
      </c>
      <c r="J9" s="41">
        <f t="shared" si="4"/>
        <v>2.5631359431618321</v>
      </c>
      <c r="K9" s="23">
        <f t="shared" si="5"/>
        <v>18924675.810000002</v>
      </c>
      <c r="L9" s="94">
        <f t="shared" si="6"/>
        <v>9.898372628133572</v>
      </c>
      <c r="M9" s="72" t="s">
        <v>80</v>
      </c>
    </row>
    <row r="10" spans="1:13" ht="15" customHeight="1">
      <c r="A10" s="21">
        <v>7113</v>
      </c>
      <c r="B10" s="22" t="s">
        <v>4</v>
      </c>
      <c r="C10" s="23">
        <v>0</v>
      </c>
      <c r="D10" s="41">
        <f t="shared" si="0"/>
        <v>0</v>
      </c>
      <c r="E10" s="23">
        <v>0</v>
      </c>
      <c r="F10" s="41">
        <f t="shared" si="1"/>
        <v>0</v>
      </c>
      <c r="G10" s="23">
        <f t="shared" si="2"/>
        <v>0</v>
      </c>
      <c r="H10" s="94">
        <f>+IFERROR(C10/E10*100-100,0)</f>
        <v>0</v>
      </c>
      <c r="I10" s="23">
        <v>0</v>
      </c>
      <c r="J10" s="41">
        <f t="shared" si="4"/>
        <v>0</v>
      </c>
      <c r="K10" s="23">
        <f t="shared" si="5"/>
        <v>0</v>
      </c>
      <c r="L10" s="94">
        <f>+IFERROR(C10/I10*100-100,0)</f>
        <v>0</v>
      </c>
      <c r="M10" s="72" t="s">
        <v>81</v>
      </c>
    </row>
    <row r="11" spans="1:13" ht="15" customHeight="1">
      <c r="A11" s="21">
        <v>7114</v>
      </c>
      <c r="B11" s="22" t="s">
        <v>5</v>
      </c>
      <c r="C11" s="23">
        <v>602058876.58000004</v>
      </c>
      <c r="D11" s="41">
        <f t="shared" si="0"/>
        <v>7.6031934909389403</v>
      </c>
      <c r="E11" s="23">
        <v>611764887.9529773</v>
      </c>
      <c r="F11" s="41">
        <f t="shared" si="1"/>
        <v>7.7257673543344989</v>
      </c>
      <c r="G11" s="23">
        <f t="shared" si="2"/>
        <v>-9706011.3729772568</v>
      </c>
      <c r="H11" s="94">
        <f t="shared" si="3"/>
        <v>-1.5865590791675714</v>
      </c>
      <c r="I11" s="23">
        <v>535961758.94000006</v>
      </c>
      <c r="J11" s="41">
        <f t="shared" si="4"/>
        <v>7.1852319935092366</v>
      </c>
      <c r="K11" s="23">
        <f t="shared" si="5"/>
        <v>66097117.639999986</v>
      </c>
      <c r="L11" s="94">
        <f t="shared" si="6"/>
        <v>12.332431659065321</v>
      </c>
      <c r="M11" s="72" t="s">
        <v>82</v>
      </c>
    </row>
    <row r="12" spans="1:13" ht="15" customHeight="1">
      <c r="A12" s="21">
        <v>7115</v>
      </c>
      <c r="B12" s="22" t="s">
        <v>6</v>
      </c>
      <c r="C12" s="23">
        <v>172861788.03</v>
      </c>
      <c r="D12" s="41">
        <f t="shared" si="0"/>
        <v>2.1830117829134306</v>
      </c>
      <c r="E12" s="23">
        <v>170651764.84999999</v>
      </c>
      <c r="F12" s="41">
        <f t="shared" si="1"/>
        <v>2.1551021639199344</v>
      </c>
      <c r="G12" s="23">
        <f t="shared" si="2"/>
        <v>2210023.1800000072</v>
      </c>
      <c r="H12" s="94">
        <f t="shared" si="3"/>
        <v>1.2950485346240583</v>
      </c>
      <c r="I12" s="23">
        <v>160218575.27000001</v>
      </c>
      <c r="J12" s="41">
        <f t="shared" si="4"/>
        <v>2.1479286792051657</v>
      </c>
      <c r="K12" s="23">
        <f t="shared" si="5"/>
        <v>12643212.75999999</v>
      </c>
      <c r="L12" s="94">
        <f t="shared" si="6"/>
        <v>7.8912278046997244</v>
      </c>
      <c r="M12" s="72" t="s">
        <v>83</v>
      </c>
    </row>
    <row r="13" spans="1:13" ht="15" customHeight="1">
      <c r="A13" s="21">
        <v>7116</v>
      </c>
      <c r="B13" s="22" t="s">
        <v>7</v>
      </c>
      <c r="C13" s="23">
        <v>32307775.360000003</v>
      </c>
      <c r="D13" s="41">
        <f t="shared" si="0"/>
        <v>0.40800372999936863</v>
      </c>
      <c r="E13" s="23">
        <v>28829454.731989071</v>
      </c>
      <c r="F13" s="41">
        <f t="shared" si="1"/>
        <v>0.36407722083714178</v>
      </c>
      <c r="G13" s="23">
        <f t="shared" si="2"/>
        <v>3478320.6280109324</v>
      </c>
      <c r="H13" s="94">
        <f t="shared" si="3"/>
        <v>12.065162731473379</v>
      </c>
      <c r="I13" s="23">
        <v>27246928.509999998</v>
      </c>
      <c r="J13" s="41">
        <f t="shared" si="4"/>
        <v>0.36527886400348131</v>
      </c>
      <c r="K13" s="23">
        <f t="shared" si="5"/>
        <v>5060846.8500000052</v>
      </c>
      <c r="L13" s="94">
        <f t="shared" si="6"/>
        <v>18.574008619513222</v>
      </c>
      <c r="M13" s="72" t="s">
        <v>84</v>
      </c>
    </row>
    <row r="14" spans="1:13" ht="15" customHeight="1">
      <c r="A14" s="21">
        <v>7118</v>
      </c>
      <c r="B14" s="22" t="s">
        <v>59</v>
      </c>
      <c r="C14" s="23">
        <v>7506736.54</v>
      </c>
      <c r="D14" s="41">
        <f t="shared" si="0"/>
        <v>9.4799981562164556E-2</v>
      </c>
      <c r="E14" s="23">
        <v>7836306.6869554538</v>
      </c>
      <c r="F14" s="41">
        <f t="shared" si="1"/>
        <v>9.8962009054182648E-2</v>
      </c>
      <c r="G14" s="23">
        <f t="shared" si="2"/>
        <v>-329570.14695545379</v>
      </c>
      <c r="H14" s="94">
        <f t="shared" si="3"/>
        <v>-4.205682091336044</v>
      </c>
      <c r="I14" s="23">
        <v>6927460.5</v>
      </c>
      <c r="J14" s="41">
        <f t="shared" si="4"/>
        <v>9.2871198342237976E-2</v>
      </c>
      <c r="K14" s="23">
        <f t="shared" si="5"/>
        <v>579276.04</v>
      </c>
      <c r="L14" s="94">
        <f t="shared" si="6"/>
        <v>8.3620258823561784</v>
      </c>
      <c r="M14" s="72" t="s">
        <v>85</v>
      </c>
    </row>
    <row r="15" spans="1:13" ht="15" customHeight="1">
      <c r="A15" s="18">
        <v>712</v>
      </c>
      <c r="B15" s="19" t="s">
        <v>8</v>
      </c>
      <c r="C15" s="20">
        <f>+SUM(C16:C19)</f>
        <v>184079723.11000001</v>
      </c>
      <c r="D15" s="40">
        <f t="shared" si="0"/>
        <v>2.324679208309655</v>
      </c>
      <c r="E15" s="20">
        <f>+SUM(E16:E19)</f>
        <v>202775930.78324041</v>
      </c>
      <c r="F15" s="40">
        <f t="shared" si="1"/>
        <v>2.5607871539210758</v>
      </c>
      <c r="G15" s="20">
        <f t="shared" si="2"/>
        <v>-18696207.673240393</v>
      </c>
      <c r="H15" s="89">
        <f t="shared" si="3"/>
        <v>-9.22013160093735</v>
      </c>
      <c r="I15" s="20">
        <f>+SUM(I16:I19)</f>
        <v>265955415.06999999</v>
      </c>
      <c r="J15" s="40">
        <f t="shared" si="4"/>
        <v>3.565462134812345</v>
      </c>
      <c r="K15" s="20">
        <f t="shared" si="5"/>
        <v>-81875691.959999979</v>
      </c>
      <c r="L15" s="89">
        <f t="shared" si="6"/>
        <v>-30.785495357727584</v>
      </c>
      <c r="M15" s="71" t="s">
        <v>86</v>
      </c>
    </row>
    <row r="16" spans="1:13" ht="15" customHeight="1">
      <c r="A16" s="21">
        <v>7121</v>
      </c>
      <c r="B16" s="22" t="s">
        <v>9</v>
      </c>
      <c r="C16" s="23">
        <v>155399995.99000001</v>
      </c>
      <c r="D16" s="41">
        <f t="shared" si="0"/>
        <v>1.9624928457409863</v>
      </c>
      <c r="E16" s="23">
        <v>180601436.69070491</v>
      </c>
      <c r="F16" s="41">
        <f t="shared" si="1"/>
        <v>2.280753131157478</v>
      </c>
      <c r="G16" s="23">
        <f t="shared" si="2"/>
        <v>-25201440.700704902</v>
      </c>
      <c r="H16" s="94">
        <f t="shared" si="3"/>
        <v>-13.954175095442054</v>
      </c>
      <c r="I16" s="23">
        <v>244101507.11000001</v>
      </c>
      <c r="J16" s="41">
        <f t="shared" si="4"/>
        <v>3.2724833988518629</v>
      </c>
      <c r="K16" s="23">
        <f t="shared" si="5"/>
        <v>-88701511.120000005</v>
      </c>
      <c r="L16" s="94">
        <f t="shared" si="6"/>
        <v>-36.337961272819271</v>
      </c>
      <c r="M16" s="72" t="s">
        <v>87</v>
      </c>
    </row>
    <row r="17" spans="1:13" ht="15" customHeight="1">
      <c r="A17" s="21">
        <v>7122</v>
      </c>
      <c r="B17" s="22" t="s">
        <v>10</v>
      </c>
      <c r="C17" s="23">
        <v>3649257.4600000004</v>
      </c>
      <c r="D17" s="41">
        <f t="shared" si="0"/>
        <v>4.6085211340531673E-2</v>
      </c>
      <c r="E17" s="23">
        <v>2899856.792164648</v>
      </c>
      <c r="F17" s="41">
        <f t="shared" si="1"/>
        <v>3.6621289286666012E-2</v>
      </c>
      <c r="G17" s="23">
        <f t="shared" si="2"/>
        <v>749400.66783535248</v>
      </c>
      <c r="H17" s="94">
        <f t="shared" si="3"/>
        <v>25.84267850261493</v>
      </c>
      <c r="I17" s="23">
        <v>2309927.13</v>
      </c>
      <c r="J17" s="41">
        <f t="shared" si="4"/>
        <v>3.0967437583562768E-2</v>
      </c>
      <c r="K17" s="23">
        <f t="shared" si="5"/>
        <v>1339330.3300000005</v>
      </c>
      <c r="L17" s="94">
        <f t="shared" si="6"/>
        <v>57.981497018046639</v>
      </c>
      <c r="M17" s="72" t="s">
        <v>88</v>
      </c>
    </row>
    <row r="18" spans="1:13" ht="15" customHeight="1">
      <c r="A18" s="21">
        <v>7123</v>
      </c>
      <c r="B18" s="22" t="s">
        <v>11</v>
      </c>
      <c r="C18" s="23">
        <v>14678875.32</v>
      </c>
      <c r="D18" s="41">
        <f t="shared" si="0"/>
        <v>0.18537444364462968</v>
      </c>
      <c r="E18" s="23">
        <v>10553803.432800625</v>
      </c>
      <c r="F18" s="41">
        <f t="shared" si="1"/>
        <v>0.13328033633643524</v>
      </c>
      <c r="G18" s="23">
        <f t="shared" si="2"/>
        <v>4125071.8871993758</v>
      </c>
      <c r="H18" s="94">
        <f t="shared" si="3"/>
        <v>39.086116332040888</v>
      </c>
      <c r="I18" s="23">
        <v>11381160.690000001</v>
      </c>
      <c r="J18" s="41">
        <f t="shared" si="4"/>
        <v>0.15257857216304188</v>
      </c>
      <c r="K18" s="23">
        <f t="shared" si="5"/>
        <v>3297714.629999999</v>
      </c>
      <c r="L18" s="94">
        <f t="shared" si="6"/>
        <v>28.975204900652358</v>
      </c>
      <c r="M18" s="72" t="s">
        <v>89</v>
      </c>
    </row>
    <row r="19" spans="1:13" ht="15" customHeight="1">
      <c r="A19" s="21">
        <v>7124</v>
      </c>
      <c r="B19" s="22" t="s">
        <v>12</v>
      </c>
      <c r="C19" s="23">
        <v>10351594.34</v>
      </c>
      <c r="D19" s="41">
        <f t="shared" si="0"/>
        <v>0.13072670758350696</v>
      </c>
      <c r="E19" s="23">
        <v>8720833.8675702307</v>
      </c>
      <c r="F19" s="41">
        <f t="shared" si="1"/>
        <v>0.11013239714049669</v>
      </c>
      <c r="G19" s="23">
        <f t="shared" si="2"/>
        <v>1630760.4724297691</v>
      </c>
      <c r="H19" s="94">
        <f t="shared" si="3"/>
        <v>18.699593378266314</v>
      </c>
      <c r="I19" s="23">
        <v>8162820.1400000006</v>
      </c>
      <c r="J19" s="41">
        <f t="shared" si="4"/>
        <v>0.10943272621387808</v>
      </c>
      <c r="K19" s="23">
        <f t="shared" si="5"/>
        <v>2188774.1999999993</v>
      </c>
      <c r="L19" s="94">
        <f t="shared" si="6"/>
        <v>26.81394619090554</v>
      </c>
      <c r="M19" s="72" t="s">
        <v>90</v>
      </c>
    </row>
    <row r="20" spans="1:13" ht="15" customHeight="1">
      <c r="A20" s="18">
        <v>713</v>
      </c>
      <c r="B20" s="19" t="s">
        <v>13</v>
      </c>
      <c r="C20" s="20">
        <f>SUM(C21:C24)</f>
        <v>6926498.1900000004</v>
      </c>
      <c r="D20" s="40">
        <f t="shared" si="0"/>
        <v>8.7472351960598604E-2</v>
      </c>
      <c r="E20" s="20">
        <f>+SUM(E21:E24)</f>
        <v>7217893.7652577497</v>
      </c>
      <c r="F20" s="40">
        <f t="shared" si="1"/>
        <v>9.1152285979134301E-2</v>
      </c>
      <c r="G20" s="20">
        <f t="shared" si="2"/>
        <v>-291395.5752577493</v>
      </c>
      <c r="H20" s="89">
        <f t="shared" si="3"/>
        <v>-4.0371275157905302</v>
      </c>
      <c r="I20" s="20">
        <f>+SUM(I21:I24)</f>
        <v>6824970.4100000001</v>
      </c>
      <c r="J20" s="40">
        <f t="shared" si="4"/>
        <v>9.1497191593804872E-2</v>
      </c>
      <c r="K20" s="20">
        <f t="shared" si="5"/>
        <v>101527.78000000026</v>
      </c>
      <c r="L20" s="89">
        <f t="shared" si="6"/>
        <v>1.4875929696521553</v>
      </c>
      <c r="M20" s="71" t="s">
        <v>91</v>
      </c>
    </row>
    <row r="21" spans="1:13" ht="15" customHeight="1">
      <c r="A21" s="21">
        <v>7131</v>
      </c>
      <c r="B21" s="22" t="s">
        <v>14</v>
      </c>
      <c r="C21" s="23">
        <v>4790455.2300000004</v>
      </c>
      <c r="D21" s="41">
        <f t="shared" si="0"/>
        <v>6.0497003599166516E-2</v>
      </c>
      <c r="E21" s="23">
        <v>5315465.4761770507</v>
      </c>
      <c r="F21" s="41">
        <f t="shared" si="1"/>
        <v>6.7127176563453322E-2</v>
      </c>
      <c r="G21" s="23">
        <f t="shared" si="2"/>
        <v>-525010.24617705029</v>
      </c>
      <c r="H21" s="94">
        <f t="shared" si="3"/>
        <v>-9.8770323790089662</v>
      </c>
      <c r="I21" s="23">
        <v>4752006.25</v>
      </c>
      <c r="J21" s="41">
        <f t="shared" si="4"/>
        <v>6.3706536467050878E-2</v>
      </c>
      <c r="K21" s="23">
        <f t="shared" si="5"/>
        <v>38448.980000000447</v>
      </c>
      <c r="L21" s="94">
        <f t="shared" si="6"/>
        <v>0.80911046781557161</v>
      </c>
      <c r="M21" s="72" t="s">
        <v>92</v>
      </c>
    </row>
    <row r="22" spans="1:13" ht="15" customHeight="1">
      <c r="A22" s="21">
        <v>7132</v>
      </c>
      <c r="B22" s="22" t="s">
        <v>15</v>
      </c>
      <c r="C22" s="23">
        <v>676409.84</v>
      </c>
      <c r="D22" s="41">
        <f t="shared" si="0"/>
        <v>8.542146113531603E-3</v>
      </c>
      <c r="E22" s="23">
        <v>737539.79417874524</v>
      </c>
      <c r="F22" s="41">
        <f t="shared" si="1"/>
        <v>9.3141351793741903E-3</v>
      </c>
      <c r="G22" s="23">
        <f t="shared" si="2"/>
        <v>-61129.954178745276</v>
      </c>
      <c r="H22" s="94">
        <f t="shared" si="3"/>
        <v>-8.2883601212072762</v>
      </c>
      <c r="I22" s="23">
        <v>714698.73</v>
      </c>
      <c r="J22" s="41">
        <f t="shared" si="4"/>
        <v>9.5814227318619261E-3</v>
      </c>
      <c r="K22" s="23">
        <f t="shared" si="5"/>
        <v>-38288.890000000014</v>
      </c>
      <c r="L22" s="94">
        <f t="shared" si="6"/>
        <v>-5.3573468641814941</v>
      </c>
      <c r="M22" s="72" t="s">
        <v>93</v>
      </c>
    </row>
    <row r="23" spans="1:13" ht="15" customHeight="1">
      <c r="A23" s="21">
        <v>7133</v>
      </c>
      <c r="B23" s="22" t="s">
        <v>16</v>
      </c>
      <c r="C23" s="23">
        <v>634072.26</v>
      </c>
      <c r="D23" s="41">
        <f t="shared" si="0"/>
        <v>8.0074794468649353E-3</v>
      </c>
      <c r="E23" s="23">
        <v>442994.9648667766</v>
      </c>
      <c r="F23" s="41">
        <f t="shared" si="1"/>
        <v>5.5944303197168225E-3</v>
      </c>
      <c r="G23" s="23">
        <f t="shared" si="2"/>
        <v>191077.29513322341</v>
      </c>
      <c r="H23" s="94">
        <f t="shared" si="3"/>
        <v>43.133062514759445</v>
      </c>
      <c r="I23" s="23">
        <v>637008.46</v>
      </c>
      <c r="J23" s="41">
        <f t="shared" si="4"/>
        <v>8.5398883233392051E-3</v>
      </c>
      <c r="K23" s="23">
        <f t="shared" si="5"/>
        <v>-2936.1999999999534</v>
      </c>
      <c r="L23" s="94">
        <f t="shared" si="6"/>
        <v>-0.46093579353717473</v>
      </c>
      <c r="M23" s="72" t="s">
        <v>94</v>
      </c>
    </row>
    <row r="24" spans="1:13" ht="15" customHeight="1">
      <c r="A24" s="21">
        <v>7136</v>
      </c>
      <c r="B24" s="22" t="s">
        <v>18</v>
      </c>
      <c r="C24" s="23">
        <v>825560.86</v>
      </c>
      <c r="D24" s="41">
        <f t="shared" si="0"/>
        <v>1.0425722801035551E-2</v>
      </c>
      <c r="E24" s="23">
        <v>721893.53003517666</v>
      </c>
      <c r="F24" s="41">
        <f t="shared" si="1"/>
        <v>9.1165439165899684E-3</v>
      </c>
      <c r="G24" s="23">
        <f t="shared" si="2"/>
        <v>103667.32996482332</v>
      </c>
      <c r="H24" s="94">
        <f t="shared" si="3"/>
        <v>14.360473622719923</v>
      </c>
      <c r="I24" s="23">
        <v>721256.97</v>
      </c>
      <c r="J24" s="41">
        <f t="shared" si="4"/>
        <v>9.6693440715528572E-3</v>
      </c>
      <c r="K24" s="23">
        <f t="shared" si="5"/>
        <v>104303.89000000001</v>
      </c>
      <c r="L24" s="94">
        <f t="shared" si="6"/>
        <v>14.461404788920106</v>
      </c>
      <c r="M24" s="72" t="s">
        <v>95</v>
      </c>
    </row>
    <row r="25" spans="1:13" ht="15" customHeight="1">
      <c r="A25" s="18">
        <v>714</v>
      </c>
      <c r="B25" s="19" t="s">
        <v>19</v>
      </c>
      <c r="C25" s="20">
        <f>+SUM(C26:C31)</f>
        <v>31417697.100000001</v>
      </c>
      <c r="D25" s="40">
        <f t="shared" si="0"/>
        <v>0.3967632392498579</v>
      </c>
      <c r="E25" s="20">
        <f>+SUM(E26:E31)</f>
        <v>33089284.613380402</v>
      </c>
      <c r="F25" s="40">
        <f t="shared" si="1"/>
        <v>0.41787314028389722</v>
      </c>
      <c r="G25" s="20">
        <f t="shared" si="2"/>
        <v>-1671587.5133804008</v>
      </c>
      <c r="H25" s="89">
        <f t="shared" si="3"/>
        <v>-5.0517487244328549</v>
      </c>
      <c r="I25" s="20">
        <f>+SUM(I26:I31)</f>
        <v>22970622.700000003</v>
      </c>
      <c r="J25" s="40">
        <f t="shared" si="4"/>
        <v>0.30794968182300198</v>
      </c>
      <c r="K25" s="20">
        <f t="shared" si="5"/>
        <v>8447074.3999999985</v>
      </c>
      <c r="L25" s="89">
        <f t="shared" si="6"/>
        <v>36.773380113896508</v>
      </c>
      <c r="M25" s="71" t="s">
        <v>96</v>
      </c>
    </row>
    <row r="26" spans="1:13" ht="15" customHeight="1">
      <c r="A26" s="21">
        <v>7141</v>
      </c>
      <c r="B26" s="22" t="s">
        <v>20</v>
      </c>
      <c r="C26" s="23">
        <v>757382.28</v>
      </c>
      <c r="D26" s="41">
        <f t="shared" si="0"/>
        <v>9.5647190755824962E-3</v>
      </c>
      <c r="E26" s="23">
        <v>1147064.3842413253</v>
      </c>
      <c r="F26" s="41">
        <f t="shared" si="1"/>
        <v>1.4485879702485639E-2</v>
      </c>
      <c r="G26" s="23">
        <f t="shared" si="2"/>
        <v>-389682.10424132529</v>
      </c>
      <c r="H26" s="94">
        <f t="shared" si="3"/>
        <v>-33.97212132072805</v>
      </c>
      <c r="I26" s="23">
        <v>790610.95</v>
      </c>
      <c r="J26" s="41">
        <f t="shared" si="4"/>
        <v>1.0599120175278543E-2</v>
      </c>
      <c r="K26" s="23">
        <f t="shared" si="5"/>
        <v>-33228.669999999925</v>
      </c>
      <c r="L26" s="94">
        <f t="shared" si="6"/>
        <v>-4.2029104200997978</v>
      </c>
      <c r="M26" s="72" t="s">
        <v>97</v>
      </c>
    </row>
    <row r="27" spans="1:13" ht="15" customHeight="1">
      <c r="A27" s="21">
        <v>7142</v>
      </c>
      <c r="B27" s="22" t="s">
        <v>21</v>
      </c>
      <c r="C27" s="23">
        <v>2870424.1399999997</v>
      </c>
      <c r="D27" s="41">
        <f t="shared" si="0"/>
        <v>3.6249594493906676E-2</v>
      </c>
      <c r="E27" s="23">
        <v>1958356.0439204017</v>
      </c>
      <c r="F27" s="41">
        <f t="shared" si="1"/>
        <v>2.4731401703863124E-2</v>
      </c>
      <c r="G27" s="23">
        <f t="shared" si="2"/>
        <v>912068.09607959795</v>
      </c>
      <c r="H27" s="94">
        <f t="shared" si="3"/>
        <v>46.573149908621502</v>
      </c>
      <c r="I27" s="23">
        <v>1355893.9200000002</v>
      </c>
      <c r="J27" s="41">
        <f t="shared" si="4"/>
        <v>1.8177439362570824E-2</v>
      </c>
      <c r="K27" s="23">
        <f t="shared" si="5"/>
        <v>1514530.2199999995</v>
      </c>
      <c r="L27" s="94">
        <f t="shared" si="6"/>
        <v>111.69975745595195</v>
      </c>
      <c r="M27" s="72" t="s">
        <v>98</v>
      </c>
    </row>
    <row r="28" spans="1:13" ht="15" customHeight="1">
      <c r="A28" s="21">
        <v>7143</v>
      </c>
      <c r="B28" s="22" t="s">
        <v>22</v>
      </c>
      <c r="C28" s="23">
        <v>0</v>
      </c>
      <c r="D28" s="41">
        <f t="shared" si="0"/>
        <v>0</v>
      </c>
      <c r="E28" s="23">
        <v>0</v>
      </c>
      <c r="F28" s="41">
        <f t="shared" si="1"/>
        <v>0</v>
      </c>
      <c r="G28" s="23">
        <f t="shared" si="2"/>
        <v>0</v>
      </c>
      <c r="H28" s="94">
        <f>+IFERROR(C28/E28*100-100,0)</f>
        <v>0</v>
      </c>
      <c r="I28" s="23">
        <v>0</v>
      </c>
      <c r="J28" s="41">
        <f t="shared" si="4"/>
        <v>0</v>
      </c>
      <c r="K28" s="23">
        <f t="shared" si="5"/>
        <v>0</v>
      </c>
      <c r="L28" s="94">
        <f>+IFERROR(C28/I28*100-100,0)</f>
        <v>0</v>
      </c>
      <c r="M28" s="72" t="s">
        <v>99</v>
      </c>
    </row>
    <row r="29" spans="1:13" ht="15" customHeight="1">
      <c r="A29" s="21">
        <v>7144</v>
      </c>
      <c r="B29" s="22" t="s">
        <v>23</v>
      </c>
      <c r="C29" s="23">
        <v>10841491.380000001</v>
      </c>
      <c r="D29" s="41">
        <f t="shared" si="0"/>
        <v>0.13691344800151545</v>
      </c>
      <c r="E29" s="23">
        <v>16568315.599272165</v>
      </c>
      <c r="F29" s="41">
        <f t="shared" si="1"/>
        <v>0.20923553197287575</v>
      </c>
      <c r="G29" s="23">
        <f t="shared" si="2"/>
        <v>-5726824.2192721646</v>
      </c>
      <c r="H29" s="94">
        <f t="shared" si="3"/>
        <v>-34.564915093262343</v>
      </c>
      <c r="I29" s="23">
        <v>8700385.629999999</v>
      </c>
      <c r="J29" s="41">
        <f t="shared" si="4"/>
        <v>0.11663945821093993</v>
      </c>
      <c r="K29" s="23">
        <f t="shared" si="5"/>
        <v>2141105.7500000019</v>
      </c>
      <c r="L29" s="94">
        <f t="shared" si="6"/>
        <v>24.609320104354993</v>
      </c>
      <c r="M29" s="72" t="s">
        <v>100</v>
      </c>
    </row>
    <row r="30" spans="1:13" ht="15" customHeight="1">
      <c r="A30" s="21">
        <v>7148</v>
      </c>
      <c r="B30" s="22" t="s">
        <v>24</v>
      </c>
      <c r="C30" s="82">
        <v>1870867.49</v>
      </c>
      <c r="D30" s="41">
        <f t="shared" si="0"/>
        <v>2.3626538990970513E-2</v>
      </c>
      <c r="E30" s="82">
        <v>1616990.8406976224</v>
      </c>
      <c r="F30" s="41">
        <f t="shared" si="1"/>
        <v>2.0420418522417407E-2</v>
      </c>
      <c r="G30" s="76">
        <f t="shared" si="2"/>
        <v>253876.6493023776</v>
      </c>
      <c r="H30" s="94">
        <f t="shared" si="3"/>
        <v>15.700561989135764</v>
      </c>
      <c r="I30" s="82">
        <v>1545850.49</v>
      </c>
      <c r="J30" s="41">
        <f t="shared" si="4"/>
        <v>2.0724042737484506E-2</v>
      </c>
      <c r="K30" s="76">
        <f t="shared" si="5"/>
        <v>325017</v>
      </c>
      <c r="L30" s="94">
        <f t="shared" si="6"/>
        <v>21.025125140012733</v>
      </c>
      <c r="M30" s="72" t="s">
        <v>101</v>
      </c>
    </row>
    <row r="31" spans="1:13" ht="15" customHeight="1">
      <c r="A31" s="21">
        <v>7149</v>
      </c>
      <c r="B31" s="22" t="s">
        <v>25</v>
      </c>
      <c r="C31" s="82">
        <v>15077531.810000001</v>
      </c>
      <c r="D31" s="41">
        <f t="shared" si="0"/>
        <v>0.19040893868788281</v>
      </c>
      <c r="E31" s="82">
        <v>11798557.745248884</v>
      </c>
      <c r="F31" s="41">
        <f t="shared" si="1"/>
        <v>0.14899990838225527</v>
      </c>
      <c r="G31" s="76">
        <f t="shared" si="2"/>
        <v>3278974.0647511166</v>
      </c>
      <c r="H31" s="94">
        <f t="shared" si="3"/>
        <v>27.791312595571398</v>
      </c>
      <c r="I31" s="82">
        <v>10577881.710000001</v>
      </c>
      <c r="J31" s="41">
        <f t="shared" si="4"/>
        <v>0.14180962133672817</v>
      </c>
      <c r="K31" s="76">
        <f t="shared" si="5"/>
        <v>4499650.0999999996</v>
      </c>
      <c r="L31" s="94">
        <f t="shared" si="6"/>
        <v>42.538290967521135</v>
      </c>
      <c r="M31" s="72" t="s">
        <v>102</v>
      </c>
    </row>
    <row r="32" spans="1:13" ht="15" customHeight="1">
      <c r="A32" s="18">
        <v>715</v>
      </c>
      <c r="B32" s="19" t="s">
        <v>26</v>
      </c>
      <c r="C32" s="20">
        <f>+SUM(C33:C36)</f>
        <v>23722700.870000001</v>
      </c>
      <c r="D32" s="40">
        <f t="shared" si="0"/>
        <v>0.29958579112205597</v>
      </c>
      <c r="E32" s="20">
        <f>+SUM(E33:E36)</f>
        <v>14596068.495406769</v>
      </c>
      <c r="F32" s="40">
        <f t="shared" si="1"/>
        <v>0.18432870487348321</v>
      </c>
      <c r="G32" s="20">
        <f t="shared" si="2"/>
        <v>9126632.3745932318</v>
      </c>
      <c r="H32" s="89">
        <f t="shared" si="3"/>
        <v>62.528018263721407</v>
      </c>
      <c r="I32" s="20">
        <f>+SUM(I33:I36)</f>
        <v>40941515.400000006</v>
      </c>
      <c r="J32" s="40">
        <f t="shared" si="4"/>
        <v>0.54887178312242868</v>
      </c>
      <c r="K32" s="20">
        <f t="shared" si="5"/>
        <v>-17218814.530000005</v>
      </c>
      <c r="L32" s="89">
        <f t="shared" si="6"/>
        <v>-42.057101115509766</v>
      </c>
      <c r="M32" s="71" t="s">
        <v>103</v>
      </c>
    </row>
    <row r="33" spans="1:105" ht="15" customHeight="1">
      <c r="A33" s="21">
        <v>7151</v>
      </c>
      <c r="B33" s="22" t="s">
        <v>27</v>
      </c>
      <c r="C33" s="82">
        <v>10297644.140000001</v>
      </c>
      <c r="D33" s="41">
        <f t="shared" si="0"/>
        <v>0.13004538915198585</v>
      </c>
      <c r="E33" s="82">
        <v>2262413.6396884834</v>
      </c>
      <c r="F33" s="41">
        <f t="shared" si="1"/>
        <v>2.857124000364316E-2</v>
      </c>
      <c r="G33" s="76">
        <f t="shared" si="2"/>
        <v>8035230.5003115172</v>
      </c>
      <c r="H33" s="94">
        <f t="shared" si="3"/>
        <v>355.16186604222844</v>
      </c>
      <c r="I33" s="82">
        <v>16270472.030000001</v>
      </c>
      <c r="J33" s="41">
        <f t="shared" si="4"/>
        <v>0.21812585362557688</v>
      </c>
      <c r="K33" s="76">
        <f t="shared" si="5"/>
        <v>-5972827.8900000006</v>
      </c>
      <c r="L33" s="94">
        <f t="shared" si="6"/>
        <v>-36.709616531020828</v>
      </c>
      <c r="M33" s="72" t="s">
        <v>104</v>
      </c>
    </row>
    <row r="34" spans="1:105" ht="15" customHeight="1">
      <c r="A34" s="21">
        <v>7152</v>
      </c>
      <c r="B34" s="22" t="s">
        <v>28</v>
      </c>
      <c r="C34" s="82">
        <v>9509603.7600000016</v>
      </c>
      <c r="D34" s="41">
        <f t="shared" si="0"/>
        <v>0.12009349952642548</v>
      </c>
      <c r="E34" s="82">
        <v>7703246.6436141552</v>
      </c>
      <c r="F34" s="41">
        <f t="shared" si="1"/>
        <v>9.7281639750131405E-2</v>
      </c>
      <c r="G34" s="76">
        <f t="shared" si="2"/>
        <v>1806357.1163858464</v>
      </c>
      <c r="H34" s="94">
        <f t="shared" si="3"/>
        <v>23.449296120919129</v>
      </c>
      <c r="I34" s="82">
        <v>8449159.7800000012</v>
      </c>
      <c r="J34" s="41">
        <f t="shared" si="4"/>
        <v>0.11327146416116554</v>
      </c>
      <c r="K34" s="76">
        <f t="shared" si="5"/>
        <v>1060443.9800000004</v>
      </c>
      <c r="L34" s="94">
        <f t="shared" si="6"/>
        <v>12.550880887708814</v>
      </c>
      <c r="M34" s="72" t="s">
        <v>105</v>
      </c>
    </row>
    <row r="35" spans="1:105">
      <c r="A35" s="21">
        <v>7153</v>
      </c>
      <c r="B35" s="22" t="s">
        <v>29</v>
      </c>
      <c r="C35" s="82">
        <v>1184235.4899999998</v>
      </c>
      <c r="D35" s="41">
        <f t="shared" si="0"/>
        <v>1.4955300751404936E-2</v>
      </c>
      <c r="E35" s="82">
        <v>1099215.2421041324</v>
      </c>
      <c r="F35" s="41">
        <f t="shared" si="1"/>
        <v>1.3881609422291248E-2</v>
      </c>
      <c r="G35" s="76">
        <f t="shared" si="2"/>
        <v>85020.247895867331</v>
      </c>
      <c r="H35" s="94">
        <f t="shared" si="3"/>
        <v>7.7346314569947623</v>
      </c>
      <c r="I35" s="82">
        <v>1025235.93</v>
      </c>
      <c r="J35" s="41">
        <f t="shared" si="4"/>
        <v>1.3744558976932286E-2</v>
      </c>
      <c r="K35" s="76">
        <f t="shared" si="5"/>
        <v>158999.55999999971</v>
      </c>
      <c r="L35" s="94">
        <f t="shared" si="6"/>
        <v>15.508582497689076</v>
      </c>
      <c r="M35" s="72" t="s">
        <v>106</v>
      </c>
    </row>
    <row r="36" spans="1:105" s="3" customFormat="1" ht="15" customHeight="1">
      <c r="A36" s="21">
        <v>7155</v>
      </c>
      <c r="B36" s="22" t="s">
        <v>26</v>
      </c>
      <c r="C36" s="82">
        <v>2731217.48</v>
      </c>
      <c r="D36" s="41">
        <f t="shared" si="0"/>
        <v>3.4491601692239693E-2</v>
      </c>
      <c r="E36" s="82">
        <v>3531192.9699999997</v>
      </c>
      <c r="F36" s="41">
        <f t="shared" si="1"/>
        <v>4.4594215697417436E-2</v>
      </c>
      <c r="G36" s="76">
        <f t="shared" si="2"/>
        <v>-799975.48999999976</v>
      </c>
      <c r="H36" s="94">
        <f t="shared" si="3"/>
        <v>-22.654539040951931</v>
      </c>
      <c r="I36" s="82">
        <v>15196647.66</v>
      </c>
      <c r="J36" s="41">
        <f t="shared" si="4"/>
        <v>0.20372990635875396</v>
      </c>
      <c r="K36" s="76">
        <f t="shared" si="5"/>
        <v>-12465430.18</v>
      </c>
      <c r="L36" s="94">
        <f t="shared" si="6"/>
        <v>-82.027500136171483</v>
      </c>
      <c r="M36" s="72" t="s">
        <v>103</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row>
    <row r="37" spans="1:105" ht="15" hidden="1" customHeight="1">
      <c r="A37" s="18">
        <v>73</v>
      </c>
      <c r="B37" s="92" t="s">
        <v>183</v>
      </c>
      <c r="C37" s="20">
        <v>0</v>
      </c>
      <c r="D37" s="40">
        <f t="shared" si="0"/>
        <v>0</v>
      </c>
      <c r="E37" s="20">
        <v>0</v>
      </c>
      <c r="F37" s="40">
        <f t="shared" si="1"/>
        <v>0</v>
      </c>
      <c r="G37" s="20">
        <f t="shared" si="2"/>
        <v>0</v>
      </c>
      <c r="H37" s="89">
        <f>+IFERROR(C37/E37*100-100,0)</f>
        <v>0</v>
      </c>
      <c r="I37" s="20">
        <v>0</v>
      </c>
      <c r="J37" s="40">
        <f t="shared" si="4"/>
        <v>0</v>
      </c>
      <c r="K37" s="20">
        <f t="shared" si="5"/>
        <v>0</v>
      </c>
      <c r="L37" s="89">
        <f>+IFERROR(C37/I37*100-100,0)</f>
        <v>0</v>
      </c>
      <c r="M37" s="71" t="s">
        <v>107</v>
      </c>
    </row>
    <row r="38" spans="1:105" ht="15" customHeight="1">
      <c r="A38" s="18">
        <v>74</v>
      </c>
      <c r="B38" s="19" t="s">
        <v>179</v>
      </c>
      <c r="C38" s="20">
        <v>5245974.18</v>
      </c>
      <c r="D38" s="40">
        <f t="shared" si="0"/>
        <v>6.6249594999052849E-2</v>
      </c>
      <c r="E38" s="20">
        <v>36961128.193333261</v>
      </c>
      <c r="F38" s="40">
        <f t="shared" si="1"/>
        <v>0.46676931481130596</v>
      </c>
      <c r="G38" s="20">
        <f t="shared" si="2"/>
        <v>-31715154.013333261</v>
      </c>
      <c r="H38" s="89">
        <f t="shared" si="3"/>
        <v>-85.806780159523854</v>
      </c>
      <c r="I38" s="20">
        <v>13724170.660000002</v>
      </c>
      <c r="J38" s="40">
        <f t="shared" si="4"/>
        <v>0.18398952624090506</v>
      </c>
      <c r="K38" s="20">
        <f t="shared" si="5"/>
        <v>-8478196.4800000023</v>
      </c>
      <c r="L38" s="89">
        <f t="shared" si="6"/>
        <v>-61.775656176516833</v>
      </c>
      <c r="M38" s="71" t="s">
        <v>108</v>
      </c>
    </row>
    <row r="39" spans="1:105" ht="15" customHeight="1">
      <c r="A39" s="15"/>
      <c r="B39" s="16" t="s">
        <v>71</v>
      </c>
      <c r="C39" s="17">
        <f>+C40+C50+C56+C57+C58+C59+C60+C61</f>
        <v>1429966043.6700003</v>
      </c>
      <c r="D39" s="39">
        <f t="shared" si="0"/>
        <v>18.058546993369962</v>
      </c>
      <c r="E39" s="17">
        <f>+E40+E50+E56+E57+E58+E59+E60+E61</f>
        <v>1475854533.4300001</v>
      </c>
      <c r="F39" s="39">
        <f t="shared" ref="F39:F78" si="7">+E39/$E$2*100</f>
        <v>18.63805687226116</v>
      </c>
      <c r="G39" s="17">
        <f t="shared" si="2"/>
        <v>-45888489.759999752</v>
      </c>
      <c r="H39" s="93">
        <f t="shared" si="3"/>
        <v>-3.1092827050746905</v>
      </c>
      <c r="I39" s="17">
        <f>+I40+I50+I56+I57+I58+I59+I60+I61</f>
        <v>1280254520.4300003</v>
      </c>
      <c r="J39" s="39">
        <f t="shared" si="4"/>
        <v>17.163399415327063</v>
      </c>
      <c r="K39" s="17">
        <f t="shared" ref="K39:K61" si="8">+C39-I39</f>
        <v>149711523.24000001</v>
      </c>
      <c r="L39" s="93">
        <f t="shared" ref="L39:L61" si="9">+C39/I39*100-100</f>
        <v>11.693887492755437</v>
      </c>
      <c r="M39" s="80" t="s">
        <v>109</v>
      </c>
    </row>
    <row r="40" spans="1:105" ht="15" customHeight="1">
      <c r="A40" s="18">
        <v>41</v>
      </c>
      <c r="B40" s="19" t="s">
        <v>68</v>
      </c>
      <c r="C40" s="20">
        <f>+SUM(C41:C49)</f>
        <v>558019801.4000001</v>
      </c>
      <c r="D40" s="40">
        <f t="shared" si="0"/>
        <v>7.0470392296520812</v>
      </c>
      <c r="E40" s="20">
        <f>+SUM(E41:E49)</f>
        <v>589389389.3900001</v>
      </c>
      <c r="F40" s="40">
        <f t="shared" si="7"/>
        <v>7.4431949155774459</v>
      </c>
      <c r="G40" s="20">
        <f t="shared" si="2"/>
        <v>-31369587.99000001</v>
      </c>
      <c r="H40" s="89">
        <f t="shared" si="3"/>
        <v>-5.3223876362054341</v>
      </c>
      <c r="I40" s="20">
        <f>+SUM(I41:I49)</f>
        <v>513600153.04000002</v>
      </c>
      <c r="J40" s="40">
        <f t="shared" si="4"/>
        <v>6.8854469370964466</v>
      </c>
      <c r="K40" s="20">
        <f t="shared" si="8"/>
        <v>44419648.360000074</v>
      </c>
      <c r="L40" s="89">
        <f t="shared" si="9"/>
        <v>8.6486828512569787</v>
      </c>
      <c r="M40" s="71" t="s">
        <v>110</v>
      </c>
    </row>
    <row r="41" spans="1:105" ht="15" customHeight="1">
      <c r="A41" s="21">
        <v>411</v>
      </c>
      <c r="B41" s="22" t="s">
        <v>30</v>
      </c>
      <c r="C41" s="107">
        <v>343335405.44000006</v>
      </c>
      <c r="D41" s="41">
        <f t="shared" si="0"/>
        <v>4.3358641843783552</v>
      </c>
      <c r="E41" s="107">
        <v>355227517.49999994</v>
      </c>
      <c r="F41" s="41">
        <f t="shared" si="7"/>
        <v>4.4860455578708081</v>
      </c>
      <c r="G41" s="23">
        <f t="shared" si="2"/>
        <v>-11892112.059999883</v>
      </c>
      <c r="H41" s="94">
        <f t="shared" si="3"/>
        <v>-3.3477451701077428</v>
      </c>
      <c r="I41" s="23">
        <v>335038268.71000004</v>
      </c>
      <c r="J41" s="41">
        <f t="shared" si="4"/>
        <v>4.4916034534742479</v>
      </c>
      <c r="K41" s="23">
        <f t="shared" si="8"/>
        <v>8297136.7300000191</v>
      </c>
      <c r="L41" s="94">
        <f t="shared" si="9"/>
        <v>2.4764743329013044</v>
      </c>
      <c r="M41" s="72" t="s">
        <v>111</v>
      </c>
    </row>
    <row r="42" spans="1:105" ht="15" customHeight="1">
      <c r="A42" s="21">
        <v>412</v>
      </c>
      <c r="B42" s="22" t="s">
        <v>31</v>
      </c>
      <c r="C42" s="23">
        <v>10499649.760000002</v>
      </c>
      <c r="D42" s="41">
        <f t="shared" si="0"/>
        <v>0.1325964483172318</v>
      </c>
      <c r="E42" s="23">
        <v>12204408.639999999</v>
      </c>
      <c r="F42" s="41">
        <f t="shared" si="7"/>
        <v>0.15412525907684535</v>
      </c>
      <c r="G42" s="23">
        <f t="shared" si="2"/>
        <v>-1704758.8799999971</v>
      </c>
      <c r="H42" s="94">
        <f t="shared" si="3"/>
        <v>-13.968385771782849</v>
      </c>
      <c r="I42" s="23">
        <v>9003562.2699999996</v>
      </c>
      <c r="J42" s="41">
        <f t="shared" si="4"/>
        <v>0.12070391702180913</v>
      </c>
      <c r="K42" s="23">
        <f t="shared" si="8"/>
        <v>1496087.4900000021</v>
      </c>
      <c r="L42" s="94">
        <f t="shared" si="9"/>
        <v>16.616617346947081</v>
      </c>
      <c r="M42" s="72" t="s">
        <v>112</v>
      </c>
    </row>
    <row r="43" spans="1:105" ht="15" customHeight="1">
      <c r="A43" s="21">
        <v>413</v>
      </c>
      <c r="B43" s="22" t="s">
        <v>72</v>
      </c>
      <c r="C43" s="23">
        <v>15469888.75</v>
      </c>
      <c r="D43" s="41">
        <f t="shared" si="0"/>
        <v>0.19536387889120413</v>
      </c>
      <c r="E43" s="23">
        <v>20140882.260000005</v>
      </c>
      <c r="F43" s="41">
        <f t="shared" si="7"/>
        <v>0.25435224171244558</v>
      </c>
      <c r="G43" s="23">
        <f t="shared" si="2"/>
        <v>-4670993.5100000054</v>
      </c>
      <c r="H43" s="94">
        <f t="shared" si="3"/>
        <v>-23.191603275873589</v>
      </c>
      <c r="I43" s="23">
        <v>14772222.98</v>
      </c>
      <c r="J43" s="41">
        <f t="shared" si="4"/>
        <v>0.19803996721906186</v>
      </c>
      <c r="K43" s="23">
        <f t="shared" si="8"/>
        <v>697665.76999999955</v>
      </c>
      <c r="L43" s="94">
        <f t="shared" si="9"/>
        <v>4.722821818656314</v>
      </c>
      <c r="M43" s="72" t="s">
        <v>113</v>
      </c>
    </row>
    <row r="44" spans="1:105" ht="15" customHeight="1">
      <c r="A44" s="21">
        <v>414</v>
      </c>
      <c r="B44" s="22" t="s">
        <v>73</v>
      </c>
      <c r="C44" s="23">
        <v>32553654.940000001</v>
      </c>
      <c r="D44" s="41">
        <f t="shared" si="0"/>
        <v>0.41110885824335419</v>
      </c>
      <c r="E44" s="23">
        <v>39322099.610000014</v>
      </c>
      <c r="F44" s="41">
        <f t="shared" si="7"/>
        <v>0.49658520692050279</v>
      </c>
      <c r="G44" s="23">
        <f t="shared" si="2"/>
        <v>-6768444.670000013</v>
      </c>
      <c r="H44" s="94">
        <f t="shared" si="3"/>
        <v>-17.212826215105579</v>
      </c>
      <c r="I44" s="23">
        <v>26696553.479999997</v>
      </c>
      <c r="J44" s="41">
        <f t="shared" si="4"/>
        <v>0.3579004042383559</v>
      </c>
      <c r="K44" s="23">
        <f t="shared" si="8"/>
        <v>5857101.4600000046</v>
      </c>
      <c r="L44" s="94">
        <f t="shared" si="9"/>
        <v>21.939541613069707</v>
      </c>
      <c r="M44" s="72" t="s">
        <v>114</v>
      </c>
    </row>
    <row r="45" spans="1:105" ht="15.75" customHeight="1">
      <c r="A45" s="21">
        <v>415</v>
      </c>
      <c r="B45" s="22" t="s">
        <v>32</v>
      </c>
      <c r="C45" s="23">
        <v>12278396.860000001</v>
      </c>
      <c r="D45" s="41">
        <f t="shared" si="0"/>
        <v>0.15505963073814485</v>
      </c>
      <c r="E45" s="23">
        <v>17398104.539999999</v>
      </c>
      <c r="F45" s="41">
        <f t="shared" si="7"/>
        <v>0.21971464974426974</v>
      </c>
      <c r="G45" s="23">
        <f t="shared" si="2"/>
        <v>-5119707.6799999978</v>
      </c>
      <c r="H45" s="94">
        <f t="shared" si="3"/>
        <v>-29.426812950969875</v>
      </c>
      <c r="I45" s="23">
        <v>10192636.48</v>
      </c>
      <c r="J45" s="41">
        <f t="shared" si="4"/>
        <v>0.13664493130843697</v>
      </c>
      <c r="K45" s="23">
        <f t="shared" si="8"/>
        <v>2085760.3800000008</v>
      </c>
      <c r="L45" s="94">
        <f t="shared" si="9"/>
        <v>20.46340398868027</v>
      </c>
      <c r="M45" s="72" t="s">
        <v>115</v>
      </c>
    </row>
    <row r="46" spans="1:105" ht="15" customHeight="1">
      <c r="A46" s="21">
        <v>416</v>
      </c>
      <c r="B46" s="22" t="s">
        <v>33</v>
      </c>
      <c r="C46" s="23">
        <v>80622241.840000004</v>
      </c>
      <c r="D46" s="41">
        <f t="shared" si="0"/>
        <v>1.0181504305108291</v>
      </c>
      <c r="E46" s="23">
        <v>74835566.230000004</v>
      </c>
      <c r="F46" s="41">
        <f t="shared" si="7"/>
        <v>0.94507250400959786</v>
      </c>
      <c r="G46" s="23">
        <f t="shared" si="2"/>
        <v>5786675.6099999994</v>
      </c>
      <c r="H46" s="94">
        <f t="shared" si="3"/>
        <v>7.732520646954427</v>
      </c>
      <c r="I46" s="23">
        <v>60430995.719999991</v>
      </c>
      <c r="J46" s="41">
        <f t="shared" si="4"/>
        <v>0.81015243457989461</v>
      </c>
      <c r="K46" s="23">
        <f t="shared" si="8"/>
        <v>20191246.120000012</v>
      </c>
      <c r="L46" s="94">
        <f t="shared" si="9"/>
        <v>33.412069219500893</v>
      </c>
      <c r="M46" s="72" t="s">
        <v>116</v>
      </c>
    </row>
    <row r="47" spans="1:105" ht="15" customHeight="1">
      <c r="A47" s="21">
        <v>417</v>
      </c>
      <c r="B47" s="22" t="s">
        <v>34</v>
      </c>
      <c r="C47" s="23">
        <v>5353350.4899999993</v>
      </c>
      <c r="D47" s="41">
        <f t="shared" si="0"/>
        <v>6.7605613310601748E-2</v>
      </c>
      <c r="E47" s="23">
        <v>6685437.4900000021</v>
      </c>
      <c r="F47" s="41">
        <f t="shared" si="7"/>
        <v>8.442807968680939E-2</v>
      </c>
      <c r="G47" s="23">
        <f t="shared" si="2"/>
        <v>-1332087.0000000028</v>
      </c>
      <c r="H47" s="94">
        <f t="shared" si="3"/>
        <v>-19.925203129825434</v>
      </c>
      <c r="I47" s="23">
        <v>5360782.8600000013</v>
      </c>
      <c r="J47" s="41">
        <f t="shared" si="4"/>
        <v>7.1867941832469473E-2</v>
      </c>
      <c r="K47" s="23">
        <f t="shared" si="8"/>
        <v>-7432.3700000019744</v>
      </c>
      <c r="L47" s="94">
        <f t="shared" si="9"/>
        <v>-0.13864336971116131</v>
      </c>
      <c r="M47" s="72" t="s">
        <v>117</v>
      </c>
    </row>
    <row r="48" spans="1:105" ht="15" customHeight="1">
      <c r="A48" s="21">
        <v>418</v>
      </c>
      <c r="B48" s="22" t="s">
        <v>35</v>
      </c>
      <c r="C48" s="23">
        <v>27627261.059999987</v>
      </c>
      <c r="D48" s="41">
        <f t="shared" si="0"/>
        <v>0.34889513241144138</v>
      </c>
      <c r="E48" s="23">
        <v>27753064.940000001</v>
      </c>
      <c r="F48" s="41">
        <f t="shared" si="7"/>
        <v>0.3504838661362632</v>
      </c>
      <c r="G48" s="23">
        <f t="shared" si="2"/>
        <v>-125803.88000001386</v>
      </c>
      <c r="H48" s="94">
        <f t="shared" si="3"/>
        <v>-0.45329724941008465</v>
      </c>
      <c r="I48" s="23">
        <v>25070634.649999984</v>
      </c>
      <c r="J48" s="41">
        <f t="shared" si="4"/>
        <v>0.33610294611509262</v>
      </c>
      <c r="K48" s="23">
        <f t="shared" si="8"/>
        <v>2556626.4100000039</v>
      </c>
      <c r="L48" s="94">
        <f t="shared" si="9"/>
        <v>10.197693220342956</v>
      </c>
      <c r="M48" s="72" t="s">
        <v>118</v>
      </c>
    </row>
    <row r="49" spans="1:15" ht="15" customHeight="1">
      <c r="A49" s="21">
        <v>419</v>
      </c>
      <c r="B49" s="22" t="s">
        <v>36</v>
      </c>
      <c r="C49" s="23">
        <v>30279952.259999998</v>
      </c>
      <c r="D49" s="41">
        <f t="shared" si="0"/>
        <v>0.38239505285091868</v>
      </c>
      <c r="E49" s="23">
        <v>35822308.180000007</v>
      </c>
      <c r="F49" s="41">
        <f t="shared" si="7"/>
        <v>0.45238755041990281</v>
      </c>
      <c r="G49" s="23">
        <f t="shared" si="2"/>
        <v>-5542355.9200000092</v>
      </c>
      <c r="H49" s="94">
        <f t="shared" si="3"/>
        <v>-15.471800120055818</v>
      </c>
      <c r="I49" s="23">
        <v>27034495.890000001</v>
      </c>
      <c r="J49" s="41">
        <f t="shared" si="4"/>
        <v>0.36243094130707892</v>
      </c>
      <c r="K49" s="23">
        <f t="shared" si="8"/>
        <v>3245456.3699999973</v>
      </c>
      <c r="L49" s="94">
        <f t="shared" si="9"/>
        <v>12.004871047736017</v>
      </c>
      <c r="M49" s="72" t="s">
        <v>119</v>
      </c>
    </row>
    <row r="50" spans="1:15" ht="15" customHeight="1">
      <c r="A50" s="18">
        <v>42</v>
      </c>
      <c r="B50" s="19" t="s">
        <v>37</v>
      </c>
      <c r="C50" s="20">
        <f>+SUM(C51:C55)</f>
        <v>543617947.89999998</v>
      </c>
      <c r="D50" s="40">
        <f t="shared" si="0"/>
        <v>6.8651631988381627</v>
      </c>
      <c r="E50" s="20">
        <f>+SUM(E51:E55)</f>
        <v>531403955.78000003</v>
      </c>
      <c r="F50" s="40">
        <f t="shared" si="7"/>
        <v>6.7109169133042883</v>
      </c>
      <c r="G50" s="20">
        <f t="shared" si="2"/>
        <v>12213992.119999945</v>
      </c>
      <c r="H50" s="89">
        <f t="shared" si="3"/>
        <v>2.298438313668953</v>
      </c>
      <c r="I50" s="20">
        <f>+SUM(I51:I55)</f>
        <v>483041055.71999991</v>
      </c>
      <c r="J50" s="40">
        <f t="shared" si="4"/>
        <v>6.4757643429675475</v>
      </c>
      <c r="K50" s="20">
        <f t="shared" si="8"/>
        <v>60576892.180000067</v>
      </c>
      <c r="L50" s="89">
        <f t="shared" si="9"/>
        <v>12.540733642134569</v>
      </c>
      <c r="M50" s="71" t="s">
        <v>120</v>
      </c>
    </row>
    <row r="51" spans="1:15" ht="15" customHeight="1">
      <c r="A51" s="21">
        <v>421</v>
      </c>
      <c r="B51" s="22" t="s">
        <v>38</v>
      </c>
      <c r="C51" s="107">
        <v>122579962.19000003</v>
      </c>
      <c r="D51" s="41">
        <f t="shared" si="0"/>
        <v>1.5480199809307322</v>
      </c>
      <c r="E51" s="107">
        <v>111438145.60000001</v>
      </c>
      <c r="F51" s="41">
        <f t="shared" si="7"/>
        <v>1.4073138296394521</v>
      </c>
      <c r="G51" s="23">
        <f t="shared" si="2"/>
        <v>11141816.590000018</v>
      </c>
      <c r="H51" s="94">
        <f t="shared" si="3"/>
        <v>9.9982071040492997</v>
      </c>
      <c r="I51" s="23">
        <v>104227586.47999999</v>
      </c>
      <c r="J51" s="41">
        <f t="shared" si="4"/>
        <v>1.3973000433155616</v>
      </c>
      <c r="K51" s="23">
        <f t="shared" si="8"/>
        <v>18352375.710000038</v>
      </c>
      <c r="L51" s="94">
        <f t="shared" si="9"/>
        <v>17.607983001238964</v>
      </c>
      <c r="M51" s="72" t="s">
        <v>121</v>
      </c>
    </row>
    <row r="52" spans="1:15" ht="15" customHeight="1">
      <c r="A52" s="21">
        <v>422</v>
      </c>
      <c r="B52" s="22" t="s">
        <v>39</v>
      </c>
      <c r="C52" s="23">
        <v>10680906.48</v>
      </c>
      <c r="D52" s="41">
        <f t="shared" si="0"/>
        <v>0.13488547679484753</v>
      </c>
      <c r="E52" s="23">
        <v>13457750.880000003</v>
      </c>
      <c r="F52" s="41">
        <f t="shared" si="7"/>
        <v>0.16995328509187349</v>
      </c>
      <c r="G52" s="23">
        <f t="shared" si="2"/>
        <v>-2776844.4000000022</v>
      </c>
      <c r="H52" s="94">
        <f t="shared" si="3"/>
        <v>-20.633792561331774</v>
      </c>
      <c r="I52" s="23">
        <v>9578144.4299999997</v>
      </c>
      <c r="J52" s="41">
        <f t="shared" si="4"/>
        <v>0.12840690338243457</v>
      </c>
      <c r="K52" s="23">
        <f t="shared" si="8"/>
        <v>1102762.0500000007</v>
      </c>
      <c r="L52" s="94">
        <f t="shared" si="9"/>
        <v>11.513316154912062</v>
      </c>
      <c r="M52" s="72" t="s">
        <v>122</v>
      </c>
    </row>
    <row r="53" spans="1:15">
      <c r="A53" s="21">
        <v>423</v>
      </c>
      <c r="B53" s="22" t="s">
        <v>40</v>
      </c>
      <c r="C53" s="107">
        <v>392143816.5999999</v>
      </c>
      <c r="D53" s="41">
        <f t="shared" si="0"/>
        <v>4.9522487415545857</v>
      </c>
      <c r="E53" s="107">
        <v>387543955.89999998</v>
      </c>
      <c r="F53" s="41">
        <f t="shared" si="7"/>
        <v>4.8941586904085366</v>
      </c>
      <c r="G53" s="23">
        <f t="shared" si="2"/>
        <v>4599860.6999999285</v>
      </c>
      <c r="H53" s="94">
        <f t="shared" si="3"/>
        <v>1.1869261873321193</v>
      </c>
      <c r="I53" s="23">
        <v>355504273.29999995</v>
      </c>
      <c r="J53" s="41">
        <f t="shared" si="4"/>
        <v>4.7659756237018565</v>
      </c>
      <c r="K53" s="23">
        <f t="shared" si="8"/>
        <v>36639543.299999952</v>
      </c>
      <c r="L53" s="94">
        <f t="shared" si="9"/>
        <v>10.306358052996131</v>
      </c>
      <c r="M53" s="72" t="s">
        <v>123</v>
      </c>
    </row>
    <row r="54" spans="1:15" ht="15" customHeight="1">
      <c r="A54" s="21">
        <v>424</v>
      </c>
      <c r="B54" s="22" t="s">
        <v>41</v>
      </c>
      <c r="C54" s="23">
        <v>10798063.800000001</v>
      </c>
      <c r="D54" s="41">
        <f t="shared" si="0"/>
        <v>0.1363650161015344</v>
      </c>
      <c r="E54" s="23">
        <v>11271252.350000001</v>
      </c>
      <c r="F54" s="41">
        <f t="shared" si="7"/>
        <v>0.14234075077350511</v>
      </c>
      <c r="G54" s="23">
        <f t="shared" si="2"/>
        <v>-473188.55000000075</v>
      </c>
      <c r="H54" s="94">
        <f t="shared" si="3"/>
        <v>-4.1981896536989609</v>
      </c>
      <c r="I54" s="23">
        <v>6281315.1699999999</v>
      </c>
      <c r="J54" s="41">
        <f t="shared" si="4"/>
        <v>8.4208818946449174E-2</v>
      </c>
      <c r="K54" s="23">
        <f t="shared" si="8"/>
        <v>4516748.6300000008</v>
      </c>
      <c r="L54" s="94">
        <f t="shared" si="9"/>
        <v>71.907689834961758</v>
      </c>
      <c r="M54" s="72" t="s">
        <v>124</v>
      </c>
    </row>
    <row r="55" spans="1:15" ht="15" customHeight="1">
      <c r="A55" s="21">
        <v>425</v>
      </c>
      <c r="B55" s="22" t="s">
        <v>42</v>
      </c>
      <c r="C55" s="23">
        <v>7415198.8300000001</v>
      </c>
      <c r="D55" s="41">
        <f t="shared" si="0"/>
        <v>9.3643983456462715E-2</v>
      </c>
      <c r="E55" s="23">
        <v>7692851.0500000007</v>
      </c>
      <c r="F55" s="41">
        <f t="shared" si="7"/>
        <v>9.7150357390920011E-2</v>
      </c>
      <c r="G55" s="23">
        <f t="shared" si="2"/>
        <v>-277652.22000000067</v>
      </c>
      <c r="H55" s="94">
        <f t="shared" si="3"/>
        <v>-3.6092239170547913</v>
      </c>
      <c r="I55" s="23">
        <v>7449736.3399999999</v>
      </c>
      <c r="J55" s="41">
        <f t="shared" si="4"/>
        <v>9.9872953621246638E-2</v>
      </c>
      <c r="K55" s="23">
        <f t="shared" si="8"/>
        <v>-34537.509999999776</v>
      </c>
      <c r="L55" s="94">
        <f t="shared" si="9"/>
        <v>-0.4636071455919506</v>
      </c>
      <c r="M55" s="72" t="s">
        <v>125</v>
      </c>
      <c r="O55" s="78"/>
    </row>
    <row r="56" spans="1:15" ht="15" customHeight="1">
      <c r="A56" s="18">
        <v>43</v>
      </c>
      <c r="B56" s="77" t="s">
        <v>43</v>
      </c>
      <c r="C56" s="20">
        <v>203126821.40000004</v>
      </c>
      <c r="D56" s="40">
        <f t="shared" si="0"/>
        <v>2.5652184302582564</v>
      </c>
      <c r="E56" s="20">
        <v>211623792.93000001</v>
      </c>
      <c r="F56" s="40">
        <f t="shared" si="7"/>
        <v>2.6725237473006249</v>
      </c>
      <c r="G56" s="20">
        <f t="shared" si="2"/>
        <v>-8496971.5299999714</v>
      </c>
      <c r="H56" s="89">
        <f t="shared" si="3"/>
        <v>-4.0151305353507922</v>
      </c>
      <c r="I56" s="20">
        <v>176258567.12</v>
      </c>
      <c r="J56" s="40">
        <f t="shared" si="4"/>
        <v>2.3629646602128132</v>
      </c>
      <c r="K56" s="20">
        <f t="shared" si="8"/>
        <v>26868254.280000031</v>
      </c>
      <c r="L56" s="89">
        <f t="shared" si="9"/>
        <v>15.243658631190186</v>
      </c>
      <c r="M56" s="71" t="s">
        <v>126</v>
      </c>
    </row>
    <row r="57" spans="1:15" ht="15" customHeight="1">
      <c r="A57" s="18">
        <v>44</v>
      </c>
      <c r="B57" s="19" t="s">
        <v>64</v>
      </c>
      <c r="C57" s="20">
        <v>106255928.94000001</v>
      </c>
      <c r="D57" s="40">
        <f t="shared" si="0"/>
        <v>1.3418694063269561</v>
      </c>
      <c r="E57" s="20">
        <v>97956898.99000001</v>
      </c>
      <c r="F57" s="40">
        <f t="shared" si="7"/>
        <v>1.2370638250931365</v>
      </c>
      <c r="G57" s="20">
        <f t="shared" si="2"/>
        <v>8299029.950000003</v>
      </c>
      <c r="H57" s="89">
        <f t="shared" si="3"/>
        <v>8.4721240010335634</v>
      </c>
      <c r="I57" s="20">
        <v>77800578.900000006</v>
      </c>
      <c r="J57" s="40">
        <f t="shared" si="4"/>
        <v>1.0430132361148556</v>
      </c>
      <c r="K57" s="20">
        <f t="shared" si="8"/>
        <v>28455350.040000007</v>
      </c>
      <c r="L57" s="89">
        <f t="shared" si="9"/>
        <v>36.574727903470659</v>
      </c>
      <c r="M57" s="71" t="s">
        <v>127</v>
      </c>
    </row>
    <row r="58" spans="1:15" ht="15" customHeight="1">
      <c r="A58" s="18">
        <v>45</v>
      </c>
      <c r="B58" s="19" t="s">
        <v>44</v>
      </c>
      <c r="C58" s="20">
        <v>0</v>
      </c>
      <c r="D58" s="40">
        <f t="shared" si="0"/>
        <v>0</v>
      </c>
      <c r="E58" s="20">
        <v>0</v>
      </c>
      <c r="F58" s="40">
        <f t="shared" si="7"/>
        <v>0</v>
      </c>
      <c r="G58" s="20">
        <f t="shared" si="2"/>
        <v>0</v>
      </c>
      <c r="H58" s="89">
        <f>+IFERROR(C58/E58*100-100,0)</f>
        <v>0</v>
      </c>
      <c r="I58" s="20">
        <v>0</v>
      </c>
      <c r="J58" s="40">
        <f t="shared" si="4"/>
        <v>0</v>
      </c>
      <c r="K58" s="20">
        <f t="shared" si="8"/>
        <v>0</v>
      </c>
      <c r="L58" s="89">
        <f>+IFERROR(C58/I58*100-100,0)</f>
        <v>0</v>
      </c>
      <c r="M58" s="71" t="s">
        <v>128</v>
      </c>
      <c r="N58" s="87"/>
    </row>
    <row r="59" spans="1:15" ht="15" customHeight="1">
      <c r="A59" s="18">
        <v>462</v>
      </c>
      <c r="B59" s="19" t="s">
        <v>45</v>
      </c>
      <c r="C59" s="20">
        <v>4062322.96</v>
      </c>
      <c r="D59" s="40">
        <f t="shared" si="0"/>
        <v>5.1301672791564057E-2</v>
      </c>
      <c r="E59" s="20">
        <v>4100001.5999999996</v>
      </c>
      <c r="F59" s="40">
        <f t="shared" si="7"/>
        <v>5.1777503315021775E-2</v>
      </c>
      <c r="G59" s="20">
        <f t="shared" si="2"/>
        <v>-37678.639999999665</v>
      </c>
      <c r="H59" s="104">
        <f t="shared" si="3"/>
        <v>-0.91899086088160686</v>
      </c>
      <c r="I59" s="20">
        <v>2301161.16</v>
      </c>
      <c r="J59" s="40">
        <f t="shared" si="4"/>
        <v>3.0849918885544631E-2</v>
      </c>
      <c r="K59" s="20">
        <f t="shared" si="8"/>
        <v>1761161.7999999998</v>
      </c>
      <c r="L59" s="89">
        <f t="shared" si="9"/>
        <v>76.533614012501403</v>
      </c>
      <c r="M59" s="71" t="s">
        <v>129</v>
      </c>
    </row>
    <row r="60" spans="1:15" ht="15" customHeight="1">
      <c r="A60" s="18">
        <v>463</v>
      </c>
      <c r="B60" s="19" t="s">
        <v>46</v>
      </c>
      <c r="C60" s="20">
        <v>10295610.48</v>
      </c>
      <c r="D60" s="40">
        <f t="shared" si="0"/>
        <v>0.13001970676264446</v>
      </c>
      <c r="E60" s="20">
        <v>14303694.739999995</v>
      </c>
      <c r="F60" s="40">
        <f t="shared" si="7"/>
        <v>0.18063641775588804</v>
      </c>
      <c r="G60" s="20">
        <f t="shared" si="2"/>
        <v>-4008084.2599999942</v>
      </c>
      <c r="H60" s="89">
        <f t="shared" si="3"/>
        <v>-28.021321293941398</v>
      </c>
      <c r="I60" s="20">
        <v>12332620.239999998</v>
      </c>
      <c r="J60" s="40">
        <f t="shared" si="4"/>
        <v>0.16533406728028813</v>
      </c>
      <c r="K60" s="20">
        <f t="shared" si="8"/>
        <v>-2037009.7599999979</v>
      </c>
      <c r="L60" s="89">
        <f t="shared" si="9"/>
        <v>-16.517250351981957</v>
      </c>
      <c r="M60" s="71" t="s">
        <v>130</v>
      </c>
    </row>
    <row r="61" spans="1:15" ht="15" customHeight="1">
      <c r="A61" s="18">
        <v>47</v>
      </c>
      <c r="B61" s="19" t="s">
        <v>47</v>
      </c>
      <c r="C61" s="20">
        <v>4587610.59</v>
      </c>
      <c r="D61" s="40">
        <f t="shared" si="0"/>
        <v>5.7935348740291721E-2</v>
      </c>
      <c r="E61" s="20">
        <v>27076800</v>
      </c>
      <c r="F61" s="40">
        <f t="shared" si="7"/>
        <v>0.34194354991475662</v>
      </c>
      <c r="G61" s="20">
        <f t="shared" si="2"/>
        <v>-22489189.41</v>
      </c>
      <c r="H61" s="89">
        <f t="shared" si="3"/>
        <v>-83.057042966672583</v>
      </c>
      <c r="I61" s="20">
        <v>14920384.25</v>
      </c>
      <c r="J61" s="40">
        <f t="shared" si="4"/>
        <v>0.2000262527695616</v>
      </c>
      <c r="K61" s="20">
        <f t="shared" si="8"/>
        <v>-10332773.66</v>
      </c>
      <c r="L61" s="89">
        <f t="shared" si="9"/>
        <v>-69.252731611117852</v>
      </c>
      <c r="M61" s="71" t="s">
        <v>131</v>
      </c>
    </row>
    <row r="62" spans="1:15" s="2" customFormat="1" ht="15" customHeight="1">
      <c r="A62" s="15"/>
      <c r="B62" s="16" t="s">
        <v>76</v>
      </c>
      <c r="C62" s="17">
        <f>+C6-C39</f>
        <v>-107138538.78000045</v>
      </c>
      <c r="D62" s="39">
        <f t="shared" si="0"/>
        <v>-1.3530155809812521</v>
      </c>
      <c r="E62" s="17">
        <f>+E6-E39</f>
        <v>-116292650.03381133</v>
      </c>
      <c r="F62" s="39">
        <f t="shared" si="7"/>
        <v>-1.4686196884992275</v>
      </c>
      <c r="G62" s="17">
        <f t="shared" si="2"/>
        <v>9154111.2538108826</v>
      </c>
      <c r="H62" s="93">
        <f t="shared" si="3"/>
        <v>-7.8716163499149729</v>
      </c>
      <c r="I62" s="17">
        <f>+I6-I39</f>
        <v>29476148.359999895</v>
      </c>
      <c r="J62" s="39">
        <f t="shared" si="4"/>
        <v>0.39516432041825184</v>
      </c>
      <c r="K62" s="17">
        <f t="shared" ref="K62" si="10">+C62-I62</f>
        <v>-136614687.14000034</v>
      </c>
      <c r="L62" s="93">
        <f t="shared" ref="L62" si="11">+C62/I62*100-100</f>
        <v>-463.4753681908827</v>
      </c>
      <c r="M62" s="80" t="s">
        <v>133</v>
      </c>
    </row>
    <row r="63" spans="1:15" ht="15" customHeight="1">
      <c r="A63" s="90"/>
      <c r="B63" s="91" t="s">
        <v>178</v>
      </c>
      <c r="C63" s="20">
        <v>0</v>
      </c>
      <c r="D63" s="40">
        <f t="shared" si="0"/>
        <v>0</v>
      </c>
      <c r="E63" s="20">
        <v>0</v>
      </c>
      <c r="F63" s="40">
        <f t="shared" si="7"/>
        <v>0</v>
      </c>
      <c r="G63" s="20">
        <f t="shared" ref="G63:G64" si="12">+C63-E63</f>
        <v>0</v>
      </c>
      <c r="H63" s="89">
        <f>+IFERROR(C63/E63*100-100,0)</f>
        <v>0</v>
      </c>
      <c r="I63" s="20">
        <v>0</v>
      </c>
      <c r="J63" s="40">
        <f t="shared" si="4"/>
        <v>0</v>
      </c>
      <c r="K63" s="20">
        <f t="shared" ref="K63:K64" si="13">+C63-I63</f>
        <v>0</v>
      </c>
      <c r="L63" s="89">
        <f>+IFERROR(C63/I63*100-100,0)</f>
        <v>0</v>
      </c>
      <c r="M63" s="71" t="s">
        <v>132</v>
      </c>
    </row>
    <row r="64" spans="1:15" s="2" customFormat="1" ht="15" customHeight="1">
      <c r="A64" s="15"/>
      <c r="B64" s="16" t="s">
        <v>58</v>
      </c>
      <c r="C64" s="17">
        <f>+C62-C63</f>
        <v>-107138538.78000045</v>
      </c>
      <c r="D64" s="39">
        <f t="shared" si="0"/>
        <v>-1.3530155809812521</v>
      </c>
      <c r="E64" s="17">
        <f>+E62-E63</f>
        <v>-116292650.03381133</v>
      </c>
      <c r="F64" s="39">
        <f t="shared" si="7"/>
        <v>-1.4686196884992275</v>
      </c>
      <c r="G64" s="17">
        <f t="shared" si="12"/>
        <v>9154111.2538108826</v>
      </c>
      <c r="H64" s="93">
        <f t="shared" ref="H64" si="14">+C64/E64*100-100</f>
        <v>-7.8716163499149729</v>
      </c>
      <c r="I64" s="17">
        <f>+I62-I63</f>
        <v>29476148.359999895</v>
      </c>
      <c r="J64" s="39">
        <f t="shared" si="4"/>
        <v>0.39516432041825184</v>
      </c>
      <c r="K64" s="17">
        <f t="shared" si="13"/>
        <v>-136614687.14000034</v>
      </c>
      <c r="L64" s="93">
        <f t="shared" ref="L64" si="15">+C64/I64*100-100</f>
        <v>-463.4753681908827</v>
      </c>
      <c r="M64" s="80" t="s">
        <v>136</v>
      </c>
    </row>
    <row r="65" spans="1:13" s="2" customFormat="1" ht="15" customHeight="1">
      <c r="A65" s="15"/>
      <c r="B65" s="16" t="s">
        <v>182</v>
      </c>
      <c r="C65" s="17">
        <f>+C64+C46</f>
        <v>-26516296.940000445</v>
      </c>
      <c r="D65" s="39">
        <f t="shared" si="0"/>
        <v>-0.33486515047042298</v>
      </c>
      <c r="E65" s="17">
        <f>+E64+E46</f>
        <v>-41457083.803811327</v>
      </c>
      <c r="F65" s="39">
        <f t="shared" si="7"/>
        <v>-0.52354718448962978</v>
      </c>
      <c r="G65" s="17">
        <f t="shared" ref="G65" si="16">+C65-E65</f>
        <v>14940786.863810882</v>
      </c>
      <c r="H65" s="93">
        <f t="shared" ref="H65" si="17">+C65/E65*100-100</f>
        <v>-36.039165066495372</v>
      </c>
      <c r="I65" s="17">
        <f>+I64+I46</f>
        <v>89907144.079999894</v>
      </c>
      <c r="J65" s="39">
        <f t="shared" si="4"/>
        <v>1.2053167549981465</v>
      </c>
      <c r="K65" s="17">
        <f t="shared" ref="K65" si="18">+C65-I65</f>
        <v>-116423441.02000034</v>
      </c>
      <c r="L65" s="93">
        <f t="shared" ref="L65" si="19">+C65/I65*100-100</f>
        <v>-129.49298102095878</v>
      </c>
      <c r="M65" s="80" t="s">
        <v>135</v>
      </c>
    </row>
    <row r="66" spans="1:13" s="2" customFormat="1" ht="15" customHeight="1">
      <c r="A66" s="15"/>
      <c r="B66" s="16" t="s">
        <v>75</v>
      </c>
      <c r="C66" s="17">
        <f>+C6-(C39-C57)</f>
        <v>-882609.84000039101</v>
      </c>
      <c r="D66" s="39">
        <f t="shared" si="0"/>
        <v>-1.1146174654295522E-2</v>
      </c>
      <c r="E66" s="17">
        <f>+E6-(E39-E57)</f>
        <v>-18335751.043811321</v>
      </c>
      <c r="F66" s="39">
        <f>+E66/$E$2*100</f>
        <v>-0.23155586340609108</v>
      </c>
      <c r="G66" s="17">
        <f>+C66-E66</f>
        <v>17453141.20381093</v>
      </c>
      <c r="H66" s="93">
        <f t="shared" ref="H66" si="20">+C66/E66*100-100</f>
        <v>-95.186399303243761</v>
      </c>
      <c r="I66" s="17">
        <f>+I6-(I39-I57)</f>
        <v>107276727.25999999</v>
      </c>
      <c r="J66" s="39">
        <f t="shared" si="4"/>
        <v>1.4381775565331087</v>
      </c>
      <c r="K66" s="17">
        <f>+C66-I66</f>
        <v>-108159337.10000038</v>
      </c>
      <c r="L66" s="93">
        <f t="shared" ref="L66" si="21">+C66/I66*100-100</f>
        <v>-100.82274120635807</v>
      </c>
      <c r="M66" s="80" t="s">
        <v>134</v>
      </c>
    </row>
    <row r="67" spans="1:13" s="2" customFormat="1" ht="15" customHeight="1">
      <c r="A67" s="15"/>
      <c r="B67" s="16" t="s">
        <v>0</v>
      </c>
      <c r="C67" s="17">
        <f>+C68+C69</f>
        <v>673656865.42000008</v>
      </c>
      <c r="D67" s="39">
        <f t="shared" si="0"/>
        <v>8.5073797489423502</v>
      </c>
      <c r="E67" s="17">
        <f>+E68+E69</f>
        <v>680622732.88999999</v>
      </c>
      <c r="F67" s="39">
        <f t="shared" si="7"/>
        <v>8.595349281934709</v>
      </c>
      <c r="G67" s="17">
        <f t="shared" ref="G67" si="22">+C67-E67</f>
        <v>-6965867.4699999094</v>
      </c>
      <c r="H67" s="93">
        <f t="shared" ref="H67" si="23">+C67/E67*100-100</f>
        <v>-1.0234550116217918</v>
      </c>
      <c r="I67" s="17">
        <f>+I68+I69</f>
        <v>307600280.00999999</v>
      </c>
      <c r="J67" s="39">
        <f t="shared" si="4"/>
        <v>4.1237631907012169</v>
      </c>
      <c r="K67" s="17">
        <f t="shared" ref="K67" si="24">+C67-I67</f>
        <v>366056585.41000009</v>
      </c>
      <c r="L67" s="93">
        <f t="shared" ref="L67" si="25">+C67/I67*100-100</f>
        <v>119.00398315570447</v>
      </c>
      <c r="M67" s="80" t="s">
        <v>137</v>
      </c>
    </row>
    <row r="68" spans="1:13">
      <c r="A68" s="21">
        <v>4611</v>
      </c>
      <c r="B68" s="22" t="s">
        <v>175</v>
      </c>
      <c r="C68" s="23">
        <v>28388127.440000005</v>
      </c>
      <c r="D68" s="41">
        <f t="shared" si="0"/>
        <v>0.35850385098187793</v>
      </c>
      <c r="E68" s="23">
        <v>28378320.579999998</v>
      </c>
      <c r="F68" s="41">
        <f t="shared" si="7"/>
        <v>0.35838000353602317</v>
      </c>
      <c r="G68" s="23">
        <f t="shared" ref="G68:G77" si="26">+C68-E68</f>
        <v>9806.8600000068545</v>
      </c>
      <c r="H68" s="94">
        <f t="shared" ref="H68:H78" si="27">+C68/E68*100-100</f>
        <v>3.4557577050264854E-2</v>
      </c>
      <c r="I68" s="23">
        <v>161676167.66</v>
      </c>
      <c r="J68" s="41">
        <f t="shared" si="4"/>
        <v>2.1674695126684274</v>
      </c>
      <c r="K68" s="23">
        <f t="shared" ref="K68:K71" si="28">+C68-I68</f>
        <v>-133288040.22</v>
      </c>
      <c r="L68" s="94">
        <f t="shared" ref="L68:L71" si="29">+C68/I68*100-100</f>
        <v>-82.441365446205182</v>
      </c>
      <c r="M68" s="72" t="s">
        <v>138</v>
      </c>
    </row>
    <row r="69" spans="1:13" ht="15" customHeight="1">
      <c r="A69" s="21">
        <v>4612</v>
      </c>
      <c r="B69" s="22" t="s">
        <v>176</v>
      </c>
      <c r="C69" s="23">
        <v>645268737.98000002</v>
      </c>
      <c r="D69" s="41">
        <f t="shared" si="0"/>
        <v>8.1488758979604725</v>
      </c>
      <c r="E69" s="23">
        <v>652244412.30999994</v>
      </c>
      <c r="F69" s="41">
        <f t="shared" si="7"/>
        <v>8.2369692783986856</v>
      </c>
      <c r="G69" s="23">
        <f t="shared" si="26"/>
        <v>-6975674.3299999237</v>
      </c>
      <c r="H69" s="94">
        <f t="shared" si="27"/>
        <v>-1.0694877868397157</v>
      </c>
      <c r="I69" s="23">
        <v>145924112.34999999</v>
      </c>
      <c r="J69" s="41">
        <f t="shared" si="4"/>
        <v>1.9562936780327895</v>
      </c>
      <c r="K69" s="23">
        <f t="shared" si="28"/>
        <v>499344625.63</v>
      </c>
      <c r="L69" s="94">
        <f t="shared" si="29"/>
        <v>342.1947323087486</v>
      </c>
      <c r="M69" s="72" t="s">
        <v>139</v>
      </c>
    </row>
    <row r="70" spans="1:13" s="2" customFormat="1" ht="15" customHeight="1">
      <c r="A70" s="81">
        <v>4418</v>
      </c>
      <c r="B70" s="16" t="s">
        <v>62</v>
      </c>
      <c r="C70" s="17">
        <v>1402866.42</v>
      </c>
      <c r="D70" s="39">
        <f t="shared" si="0"/>
        <v>1.7716315211214244E-2</v>
      </c>
      <c r="E70" s="17">
        <v>13685001.439999999</v>
      </c>
      <c r="F70" s="39">
        <f t="shared" si="7"/>
        <v>0.17282315388015407</v>
      </c>
      <c r="G70" s="17">
        <f t="shared" si="26"/>
        <v>-12282135.02</v>
      </c>
      <c r="H70" s="93">
        <f t="shared" si="27"/>
        <v>-89.748876343559957</v>
      </c>
      <c r="I70" s="17">
        <v>3266458.45</v>
      </c>
      <c r="J70" s="39">
        <f t="shared" si="4"/>
        <v>4.3790926066865236E-2</v>
      </c>
      <c r="K70" s="17">
        <f t="shared" si="28"/>
        <v>-1863592.0300000003</v>
      </c>
      <c r="L70" s="93">
        <f t="shared" si="29"/>
        <v>-57.052372118800413</v>
      </c>
      <c r="M70" s="80" t="s">
        <v>140</v>
      </c>
    </row>
    <row r="71" spans="1:13" s="2" customFormat="1" ht="15" customHeight="1">
      <c r="A71" s="81">
        <v>45</v>
      </c>
      <c r="B71" s="16" t="s">
        <v>44</v>
      </c>
      <c r="C71" s="17">
        <v>5151368.4000000004</v>
      </c>
      <c r="D71" s="39">
        <f t="shared" si="0"/>
        <v>6.5054851297594252E-2</v>
      </c>
      <c r="E71" s="17">
        <v>4620002.3999999985</v>
      </c>
      <c r="F71" s="39">
        <f t="shared" si="7"/>
        <v>5.8344413714718678E-2</v>
      </c>
      <c r="G71" s="17">
        <f t="shared" si="26"/>
        <v>531366.00000000186</v>
      </c>
      <c r="H71" s="93">
        <f t="shared" si="27"/>
        <v>11.50142259666363</v>
      </c>
      <c r="I71" s="17">
        <v>4787376.97</v>
      </c>
      <c r="J71" s="39">
        <f t="shared" si="4"/>
        <v>6.4180724829817834E-2</v>
      </c>
      <c r="K71" s="17">
        <f t="shared" si="28"/>
        <v>363991.43000000063</v>
      </c>
      <c r="L71" s="93">
        <f t="shared" si="29"/>
        <v>7.6031495384830947</v>
      </c>
      <c r="M71" s="80" t="s">
        <v>107</v>
      </c>
    </row>
    <row r="72" spans="1:13" s="2" customFormat="1" ht="15" customHeight="1">
      <c r="A72" s="15"/>
      <c r="B72" s="16" t="s">
        <v>53</v>
      </c>
      <c r="C72" s="17">
        <f>+C64-C67-C70-C71</f>
        <v>-787349639.02000046</v>
      </c>
      <c r="D72" s="39">
        <f t="shared" si="0"/>
        <v>-9.9431664964324113</v>
      </c>
      <c r="E72" s="17">
        <f>+E64-E67-E70-E71</f>
        <v>-815220386.76381135</v>
      </c>
      <c r="F72" s="39">
        <f t="shared" si="7"/>
        <v>-10.29513653802881</v>
      </c>
      <c r="G72" s="17">
        <f t="shared" si="26"/>
        <v>27870747.743810892</v>
      </c>
      <c r="H72" s="93">
        <f t="shared" si="27"/>
        <v>-3.4187991611016599</v>
      </c>
      <c r="I72" s="17">
        <f>+I64-I67-I70-I71</f>
        <v>-286177967.07000011</v>
      </c>
      <c r="J72" s="39">
        <f t="shared" si="4"/>
        <v>-3.8365705211796488</v>
      </c>
      <c r="K72" s="17">
        <f t="shared" ref="K72:K78" si="30">+C72-I72</f>
        <v>-501171671.95000035</v>
      </c>
      <c r="L72" s="93">
        <f t="shared" ref="L72:L78" si="31">+C72/I72*100-100</f>
        <v>175.12587606977166</v>
      </c>
      <c r="M72" s="80" t="s">
        <v>141</v>
      </c>
    </row>
    <row r="73" spans="1:13" s="2" customFormat="1" ht="15" customHeight="1">
      <c r="A73" s="15"/>
      <c r="B73" s="16" t="s">
        <v>48</v>
      </c>
      <c r="C73" s="17">
        <f>SUM(C74:C78)+C63</f>
        <v>787349639.02000046</v>
      </c>
      <c r="D73" s="39">
        <f t="shared" ref="D73:D78" si="32">+C73/$C$2*100</f>
        <v>9.9431664964324113</v>
      </c>
      <c r="E73" s="17">
        <f>SUM(E74:E78)+E63</f>
        <v>815220386.76381135</v>
      </c>
      <c r="F73" s="39">
        <f t="shared" si="7"/>
        <v>10.29513653802881</v>
      </c>
      <c r="G73" s="17">
        <f t="shared" si="26"/>
        <v>-27870747.743810892</v>
      </c>
      <c r="H73" s="93">
        <f t="shared" si="27"/>
        <v>-3.4187991611016599</v>
      </c>
      <c r="I73" s="17">
        <f>SUM(I74:I78)+I63</f>
        <v>286177967.07000011</v>
      </c>
      <c r="J73" s="39">
        <f t="shared" ref="J73:J78" si="33">+I73/$I$2*100</f>
        <v>3.8365705211796488</v>
      </c>
      <c r="K73" s="17">
        <f t="shared" si="30"/>
        <v>501171671.95000035</v>
      </c>
      <c r="L73" s="93">
        <f t="shared" si="31"/>
        <v>175.12587606977166</v>
      </c>
      <c r="M73" s="80" t="s">
        <v>142</v>
      </c>
    </row>
    <row r="74" spans="1:13">
      <c r="A74" s="21">
        <v>7511</v>
      </c>
      <c r="B74" s="22" t="s">
        <v>54</v>
      </c>
      <c r="C74" s="23">
        <v>6127675</v>
      </c>
      <c r="D74" s="41">
        <f t="shared" si="32"/>
        <v>7.7384289953905408E-2</v>
      </c>
      <c r="E74" s="23">
        <v>35014118.590000004</v>
      </c>
      <c r="F74" s="41">
        <f t="shared" si="7"/>
        <v>0.44218120338447942</v>
      </c>
      <c r="G74" s="23">
        <f t="shared" si="26"/>
        <v>-28886443.590000004</v>
      </c>
      <c r="H74" s="94">
        <f>IFERROR(+C74/E74*100-100,0)</f>
        <v>-82.499416673164362</v>
      </c>
      <c r="I74" s="23">
        <v>0</v>
      </c>
      <c r="J74" s="41">
        <f t="shared" si="33"/>
        <v>0</v>
      </c>
      <c r="K74" s="23">
        <f t="shared" si="30"/>
        <v>6127675</v>
      </c>
      <c r="L74" s="94">
        <f>+IFERROR(C74/I74*100-100,0)</f>
        <v>0</v>
      </c>
      <c r="M74" s="72" t="s">
        <v>143</v>
      </c>
    </row>
    <row r="75" spans="1:13" ht="15" customHeight="1">
      <c r="A75" s="21">
        <v>7512</v>
      </c>
      <c r="B75" s="22" t="s">
        <v>49</v>
      </c>
      <c r="C75" s="23">
        <v>918089730.98000014</v>
      </c>
      <c r="D75" s="41">
        <f t="shared" si="32"/>
        <v>11.594237936225298</v>
      </c>
      <c r="E75" s="23">
        <v>850000000</v>
      </c>
      <c r="F75" s="41">
        <f t="shared" si="7"/>
        <v>10.734356254341099</v>
      </c>
      <c r="G75" s="23">
        <f t="shared" si="26"/>
        <v>68089730.980000138</v>
      </c>
      <c r="H75" s="94">
        <f>+IFERROR(C75/E75*100-100,0)</f>
        <v>8.0105565858823695</v>
      </c>
      <c r="I75" s="23">
        <v>694454564.06999993</v>
      </c>
      <c r="J75" s="41">
        <f t="shared" si="33"/>
        <v>9.3100245839608</v>
      </c>
      <c r="K75" s="23">
        <f t="shared" si="30"/>
        <v>223635166.91000021</v>
      </c>
      <c r="L75" s="94">
        <f t="shared" si="31"/>
        <v>32.202994764601783</v>
      </c>
      <c r="M75" s="72" t="s">
        <v>144</v>
      </c>
    </row>
    <row r="76" spans="1:13" ht="15" customHeight="1">
      <c r="A76" s="18">
        <v>72</v>
      </c>
      <c r="B76" s="19" t="s">
        <v>168</v>
      </c>
      <c r="C76" s="20">
        <v>924273.90999999992</v>
      </c>
      <c r="D76" s="40">
        <f t="shared" si="32"/>
        <v>1.1672335795920943E-2</v>
      </c>
      <c r="E76" s="20">
        <v>3000000</v>
      </c>
      <c r="F76" s="40">
        <f t="shared" si="7"/>
        <v>3.7885963250615648E-2</v>
      </c>
      <c r="G76" s="20">
        <f t="shared" si="26"/>
        <v>-2075726.09</v>
      </c>
      <c r="H76" s="89">
        <f t="shared" si="27"/>
        <v>-69.190869666666671</v>
      </c>
      <c r="I76" s="20">
        <v>276973.7</v>
      </c>
      <c r="J76" s="40">
        <f t="shared" si="33"/>
        <v>3.7131759074315214E-3</v>
      </c>
      <c r="K76" s="20">
        <f t="shared" si="30"/>
        <v>647300.21</v>
      </c>
      <c r="L76" s="89">
        <f t="shared" si="31"/>
        <v>233.70457556078424</v>
      </c>
      <c r="M76" s="71" t="s">
        <v>145</v>
      </c>
    </row>
    <row r="77" spans="1:13" ht="15" customHeight="1">
      <c r="A77" s="28">
        <v>73</v>
      </c>
      <c r="B77" s="29" t="s">
        <v>183</v>
      </c>
      <c r="C77" s="30">
        <v>9554711.6499999985</v>
      </c>
      <c r="D77" s="40">
        <f t="shared" si="32"/>
        <v>0.1206631514807097</v>
      </c>
      <c r="E77" s="30">
        <v>3726463.6537240706</v>
      </c>
      <c r="F77" s="40">
        <f t="shared" si="7"/>
        <v>4.7060221679915019E-2</v>
      </c>
      <c r="G77" s="20">
        <f t="shared" si="26"/>
        <v>5828247.9962759279</v>
      </c>
      <c r="H77" s="89">
        <f t="shared" si="27"/>
        <v>156.40157902657717</v>
      </c>
      <c r="I77" s="30">
        <v>5399350.8600000003</v>
      </c>
      <c r="J77" s="40">
        <f>+I77/$I$2*100</f>
        <v>7.2384993698396877E-2</v>
      </c>
      <c r="K77" s="20">
        <f t="shared" si="30"/>
        <v>4155360.7899999982</v>
      </c>
      <c r="L77" s="89">
        <f t="shared" si="31"/>
        <v>76.960377233199438</v>
      </c>
      <c r="M77" s="71" t="s">
        <v>107</v>
      </c>
    </row>
    <row r="78" spans="1:13" ht="15" customHeight="1" thickBot="1">
      <c r="A78" s="24"/>
      <c r="B78" s="25" t="s">
        <v>190</v>
      </c>
      <c r="C78" s="26">
        <f>+-C72-(SUM(C74:C77)+C63)</f>
        <v>-147346752.51999962</v>
      </c>
      <c r="D78" s="42">
        <f t="shared" si="32"/>
        <v>-1.8607912170234213</v>
      </c>
      <c r="E78" s="26">
        <f>+-E72-(SUM(E74:E77)+E63)</f>
        <v>-76520195.479912758</v>
      </c>
      <c r="F78" s="42">
        <f t="shared" si="7"/>
        <v>-0.96634710462730011</v>
      </c>
      <c r="G78" s="26">
        <f>+C78-E78</f>
        <v>-70826557.040086865</v>
      </c>
      <c r="H78" s="95">
        <f t="shared" si="27"/>
        <v>92.559299667078704</v>
      </c>
      <c r="I78" s="26">
        <f t="shared" ref="I78" si="34">-I72-SUM(I74:I77)</f>
        <v>-413952921.55999988</v>
      </c>
      <c r="J78" s="42">
        <f t="shared" si="33"/>
        <v>-5.549552232386981</v>
      </c>
      <c r="K78" s="26">
        <f t="shared" si="30"/>
        <v>266606169.04000026</v>
      </c>
      <c r="L78" s="95">
        <f t="shared" si="31"/>
        <v>-64.404949247678488</v>
      </c>
      <c r="M78" s="75" t="s">
        <v>146</v>
      </c>
    </row>
    <row r="79" spans="1:13" ht="13.5" customHeight="1"/>
    <row r="81" spans="2:9">
      <c r="B81" s="4" t="s">
        <v>191</v>
      </c>
    </row>
    <row r="82" spans="2:9">
      <c r="B82" s="4" t="s">
        <v>193</v>
      </c>
      <c r="I82" s="7"/>
    </row>
  </sheetData>
  <sheetProtection algorithmName="SHA-512" hashValue="ROpmmqS7UBn/p0apvaujt4YFXOa2IdHkPFP1R2S2z+XUdsERHU6vsrA+jxYoeKbIGOPzmPSXIGFRVN80H1NbLQ==" saltValue="1l+Eqhgr119HI9EQnzdclg==" spinCount="100000" sheet="1" sort="0" autoFilter="0"/>
  <mergeCells count="11">
    <mergeCell ref="A4:A5"/>
    <mergeCell ref="K4:L4"/>
    <mergeCell ref="C4:D4"/>
    <mergeCell ref="E4:F4"/>
    <mergeCell ref="G4:H4"/>
    <mergeCell ref="I4:J4"/>
    <mergeCell ref="C2:D2"/>
    <mergeCell ref="I2:J2"/>
    <mergeCell ref="E2:F2"/>
    <mergeCell ref="M4:M5"/>
    <mergeCell ref="B4:B5"/>
  </mergeCells>
  <printOptions horizontalCentered="1" verticalCentered="1"/>
  <pageMargins left="0" right="0" top="0.196850393700787" bottom="0.196850393700787" header="0" footer="0"/>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B80"/>
  <sheetViews>
    <sheetView zoomScale="90" zoomScaleNormal="90" zoomScaleSheetLayoutView="90" workbookViewId="0">
      <pane ySplit="5" topLeftCell="A6" activePane="bottomLeft" state="frozen"/>
      <selection activeCell="G14" sqref="G14"/>
      <selection pane="bottomLeft" activeCell="F41" sqref="F41"/>
    </sheetView>
  </sheetViews>
  <sheetFormatPr defaultColWidth="9.140625" defaultRowHeight="13.5"/>
  <cols>
    <col min="1" max="1" width="13.140625" style="4" customWidth="1"/>
    <col min="2" max="2" width="63.7109375" style="4" customWidth="1"/>
    <col min="3" max="3" width="9.140625" style="6" customWidth="1"/>
    <col min="4" max="4" width="9.140625" style="4" customWidth="1"/>
    <col min="5" max="5" width="9.140625" style="6" customWidth="1"/>
    <col min="6" max="6" width="10" style="7" customWidth="1"/>
    <col min="7" max="7" width="11.42578125" style="6" customWidth="1"/>
    <col min="8" max="8" width="10.42578125" style="96" customWidth="1"/>
    <col min="9" max="9" width="9.140625" style="6" customWidth="1"/>
    <col min="10" max="10" width="10.42578125" style="7" customWidth="1"/>
    <col min="11" max="11" width="11.140625" style="6" customWidth="1"/>
    <col min="12" max="12" width="11.7109375" style="96" customWidth="1"/>
    <col min="13" max="13" width="54.42578125" style="4" customWidth="1"/>
    <col min="14" max="16384" width="9.140625" style="1"/>
  </cols>
  <sheetData>
    <row r="1" spans="1:16382" ht="18.75" customHeight="1" thickBot="1">
      <c r="B1" s="5"/>
      <c r="M1" s="5"/>
    </row>
    <row r="2" spans="1:16382" ht="15.75" customHeight="1" thickBot="1">
      <c r="A2" s="8" t="s">
        <v>57</v>
      </c>
      <c r="B2" s="8"/>
      <c r="C2" s="126">
        <f>+'Centralna država-ek klas'!C2:D2</f>
        <v>7918500000</v>
      </c>
      <c r="D2" s="127"/>
      <c r="E2" s="126">
        <f>+'Centralna država-ek klas'!E2:F2</f>
        <v>7918500000</v>
      </c>
      <c r="F2" s="127"/>
      <c r="G2" s="9"/>
      <c r="H2" s="97"/>
      <c r="I2" s="126">
        <f>+'Centralna država-ek klas'!I2:J2</f>
        <v>7459213000</v>
      </c>
      <c r="J2" s="127"/>
      <c r="K2" s="9"/>
      <c r="L2" s="97"/>
      <c r="M2" s="8" t="s">
        <v>77</v>
      </c>
    </row>
    <row r="3" spans="1:16382" ht="15" customHeight="1" thickBot="1">
      <c r="A3" s="8"/>
      <c r="B3" s="8"/>
      <c r="C3" s="11"/>
      <c r="D3" s="8"/>
      <c r="E3" s="11"/>
      <c r="F3" s="10"/>
      <c r="G3" s="11"/>
      <c r="H3" s="97"/>
      <c r="I3" s="11"/>
      <c r="J3" s="10"/>
      <c r="K3" s="11"/>
      <c r="L3" s="97"/>
      <c r="M3" s="8"/>
    </row>
    <row r="4" spans="1:16382" ht="15" customHeight="1">
      <c r="A4" s="118" t="s">
        <v>69</v>
      </c>
      <c r="B4" s="116" t="s">
        <v>70</v>
      </c>
      <c r="C4" s="122" t="s">
        <v>187</v>
      </c>
      <c r="D4" s="123"/>
      <c r="E4" s="124" t="s">
        <v>188</v>
      </c>
      <c r="F4" s="125"/>
      <c r="G4" s="120" t="s">
        <v>167</v>
      </c>
      <c r="H4" s="121"/>
      <c r="I4" s="120" t="s">
        <v>189</v>
      </c>
      <c r="J4" s="121"/>
      <c r="K4" s="120" t="s">
        <v>167</v>
      </c>
      <c r="L4" s="121"/>
      <c r="M4" s="114" t="s">
        <v>147</v>
      </c>
    </row>
    <row r="5" spans="1:16382" ht="23.25" customHeight="1">
      <c r="A5" s="119"/>
      <c r="B5" s="117"/>
      <c r="C5" s="12" t="s">
        <v>60</v>
      </c>
      <c r="D5" s="13" t="s">
        <v>55</v>
      </c>
      <c r="E5" s="12" t="s">
        <v>60</v>
      </c>
      <c r="F5" s="13" t="s">
        <v>55</v>
      </c>
      <c r="G5" s="12" t="s">
        <v>63</v>
      </c>
      <c r="H5" s="98" t="s">
        <v>61</v>
      </c>
      <c r="I5" s="12" t="s">
        <v>60</v>
      </c>
      <c r="J5" s="14" t="s">
        <v>55</v>
      </c>
      <c r="K5" s="12" t="s">
        <v>60</v>
      </c>
      <c r="L5" s="100" t="s">
        <v>61</v>
      </c>
      <c r="M5" s="115"/>
    </row>
    <row r="6" spans="1:16382" s="34" customFormat="1" ht="15" customHeight="1">
      <c r="A6" s="31"/>
      <c r="B6" s="32" t="s">
        <v>50</v>
      </c>
      <c r="C6" s="33">
        <f>+C7+C12+C19+C30+C35+C36</f>
        <v>194955495.88690898</v>
      </c>
      <c r="D6" s="43">
        <f>+C6/$C$2*100</f>
        <v>2.4620255842256613</v>
      </c>
      <c r="E6" s="33">
        <f>+E7+E12+E19+E30+E35+E36</f>
        <v>203303306.00540003</v>
      </c>
      <c r="F6" s="43">
        <f t="shared" ref="F6:F62" si="0">+E6/$E$2*100</f>
        <v>2.5674471933497509</v>
      </c>
      <c r="G6" s="33">
        <f>+C6-E6</f>
        <v>-8347810.1184910536</v>
      </c>
      <c r="H6" s="99">
        <f>+C6/E6*100-100</f>
        <v>-4.1060867540783192</v>
      </c>
      <c r="I6" s="33">
        <f>+I7+I12+I19+I30+I35+I36</f>
        <v>188361388.484</v>
      </c>
      <c r="J6" s="43">
        <f>+I6/$I$2*100</f>
        <v>2.5252179886001378</v>
      </c>
      <c r="K6" s="33">
        <f>+C6-I6</f>
        <v>6594107.4029089808</v>
      </c>
      <c r="L6" s="99">
        <f>+C6/I6*100-100</f>
        <v>3.5007744718706419</v>
      </c>
      <c r="M6" s="70" t="s">
        <v>148</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row>
    <row r="7" spans="1:16382" ht="15" customHeight="1">
      <c r="A7" s="18">
        <v>711</v>
      </c>
      <c r="B7" s="19" t="s">
        <v>1</v>
      </c>
      <c r="C7" s="20">
        <f>+SUM(C8:C11)</f>
        <v>114001867.139</v>
      </c>
      <c r="D7" s="40">
        <f t="shared" ref="D7:D66" si="1">+C7/$C$2*100</f>
        <v>1.4396901829765738</v>
      </c>
      <c r="E7" s="20">
        <f>+SUM(E8:E11)</f>
        <v>113204526.89590001</v>
      </c>
      <c r="F7" s="40">
        <f t="shared" si="0"/>
        <v>1.4296208485937993</v>
      </c>
      <c r="G7" s="20">
        <f t="shared" ref="G7:G65" si="2">+C7-E7</f>
        <v>797340.24309998751</v>
      </c>
      <c r="H7" s="89">
        <f t="shared" ref="H7:H62" si="3">+C7/E7*100-100</f>
        <v>0.70433600577935351</v>
      </c>
      <c r="I7" s="20">
        <f>+SUM(I8:I11)</f>
        <v>96148213.114000008</v>
      </c>
      <c r="J7" s="40">
        <f t="shared" ref="J7:J66" si="4">+I7/$I$2*100</f>
        <v>1.2889860245846312</v>
      </c>
      <c r="K7" s="20">
        <f>+C7-I7</f>
        <v>17853654.024999991</v>
      </c>
      <c r="L7" s="89">
        <f t="shared" ref="L7:L62" si="5">+C7/I7*100-100</f>
        <v>18.568888018575507</v>
      </c>
      <c r="M7" s="71" t="s">
        <v>78</v>
      </c>
    </row>
    <row r="8" spans="1:16382" ht="15" customHeight="1">
      <c r="A8" s="21">
        <v>7111</v>
      </c>
      <c r="B8" s="22" t="s">
        <v>2</v>
      </c>
      <c r="C8" s="23">
        <v>54535176.129999995</v>
      </c>
      <c r="D8" s="41">
        <f t="shared" si="1"/>
        <v>0.68870589290901052</v>
      </c>
      <c r="E8" s="23">
        <v>54304502.886</v>
      </c>
      <c r="F8" s="41">
        <f t="shared" si="0"/>
        <v>0.6857928002273157</v>
      </c>
      <c r="G8" s="23">
        <f t="shared" si="2"/>
        <v>230673.24399999529</v>
      </c>
      <c r="H8" s="94">
        <f t="shared" si="3"/>
        <v>0.42477737892978951</v>
      </c>
      <c r="I8" s="23">
        <v>46111913.359999999</v>
      </c>
      <c r="J8" s="41">
        <f t="shared" si="4"/>
        <v>0.6181873792851873</v>
      </c>
      <c r="K8" s="23">
        <f t="shared" ref="K8:K65" si="6">+C8-I8</f>
        <v>8423262.7699999958</v>
      </c>
      <c r="L8" s="94">
        <f t="shared" si="5"/>
        <v>18.266999038271962</v>
      </c>
      <c r="M8" s="72" t="s">
        <v>79</v>
      </c>
    </row>
    <row r="9" spans="1:16382" ht="15" customHeight="1">
      <c r="A9" s="21">
        <v>71131</v>
      </c>
      <c r="B9" s="22" t="s">
        <v>65</v>
      </c>
      <c r="C9" s="23">
        <v>30670421.960000005</v>
      </c>
      <c r="D9" s="41">
        <f t="shared" si="1"/>
        <v>0.38732615975247842</v>
      </c>
      <c r="E9" s="23">
        <v>30998872.417400002</v>
      </c>
      <c r="F9" s="41">
        <f t="shared" si="0"/>
        <v>0.39147404707204653</v>
      </c>
      <c r="G9" s="23">
        <f t="shared" ref="G9" si="7">+C9-E9</f>
        <v>-328450.45739999786</v>
      </c>
      <c r="H9" s="94">
        <f t="shared" ref="H9" si="8">+C9/E9*100-100</f>
        <v>-1.059556144421677</v>
      </c>
      <c r="I9" s="23">
        <v>27190934.814000007</v>
      </c>
      <c r="J9" s="41">
        <f t="shared" ref="J9" si="9">+I9/$I$2*100</f>
        <v>0.36452819907408474</v>
      </c>
      <c r="K9" s="23">
        <f t="shared" ref="K9" si="10">+C9-I9</f>
        <v>3479487.1459999979</v>
      </c>
      <c r="L9" s="94">
        <f t="shared" ref="L9" si="11">+C9/I9*100-100</f>
        <v>12.796496956803736</v>
      </c>
      <c r="M9" s="72" t="s">
        <v>149</v>
      </c>
    </row>
    <row r="10" spans="1:16382" ht="15" customHeight="1">
      <c r="A10" s="21">
        <v>71132</v>
      </c>
      <c r="B10" s="22" t="s">
        <v>4</v>
      </c>
      <c r="C10" s="23">
        <v>14920822.940000003</v>
      </c>
      <c r="D10" s="41">
        <f t="shared" si="1"/>
        <v>0.18842991652459434</v>
      </c>
      <c r="E10" s="23">
        <v>13690258.1899</v>
      </c>
      <c r="F10" s="41">
        <f t="shared" si="0"/>
        <v>0.1728895395579971</v>
      </c>
      <c r="G10" s="23">
        <f t="shared" si="2"/>
        <v>1230564.7501000036</v>
      </c>
      <c r="H10" s="94">
        <f t="shared" si="3"/>
        <v>8.9886160876633738</v>
      </c>
      <c r="I10" s="23">
        <v>11491232.710000001</v>
      </c>
      <c r="J10" s="41">
        <f t="shared" si="4"/>
        <v>0.15405422408503419</v>
      </c>
      <c r="K10" s="23">
        <f t="shared" si="6"/>
        <v>3429590.2300000023</v>
      </c>
      <c r="L10" s="94">
        <f t="shared" si="5"/>
        <v>29.84527697377041</v>
      </c>
      <c r="M10" s="72" t="s">
        <v>81</v>
      </c>
    </row>
    <row r="11" spans="1:16382" ht="15" customHeight="1">
      <c r="A11" s="106" t="s">
        <v>185</v>
      </c>
      <c r="B11" s="22" t="s">
        <v>186</v>
      </c>
      <c r="C11" s="23">
        <v>13875446.109000001</v>
      </c>
      <c r="D11" s="41">
        <f t="shared" si="1"/>
        <v>0.17522821379049064</v>
      </c>
      <c r="E11" s="23">
        <v>14210893.4026</v>
      </c>
      <c r="F11" s="41">
        <f t="shared" si="0"/>
        <v>0.17946446173643998</v>
      </c>
      <c r="G11" s="23">
        <f t="shared" si="2"/>
        <v>-335447.29359999858</v>
      </c>
      <c r="H11" s="94">
        <f t="shared" si="3"/>
        <v>-2.3604940526724789</v>
      </c>
      <c r="I11" s="23">
        <v>11354132.229999999</v>
      </c>
      <c r="J11" s="41">
        <f t="shared" si="4"/>
        <v>0.15221622214032499</v>
      </c>
      <c r="K11" s="23">
        <f t="shared" si="6"/>
        <v>2521313.8790000025</v>
      </c>
      <c r="L11" s="94">
        <f t="shared" si="5"/>
        <v>22.206134541380123</v>
      </c>
      <c r="M11" s="72" t="s">
        <v>156</v>
      </c>
    </row>
    <row r="12" spans="1:16382" ht="15" customHeight="1">
      <c r="A12" s="18">
        <v>713</v>
      </c>
      <c r="B12" s="19" t="s">
        <v>13</v>
      </c>
      <c r="C12" s="69">
        <f>C13+C17+C18</f>
        <v>2217567.1</v>
      </c>
      <c r="D12" s="40">
        <f t="shared" si="1"/>
        <v>2.8004888552124772E-2</v>
      </c>
      <c r="E12" s="20">
        <f>SUM(E13:E18)</f>
        <v>2846658.0476000002</v>
      </c>
      <c r="F12" s="40">
        <f t="shared" si="0"/>
        <v>3.5949460726147631E-2</v>
      </c>
      <c r="G12" s="20">
        <f t="shared" si="2"/>
        <v>-629090.94760000007</v>
      </c>
      <c r="H12" s="89">
        <f t="shared" si="3"/>
        <v>-22.099280527578031</v>
      </c>
      <c r="I12" s="69">
        <f>SUM(I13:I18)</f>
        <v>2306105.41</v>
      </c>
      <c r="J12" s="40">
        <f t="shared" si="4"/>
        <v>3.0916202687870691E-2</v>
      </c>
      <c r="K12" s="20">
        <f t="shared" si="6"/>
        <v>-88538.310000000056</v>
      </c>
      <c r="L12" s="89">
        <f t="shared" si="5"/>
        <v>-3.8393002165499439</v>
      </c>
      <c r="M12" s="71" t="s">
        <v>91</v>
      </c>
    </row>
    <row r="13" spans="1:16382">
      <c r="A13" s="21">
        <v>7131</v>
      </c>
      <c r="B13" s="22" t="s">
        <v>14</v>
      </c>
      <c r="C13" s="23">
        <v>550878.87</v>
      </c>
      <c r="D13" s="41">
        <f t="shared" si="1"/>
        <v>6.956858874786892E-3</v>
      </c>
      <c r="E13" s="107">
        <v>586912.2215000001</v>
      </c>
      <c r="F13" s="41">
        <f t="shared" si="0"/>
        <v>7.4119116183620649E-3</v>
      </c>
      <c r="G13" s="23">
        <f t="shared" si="2"/>
        <v>-36033.351500000106</v>
      </c>
      <c r="H13" s="94">
        <f t="shared" si="3"/>
        <v>-6.1394788147208601</v>
      </c>
      <c r="I13" s="23">
        <v>540180.24</v>
      </c>
      <c r="J13" s="41">
        <f t="shared" si="4"/>
        <v>7.2417859632108641E-3</v>
      </c>
      <c r="K13" s="23">
        <f t="shared" si="6"/>
        <v>10698.630000000005</v>
      </c>
      <c r="L13" s="94">
        <f t="shared" si="5"/>
        <v>1.9805667086230301</v>
      </c>
      <c r="M13" s="72" t="s">
        <v>92</v>
      </c>
    </row>
    <row r="14" spans="1:16382" hidden="1">
      <c r="A14" s="21"/>
      <c r="B14" s="22"/>
      <c r="C14" s="23">
        <v>1293971.21</v>
      </c>
      <c r="D14" s="41"/>
      <c r="E14" s="107"/>
      <c r="F14" s="41"/>
      <c r="G14" s="23"/>
      <c r="H14" s="94"/>
      <c r="I14" s="23"/>
      <c r="J14" s="41"/>
      <c r="K14" s="23"/>
      <c r="L14" s="94"/>
      <c r="M14" s="72"/>
    </row>
    <row r="15" spans="1:16382" ht="14.25" hidden="1" customHeight="1">
      <c r="A15" s="21"/>
      <c r="B15" s="22"/>
      <c r="C15" s="23">
        <v>372717.02</v>
      </c>
      <c r="D15" s="41"/>
      <c r="E15" s="107"/>
      <c r="F15" s="41"/>
      <c r="G15" s="23"/>
      <c r="H15" s="94"/>
      <c r="I15" s="23"/>
      <c r="J15" s="41"/>
      <c r="K15" s="23"/>
      <c r="L15" s="94"/>
      <c r="M15" s="72"/>
    </row>
    <row r="16" spans="1:16382" hidden="1">
      <c r="A16" s="21"/>
      <c r="B16" s="22"/>
      <c r="C16" s="23">
        <v>41930926.590000004</v>
      </c>
      <c r="D16" s="41"/>
      <c r="E16" s="107"/>
      <c r="F16" s="41"/>
      <c r="G16" s="23"/>
      <c r="H16" s="94"/>
      <c r="I16" s="23"/>
      <c r="J16" s="41"/>
      <c r="K16" s="23"/>
      <c r="L16" s="94"/>
      <c r="M16" s="72"/>
    </row>
    <row r="17" spans="1:13" ht="15" customHeight="1">
      <c r="A17" s="21">
        <v>7135</v>
      </c>
      <c r="B17" s="22" t="s">
        <v>17</v>
      </c>
      <c r="C17" s="23">
        <v>1293971.21</v>
      </c>
      <c r="D17" s="41">
        <f t="shared" si="1"/>
        <v>1.6341115236471554E-2</v>
      </c>
      <c r="E17" s="107">
        <v>1485176.0752999999</v>
      </c>
      <c r="F17" s="41">
        <f t="shared" ref="F17" si="12">+E17/$E$2*100</f>
        <v>1.8755775403169792E-2</v>
      </c>
      <c r="G17" s="23">
        <f t="shared" ref="G17" si="13">+C17-E17</f>
        <v>-191204.86529999995</v>
      </c>
      <c r="H17" s="94">
        <f t="shared" ref="H17" si="14">+C17/E17*100-100</f>
        <v>-12.874222018515695</v>
      </c>
      <c r="I17" s="23">
        <v>1451986.82</v>
      </c>
      <c r="J17" s="41">
        <f t="shared" ref="J17" si="15">+I17/$I$2*100</f>
        <v>1.946568384627172E-2</v>
      </c>
      <c r="K17" s="23">
        <f t="shared" ref="K17" si="16">+C17-I17</f>
        <v>-158015.6100000001</v>
      </c>
      <c r="L17" s="94">
        <f t="shared" ref="L17" si="17">+C17/I17*100-100</f>
        <v>-10.882716552482208</v>
      </c>
      <c r="M17" s="72" t="s">
        <v>152</v>
      </c>
    </row>
    <row r="18" spans="1:13" ht="15" customHeight="1">
      <c r="A18" s="21">
        <v>7136</v>
      </c>
      <c r="B18" s="22" t="s">
        <v>18</v>
      </c>
      <c r="C18" s="23">
        <v>372717.02</v>
      </c>
      <c r="D18" s="41">
        <f t="shared" si="1"/>
        <v>4.7069144408663256E-3</v>
      </c>
      <c r="E18" s="107">
        <v>774569.75080000027</v>
      </c>
      <c r="F18" s="41">
        <f t="shared" si="0"/>
        <v>9.781773704615776E-3</v>
      </c>
      <c r="G18" s="23">
        <f t="shared" si="2"/>
        <v>-401852.73080000025</v>
      </c>
      <c r="H18" s="94">
        <f t="shared" si="3"/>
        <v>-51.880767404737142</v>
      </c>
      <c r="I18" s="23">
        <v>313938.35000000003</v>
      </c>
      <c r="J18" s="41">
        <f t="shared" si="4"/>
        <v>4.2087328783881094E-3</v>
      </c>
      <c r="K18" s="23">
        <f t="shared" si="6"/>
        <v>58778.669999999984</v>
      </c>
      <c r="L18" s="94">
        <f t="shared" si="5"/>
        <v>18.72299768409944</v>
      </c>
      <c r="M18" s="72" t="s">
        <v>95</v>
      </c>
    </row>
    <row r="19" spans="1:13" ht="15" customHeight="1">
      <c r="A19" s="18">
        <v>714</v>
      </c>
      <c r="B19" s="19" t="s">
        <v>19</v>
      </c>
      <c r="C19" s="20">
        <f>+SUM(C20:C29)</f>
        <v>41930926.590000004</v>
      </c>
      <c r="D19" s="40">
        <f t="shared" si="1"/>
        <v>0.52953118128433418</v>
      </c>
      <c r="E19" s="108">
        <f>+SUM(E20:E29)</f>
        <v>44642413.956900001</v>
      </c>
      <c r="F19" s="40">
        <f t="shared" si="0"/>
        <v>0.56377361819662819</v>
      </c>
      <c r="G19" s="20">
        <f t="shared" si="2"/>
        <v>-2711487.366899997</v>
      </c>
      <c r="H19" s="89">
        <f t="shared" si="3"/>
        <v>-6.0737919986087689</v>
      </c>
      <c r="I19" s="20">
        <f>+SUM(I20:I29)</f>
        <v>37820858.799999997</v>
      </c>
      <c r="J19" s="40">
        <f t="shared" si="4"/>
        <v>0.50703551165518401</v>
      </c>
      <c r="K19" s="20">
        <f t="shared" si="6"/>
        <v>4110067.7900000066</v>
      </c>
      <c r="L19" s="89">
        <f t="shared" si="5"/>
        <v>10.867198473028878</v>
      </c>
      <c r="M19" s="71" t="s">
        <v>96</v>
      </c>
    </row>
    <row r="20" spans="1:13" ht="15" customHeight="1">
      <c r="A20" s="21">
        <v>7141</v>
      </c>
      <c r="B20" s="22" t="s">
        <v>20</v>
      </c>
      <c r="C20" s="23">
        <v>1578098.79</v>
      </c>
      <c r="D20" s="41">
        <f t="shared" si="1"/>
        <v>1.9929264254593675E-2</v>
      </c>
      <c r="E20" s="107">
        <v>2473430.6060000001</v>
      </c>
      <c r="F20" s="41">
        <f t="shared" si="0"/>
        <v>3.1236100347287996E-2</v>
      </c>
      <c r="G20" s="23">
        <f t="shared" si="2"/>
        <v>-895331.81600000011</v>
      </c>
      <c r="H20" s="94">
        <f t="shared" si="3"/>
        <v>-36.197975954050278</v>
      </c>
      <c r="I20" s="23">
        <v>1760337.85</v>
      </c>
      <c r="J20" s="41">
        <f t="shared" si="4"/>
        <v>2.3599511771550164E-2</v>
      </c>
      <c r="K20" s="23">
        <f t="shared" si="6"/>
        <v>-182239.06000000006</v>
      </c>
      <c r="L20" s="94">
        <f t="shared" si="5"/>
        <v>-10.35250477628486</v>
      </c>
      <c r="M20" s="72" t="s">
        <v>97</v>
      </c>
    </row>
    <row r="21" spans="1:13" ht="15" customHeight="1">
      <c r="A21" s="21">
        <v>7142</v>
      </c>
      <c r="B21" s="22" t="s">
        <v>21</v>
      </c>
      <c r="C21" s="23">
        <v>5867050.7300000004</v>
      </c>
      <c r="D21" s="41">
        <f t="shared" si="1"/>
        <v>7.4092956115425906E-2</v>
      </c>
      <c r="E21" s="107">
        <v>5193044.5902000004</v>
      </c>
      <c r="F21" s="41">
        <f t="shared" si="0"/>
        <v>6.5581165501041871E-2</v>
      </c>
      <c r="G21" s="23">
        <f t="shared" si="2"/>
        <v>674006.1398</v>
      </c>
      <c r="H21" s="94">
        <f t="shared" si="3"/>
        <v>12.979016992689481</v>
      </c>
      <c r="I21" s="23">
        <v>2366644.1</v>
      </c>
      <c r="J21" s="41">
        <f t="shared" si="4"/>
        <v>3.1727798897819383E-2</v>
      </c>
      <c r="K21" s="23">
        <f t="shared" si="6"/>
        <v>3500406.6300000004</v>
      </c>
      <c r="L21" s="94">
        <f t="shared" si="5"/>
        <v>147.90591580711271</v>
      </c>
      <c r="M21" s="72" t="s">
        <v>98</v>
      </c>
    </row>
    <row r="22" spans="1:13" hidden="1">
      <c r="A22" s="21">
        <v>7143</v>
      </c>
      <c r="B22" s="22" t="s">
        <v>22</v>
      </c>
      <c r="C22" s="23"/>
      <c r="D22" s="41">
        <f t="shared" si="1"/>
        <v>0</v>
      </c>
      <c r="E22" s="107">
        <v>0</v>
      </c>
      <c r="F22" s="41">
        <f t="shared" si="0"/>
        <v>0</v>
      </c>
      <c r="G22" s="23">
        <f t="shared" si="2"/>
        <v>0</v>
      </c>
      <c r="H22" s="94" t="e">
        <f t="shared" si="3"/>
        <v>#DIV/0!</v>
      </c>
      <c r="I22" s="23"/>
      <c r="J22" s="41">
        <f t="shared" si="4"/>
        <v>0</v>
      </c>
      <c r="K22" s="23">
        <f t="shared" si="6"/>
        <v>0</v>
      </c>
      <c r="L22" s="94" t="e">
        <f t="shared" si="5"/>
        <v>#DIV/0!</v>
      </c>
      <c r="M22" s="72" t="s">
        <v>99</v>
      </c>
    </row>
    <row r="23" spans="1:13" hidden="1">
      <c r="A23" s="21">
        <v>7144</v>
      </c>
      <c r="B23" s="22" t="s">
        <v>23</v>
      </c>
      <c r="C23" s="23"/>
      <c r="D23" s="41">
        <f>+C23/$C$2*100</f>
        <v>0</v>
      </c>
      <c r="E23" s="107">
        <v>0</v>
      </c>
      <c r="F23" s="41">
        <f>+E23/$E$2*100</f>
        <v>0</v>
      </c>
      <c r="G23" s="23">
        <f>+C23-E23</f>
        <v>0</v>
      </c>
      <c r="H23" s="94" t="e">
        <f>+C23/E23*100-100</f>
        <v>#DIV/0!</v>
      </c>
      <c r="I23" s="23"/>
      <c r="J23" s="41">
        <f>+I23/$I$2*100</f>
        <v>0</v>
      </c>
      <c r="K23" s="23">
        <f>+C23-I23</f>
        <v>0</v>
      </c>
      <c r="L23" s="94" t="e">
        <f>+C23/I23*100-100</f>
        <v>#DIV/0!</v>
      </c>
      <c r="M23" s="72" t="s">
        <v>100</v>
      </c>
    </row>
    <row r="24" spans="1:13" ht="15.75" hidden="1" customHeight="1">
      <c r="A24" s="21"/>
      <c r="B24" s="22" t="s">
        <v>24</v>
      </c>
      <c r="C24" s="23"/>
      <c r="D24" s="41"/>
      <c r="E24" s="107">
        <v>0</v>
      </c>
      <c r="F24" s="41">
        <f>+E24/$E$2*100</f>
        <v>0</v>
      </c>
      <c r="G24" s="23"/>
      <c r="H24" s="94"/>
      <c r="I24" s="23"/>
      <c r="J24" s="41">
        <f>+I24/$I$2*100</f>
        <v>0</v>
      </c>
      <c r="K24" s="23">
        <f>+C24-I24</f>
        <v>0</v>
      </c>
      <c r="L24" s="94" t="e">
        <f>+C24/I24*100-100</f>
        <v>#DIV/0!</v>
      </c>
      <c r="M24" s="72"/>
    </row>
    <row r="25" spans="1:13" ht="17.25" hidden="1" customHeight="1">
      <c r="A25" s="21">
        <v>7145</v>
      </c>
      <c r="B25" s="22" t="s">
        <v>66</v>
      </c>
      <c r="C25" s="23"/>
      <c r="D25" s="41">
        <f t="shared" ref="D25:D29" si="18">+C25/$C$2*100</f>
        <v>0</v>
      </c>
      <c r="E25" s="107">
        <v>0</v>
      </c>
      <c r="F25" s="41">
        <f t="shared" ref="F25:F29" si="19">+E25/$E$2*100</f>
        <v>0</v>
      </c>
      <c r="G25" s="23">
        <f t="shared" ref="G25:G27" si="20">+C25-E25</f>
        <v>0</v>
      </c>
      <c r="H25" s="94" t="e">
        <f t="shared" ref="H25:H27" si="21">+C25/E25*100-100</f>
        <v>#DIV/0!</v>
      </c>
      <c r="I25" s="23"/>
      <c r="J25" s="41">
        <f t="shared" ref="J25:J27" si="22">+I25/$I$2*100</f>
        <v>0</v>
      </c>
      <c r="K25" s="23">
        <f t="shared" ref="K25:K27" si="23">+C25-I25</f>
        <v>0</v>
      </c>
      <c r="L25" s="94" t="e">
        <f t="shared" ref="L25:L27" si="24">+C25/I25*100-100</f>
        <v>#DIV/0!</v>
      </c>
      <c r="M25" s="72" t="s">
        <v>153</v>
      </c>
    </row>
    <row r="26" spans="1:13" ht="15" customHeight="1">
      <c r="A26" s="21">
        <v>7146</v>
      </c>
      <c r="B26" s="22" t="s">
        <v>180</v>
      </c>
      <c r="C26" s="23">
        <v>30468455.650000002</v>
      </c>
      <c r="D26" s="41">
        <f t="shared" si="18"/>
        <v>0.38477559701963759</v>
      </c>
      <c r="E26" s="107">
        <v>31298670.1327</v>
      </c>
      <c r="F26" s="41">
        <f t="shared" si="19"/>
        <v>0.39526008881353791</v>
      </c>
      <c r="G26" s="23">
        <f t="shared" si="20"/>
        <v>-830214.48269999772</v>
      </c>
      <c r="H26" s="94">
        <f t="shared" si="21"/>
        <v>-2.6525551379022119</v>
      </c>
      <c r="I26" s="23">
        <v>30498923.959999997</v>
      </c>
      <c r="J26" s="41">
        <f t="shared" si="22"/>
        <v>0.40887589562062371</v>
      </c>
      <c r="K26" s="23">
        <f t="shared" si="23"/>
        <v>-30468.309999994934</v>
      </c>
      <c r="L26" s="94">
        <f t="shared" si="24"/>
        <v>-9.9899622819336287E-2</v>
      </c>
      <c r="M26" s="72" t="s">
        <v>181</v>
      </c>
    </row>
    <row r="27" spans="1:13" ht="26.25" customHeight="1">
      <c r="A27" s="21">
        <v>7147</v>
      </c>
      <c r="B27" s="27" t="s">
        <v>67</v>
      </c>
      <c r="C27" s="23">
        <v>3003817.2</v>
      </c>
      <c r="D27" s="41">
        <f t="shared" si="18"/>
        <v>3.7934169350255731E-2</v>
      </c>
      <c r="E27" s="107">
        <v>3195141.7767000003</v>
      </c>
      <c r="F27" s="41">
        <f t="shared" si="19"/>
        <v>4.0350341310854326E-2</v>
      </c>
      <c r="G27" s="23">
        <f t="shared" si="20"/>
        <v>-191324.57670000009</v>
      </c>
      <c r="H27" s="94">
        <f t="shared" si="21"/>
        <v>-5.9879839478548433</v>
      </c>
      <c r="I27" s="23">
        <v>2272708.65</v>
      </c>
      <c r="J27" s="41">
        <f t="shared" si="22"/>
        <v>3.04684777066964E-2</v>
      </c>
      <c r="K27" s="23">
        <f t="shared" si="23"/>
        <v>731108.55000000028</v>
      </c>
      <c r="L27" s="94">
        <f t="shared" si="24"/>
        <v>32.169039793112063</v>
      </c>
      <c r="M27" s="73" t="s">
        <v>154</v>
      </c>
    </row>
    <row r="28" spans="1:13" ht="15" hidden="1" customHeight="1">
      <c r="A28" s="21">
        <v>7148</v>
      </c>
      <c r="B28" s="22" t="s">
        <v>24</v>
      </c>
      <c r="C28" s="82"/>
      <c r="D28" s="41">
        <f t="shared" si="18"/>
        <v>0</v>
      </c>
      <c r="E28" s="109">
        <v>0</v>
      </c>
      <c r="F28" s="41">
        <f t="shared" si="19"/>
        <v>0</v>
      </c>
      <c r="G28" s="76">
        <f t="shared" si="2"/>
        <v>0</v>
      </c>
      <c r="H28" s="94" t="e">
        <f t="shared" si="3"/>
        <v>#DIV/0!</v>
      </c>
      <c r="I28" s="82"/>
      <c r="J28" s="41">
        <f t="shared" si="4"/>
        <v>0</v>
      </c>
      <c r="K28" s="76">
        <f t="shared" si="6"/>
        <v>0</v>
      </c>
      <c r="L28" s="94" t="e">
        <f t="shared" si="5"/>
        <v>#DIV/0!</v>
      </c>
      <c r="M28" s="72" t="s">
        <v>101</v>
      </c>
    </row>
    <row r="29" spans="1:13" ht="15" customHeight="1">
      <c r="A29" s="21">
        <v>7149</v>
      </c>
      <c r="B29" s="22" t="s">
        <v>25</v>
      </c>
      <c r="C29" s="82">
        <v>1013504.2200000001</v>
      </c>
      <c r="D29" s="41">
        <f t="shared" si="18"/>
        <v>1.2799194544421293E-2</v>
      </c>
      <c r="E29" s="109">
        <v>2482126.8513000002</v>
      </c>
      <c r="F29" s="41">
        <f t="shared" si="19"/>
        <v>3.1345922223906045E-2</v>
      </c>
      <c r="G29" s="76">
        <f t="shared" si="2"/>
        <v>-1468622.6313</v>
      </c>
      <c r="H29" s="94">
        <f t="shared" si="3"/>
        <v>-59.167912007833813</v>
      </c>
      <c r="I29" s="82">
        <v>922244.24000000011</v>
      </c>
      <c r="J29" s="41">
        <f t="shared" si="4"/>
        <v>1.2363827658494269E-2</v>
      </c>
      <c r="K29" s="76">
        <f t="shared" si="6"/>
        <v>91259.979999999981</v>
      </c>
      <c r="L29" s="94">
        <f t="shared" si="5"/>
        <v>9.8954242316547294</v>
      </c>
      <c r="M29" s="72" t="s">
        <v>102</v>
      </c>
    </row>
    <row r="30" spans="1:13" ht="15" customHeight="1">
      <c r="A30" s="18">
        <v>715</v>
      </c>
      <c r="B30" s="19" t="s">
        <v>26</v>
      </c>
      <c r="C30" s="20">
        <f>+SUM(C31:C34)</f>
        <v>7005282.1999999993</v>
      </c>
      <c r="D30" s="40">
        <f t="shared" si="1"/>
        <v>8.8467287996463959E-2</v>
      </c>
      <c r="E30" s="108">
        <f>+SUM(E31:E34)</f>
        <v>9799703.1513</v>
      </c>
      <c r="F30" s="40">
        <f t="shared" si="0"/>
        <v>0.12375706448569804</v>
      </c>
      <c r="G30" s="20">
        <f t="shared" si="2"/>
        <v>-2794420.9513000008</v>
      </c>
      <c r="H30" s="89">
        <f t="shared" si="3"/>
        <v>-28.515363252909367</v>
      </c>
      <c r="I30" s="20">
        <f>+SUM(I31:I34)</f>
        <v>18921990.899999999</v>
      </c>
      <c r="J30" s="40">
        <f t="shared" si="4"/>
        <v>0.25367275207183382</v>
      </c>
      <c r="K30" s="20">
        <f t="shared" si="6"/>
        <v>-11916708.699999999</v>
      </c>
      <c r="L30" s="89">
        <f t="shared" si="5"/>
        <v>-62.978091274740017</v>
      </c>
      <c r="M30" s="71" t="s">
        <v>103</v>
      </c>
    </row>
    <row r="31" spans="1:13" ht="15" customHeight="1">
      <c r="A31" s="21">
        <v>7151</v>
      </c>
      <c r="B31" s="22" t="s">
        <v>27</v>
      </c>
      <c r="C31" s="82">
        <v>1197941.04</v>
      </c>
      <c r="D31" s="41">
        <f t="shared" si="1"/>
        <v>1.5128383405948095E-2</v>
      </c>
      <c r="E31" s="109">
        <v>1143018.0817</v>
      </c>
      <c r="F31" s="41">
        <f t="shared" si="0"/>
        <v>1.4434780346025132E-2</v>
      </c>
      <c r="G31" s="76">
        <f t="shared" si="2"/>
        <v>54922.958300000057</v>
      </c>
      <c r="H31" s="94">
        <f t="shared" si="3"/>
        <v>4.8050821924281024</v>
      </c>
      <c r="I31" s="82">
        <v>917832.84</v>
      </c>
      <c r="J31" s="41">
        <f t="shared" si="4"/>
        <v>1.2304687371174412E-2</v>
      </c>
      <c r="K31" s="76">
        <f t="shared" si="6"/>
        <v>280108.20000000007</v>
      </c>
      <c r="L31" s="94">
        <f t="shared" si="5"/>
        <v>30.518432964329321</v>
      </c>
      <c r="M31" s="72" t="s">
        <v>104</v>
      </c>
    </row>
    <row r="32" spans="1:13" ht="15" customHeight="1">
      <c r="A32" s="21">
        <v>7152</v>
      </c>
      <c r="B32" s="22" t="s">
        <v>28</v>
      </c>
      <c r="C32" s="82">
        <v>1884700.12</v>
      </c>
      <c r="D32" s="41">
        <f t="shared" si="1"/>
        <v>2.3801226494916967E-2</v>
      </c>
      <c r="E32" s="109">
        <v>2562795.1757999999</v>
      </c>
      <c r="F32" s="41">
        <f t="shared" si="0"/>
        <v>3.2364654616404621E-2</v>
      </c>
      <c r="G32" s="76">
        <f t="shared" si="2"/>
        <v>-678095.05579999974</v>
      </c>
      <c r="H32" s="94">
        <f t="shared" si="3"/>
        <v>-26.459198230241952</v>
      </c>
      <c r="I32" s="82">
        <v>11869228.600000001</v>
      </c>
      <c r="J32" s="41">
        <f t="shared" si="4"/>
        <v>0.15912172772114164</v>
      </c>
      <c r="K32" s="76">
        <f t="shared" si="6"/>
        <v>-9984528.4800000004</v>
      </c>
      <c r="L32" s="94">
        <f t="shared" si="5"/>
        <v>-84.121123760309075</v>
      </c>
      <c r="M32" s="72" t="s">
        <v>105</v>
      </c>
    </row>
    <row r="33" spans="1:16382">
      <c r="A33" s="21">
        <v>7153</v>
      </c>
      <c r="B33" s="22" t="s">
        <v>29</v>
      </c>
      <c r="C33" s="82">
        <v>879871.44999999984</v>
      </c>
      <c r="D33" s="41">
        <f t="shared" si="1"/>
        <v>1.1111592473321965E-2</v>
      </c>
      <c r="E33" s="109">
        <v>2446494.9353999998</v>
      </c>
      <c r="F33" s="41">
        <f t="shared" si="0"/>
        <v>3.0895939071793898E-2</v>
      </c>
      <c r="G33" s="76">
        <f t="shared" si="2"/>
        <v>-1566623.4854000001</v>
      </c>
      <c r="H33" s="94">
        <f t="shared" si="3"/>
        <v>-64.035427285438402</v>
      </c>
      <c r="I33" s="82">
        <v>1893411.13</v>
      </c>
      <c r="J33" s="41">
        <f t="shared" si="4"/>
        <v>2.5383524106363499E-2</v>
      </c>
      <c r="K33" s="76">
        <f t="shared" si="6"/>
        <v>-1013539.68</v>
      </c>
      <c r="L33" s="94">
        <f t="shared" si="5"/>
        <v>-53.529825822878742</v>
      </c>
      <c r="M33" s="72" t="s">
        <v>106</v>
      </c>
    </row>
    <row r="34" spans="1:16382" s="3" customFormat="1" ht="15" customHeight="1">
      <c r="A34" s="21">
        <v>7155</v>
      </c>
      <c r="B34" s="22" t="s">
        <v>26</v>
      </c>
      <c r="C34" s="82">
        <v>3042769.5899999994</v>
      </c>
      <c r="D34" s="41">
        <f t="shared" si="1"/>
        <v>3.8426085622276937E-2</v>
      </c>
      <c r="E34" s="109">
        <v>3647394.9583999999</v>
      </c>
      <c r="F34" s="41">
        <f t="shared" si="0"/>
        <v>4.6061690451474395E-2</v>
      </c>
      <c r="G34" s="76">
        <f t="shared" si="2"/>
        <v>-604625.3684000005</v>
      </c>
      <c r="H34" s="94">
        <f t="shared" si="3"/>
        <v>-16.576909692972521</v>
      </c>
      <c r="I34" s="82">
        <v>4241518.33</v>
      </c>
      <c r="J34" s="41">
        <f t="shared" si="4"/>
        <v>5.6862812873154318E-2</v>
      </c>
      <c r="K34" s="76">
        <f t="shared" si="6"/>
        <v>-1198748.7400000007</v>
      </c>
      <c r="L34" s="94">
        <f t="shared" si="5"/>
        <v>-28.262255323083821</v>
      </c>
      <c r="M34" s="72" t="s">
        <v>103</v>
      </c>
      <c r="N34" s="1"/>
      <c r="O34" s="1"/>
      <c r="P34" s="1"/>
    </row>
    <row r="35" spans="1:16382" ht="15" hidden="1" customHeight="1">
      <c r="A35" s="18">
        <v>73</v>
      </c>
      <c r="B35" s="102" t="s">
        <v>184</v>
      </c>
      <c r="C35" s="108">
        <v>175304.7</v>
      </c>
      <c r="D35" s="110">
        <f t="shared" si="1"/>
        <v>2.2138624739534004E-3</v>
      </c>
      <c r="E35" s="108">
        <v>0</v>
      </c>
      <c r="F35" s="40">
        <f t="shared" si="0"/>
        <v>0</v>
      </c>
      <c r="G35" s="20">
        <f t="shared" si="2"/>
        <v>175304.7</v>
      </c>
      <c r="H35" s="89">
        <v>0</v>
      </c>
      <c r="I35" s="82">
        <v>97726.28</v>
      </c>
      <c r="J35" s="40">
        <f t="shared" si="4"/>
        <v>1.3101419680601693E-3</v>
      </c>
      <c r="K35" s="20">
        <f t="shared" si="6"/>
        <v>77578.420000000013</v>
      </c>
      <c r="L35" s="89">
        <v>0</v>
      </c>
      <c r="M35" s="71" t="s">
        <v>107</v>
      </c>
    </row>
    <row r="36" spans="1:16382" ht="15" customHeight="1">
      <c r="A36" s="18">
        <v>74</v>
      </c>
      <c r="B36" s="19" t="s">
        <v>179</v>
      </c>
      <c r="C36" s="20">
        <v>29624548.157909002</v>
      </c>
      <c r="D36" s="40">
        <f t="shared" si="1"/>
        <v>0.37411818094221133</v>
      </c>
      <c r="E36" s="20">
        <v>32810003.953699999</v>
      </c>
      <c r="F36" s="40">
        <f t="shared" si="0"/>
        <v>0.41434620134747741</v>
      </c>
      <c r="G36" s="20">
        <f t="shared" si="2"/>
        <v>-3185455.7957909964</v>
      </c>
      <c r="H36" s="89">
        <f t="shared" si="3"/>
        <v>-9.7087943064138784</v>
      </c>
      <c r="I36" s="20">
        <v>33066493.98</v>
      </c>
      <c r="J36" s="40">
        <f t="shared" si="4"/>
        <v>0.44329735563255801</v>
      </c>
      <c r="K36" s="20">
        <f t="shared" si="6"/>
        <v>-3441945.8220909983</v>
      </c>
      <c r="L36" s="89">
        <f t="shared" si="5"/>
        <v>-10.409164709669042</v>
      </c>
      <c r="M36" s="71" t="s">
        <v>108</v>
      </c>
    </row>
    <row r="37" spans="1:16382" s="34" customFormat="1" ht="15" customHeight="1">
      <c r="A37" s="31"/>
      <c r="B37" s="32" t="s">
        <v>71</v>
      </c>
      <c r="C37" s="33">
        <f>+C38+C48+C49++C50+C51+C52+C53+C54</f>
        <v>197454678.51000002</v>
      </c>
      <c r="D37" s="43">
        <f t="shared" si="1"/>
        <v>2.493586897897329</v>
      </c>
      <c r="E37" s="33">
        <f>+E38+E48+E49++E50+E51+E52+E53+E54</f>
        <v>205279471.10519001</v>
      </c>
      <c r="F37" s="43">
        <f t="shared" si="0"/>
        <v>2.5924034994656817</v>
      </c>
      <c r="G37" s="33">
        <f t="shared" si="2"/>
        <v>-7824792.5951899886</v>
      </c>
      <c r="H37" s="99">
        <f t="shared" si="3"/>
        <v>-3.8117755044197281</v>
      </c>
      <c r="I37" s="33">
        <f>+I38+I48+I49++I50+I51+I52+I53+I54</f>
        <v>176043392.64300004</v>
      </c>
      <c r="J37" s="43">
        <f t="shared" si="4"/>
        <v>2.3600799795233094</v>
      </c>
      <c r="K37" s="33">
        <f t="shared" si="6"/>
        <v>21411285.866999984</v>
      </c>
      <c r="L37" s="99">
        <f t="shared" si="5"/>
        <v>12.162504678843661</v>
      </c>
      <c r="M37" s="70" t="s">
        <v>109</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row>
    <row r="38" spans="1:16382" ht="15" customHeight="1">
      <c r="A38" s="18">
        <v>41</v>
      </c>
      <c r="B38" s="19" t="s">
        <v>68</v>
      </c>
      <c r="C38" s="69">
        <f>SUM(C39:C47)</f>
        <v>60518228.260000005</v>
      </c>
      <c r="D38" s="40">
        <f t="shared" si="1"/>
        <v>0.76426379061690974</v>
      </c>
      <c r="E38" s="69">
        <f>SUM(E39:E47)</f>
        <v>66790633.064500004</v>
      </c>
      <c r="F38" s="40">
        <f t="shared" si="0"/>
        <v>0.84347582325566728</v>
      </c>
      <c r="G38" s="20">
        <f t="shared" si="2"/>
        <v>-6272404.8044999987</v>
      </c>
      <c r="H38" s="89">
        <f t="shared" si="3"/>
        <v>-9.3911444115864384</v>
      </c>
      <c r="I38" s="69">
        <f>SUM(I39:I47)</f>
        <v>56826040.690000005</v>
      </c>
      <c r="J38" s="40">
        <f t="shared" si="4"/>
        <v>0.76182354210826275</v>
      </c>
      <c r="K38" s="20">
        <f t="shared" si="6"/>
        <v>3692187.5700000003</v>
      </c>
      <c r="L38" s="89">
        <f t="shared" si="5"/>
        <v>6.4973514346033454</v>
      </c>
      <c r="M38" s="71" t="s">
        <v>110</v>
      </c>
    </row>
    <row r="39" spans="1:16382" ht="15" customHeight="1">
      <c r="A39" s="21">
        <v>411</v>
      </c>
      <c r="B39" s="22" t="s">
        <v>30</v>
      </c>
      <c r="C39" s="23">
        <v>35962295.74000001</v>
      </c>
      <c r="D39" s="41">
        <f t="shared" si="1"/>
        <v>0.45415540493780393</v>
      </c>
      <c r="E39" s="23">
        <v>37306287.053599998</v>
      </c>
      <c r="F39" s="41">
        <f>+E39/$E$2*100</f>
        <v>0.47112820677653588</v>
      </c>
      <c r="G39" s="23">
        <f>+C39-E39</f>
        <v>-1343991.3135999888</v>
      </c>
      <c r="H39" s="94">
        <f>+C39/E39*100-100</f>
        <v>-3.6025866408763818</v>
      </c>
      <c r="I39" s="23">
        <v>35887462.32</v>
      </c>
      <c r="J39" s="41">
        <f t="shared" si="4"/>
        <v>0.48111593434857003</v>
      </c>
      <c r="K39" s="23">
        <f t="shared" si="6"/>
        <v>74833.420000009239</v>
      </c>
      <c r="L39" s="94">
        <f t="shared" si="5"/>
        <v>0.20852246205858194</v>
      </c>
      <c r="M39" s="72" t="s">
        <v>111</v>
      </c>
    </row>
    <row r="40" spans="1:16382" ht="15" customHeight="1">
      <c r="A40" s="21">
        <v>412</v>
      </c>
      <c r="B40" s="22" t="s">
        <v>31</v>
      </c>
      <c r="C40" s="23">
        <v>2542350.6100000003</v>
      </c>
      <c r="D40" s="41">
        <f t="shared" si="1"/>
        <v>3.2106467260213427E-2</v>
      </c>
      <c r="E40" s="23">
        <v>2991527.5586000001</v>
      </c>
      <c r="F40" s="41">
        <f t="shared" si="0"/>
        <v>3.777896771610785E-2</v>
      </c>
      <c r="G40" s="23">
        <f t="shared" si="2"/>
        <v>-449176.94859999977</v>
      </c>
      <c r="H40" s="94">
        <f t="shared" si="3"/>
        <v>-15.014969436223723</v>
      </c>
      <c r="I40" s="23">
        <v>2079096.54</v>
      </c>
      <c r="J40" s="41">
        <f t="shared" si="4"/>
        <v>2.7872867285060769E-2</v>
      </c>
      <c r="K40" s="23">
        <f t="shared" si="6"/>
        <v>463254.0700000003</v>
      </c>
      <c r="L40" s="94">
        <f t="shared" si="5"/>
        <v>22.28150839017799</v>
      </c>
      <c r="M40" s="72" t="s">
        <v>112</v>
      </c>
    </row>
    <row r="41" spans="1:16382" ht="15" customHeight="1">
      <c r="A41" s="21">
        <v>413</v>
      </c>
      <c r="B41" s="22" t="s">
        <v>72</v>
      </c>
      <c r="C41" s="23">
        <v>4130245.2599999993</v>
      </c>
      <c r="D41" s="41">
        <f t="shared" si="1"/>
        <v>5.2159440045463148E-2</v>
      </c>
      <c r="E41" s="107">
        <v>4938356.4451000001</v>
      </c>
      <c r="F41" s="41">
        <f t="shared" si="0"/>
        <v>6.2364796932499848E-2</v>
      </c>
      <c r="G41" s="23">
        <f t="shared" si="2"/>
        <v>-808111.18510000082</v>
      </c>
      <c r="H41" s="94">
        <f t="shared" si="3"/>
        <v>-16.363970363091866</v>
      </c>
      <c r="I41" s="23">
        <v>4214651.28</v>
      </c>
      <c r="J41" s="41">
        <f t="shared" si="4"/>
        <v>5.6502626751642575E-2</v>
      </c>
      <c r="K41" s="23">
        <f t="shared" si="6"/>
        <v>-84406.02000000095</v>
      </c>
      <c r="L41" s="94">
        <f t="shared" si="5"/>
        <v>-2.0026809904899352</v>
      </c>
      <c r="M41" s="72" t="s">
        <v>113</v>
      </c>
    </row>
    <row r="42" spans="1:16382" ht="15" customHeight="1">
      <c r="A42" s="21">
        <v>414</v>
      </c>
      <c r="B42" s="22" t="s">
        <v>73</v>
      </c>
      <c r="C42" s="23">
        <v>4883246.72</v>
      </c>
      <c r="D42" s="41">
        <f t="shared" si="1"/>
        <v>6.1668835259203129E-2</v>
      </c>
      <c r="E42" s="107">
        <v>7136783.3594000004</v>
      </c>
      <c r="F42" s="41">
        <f t="shared" si="0"/>
        <v>9.0127970693944556E-2</v>
      </c>
      <c r="G42" s="23">
        <f t="shared" si="2"/>
        <v>-2253536.6394000007</v>
      </c>
      <c r="H42" s="94">
        <f t="shared" si="3"/>
        <v>-31.576363270601775</v>
      </c>
      <c r="I42" s="23">
        <v>4802528.29</v>
      </c>
      <c r="J42" s="41">
        <f t="shared" si="4"/>
        <v>6.43838470626861E-2</v>
      </c>
      <c r="K42" s="23">
        <f t="shared" si="6"/>
        <v>80718.429999999702</v>
      </c>
      <c r="L42" s="94">
        <f t="shared" si="5"/>
        <v>1.6807486624925332</v>
      </c>
      <c r="M42" s="72" t="s">
        <v>114</v>
      </c>
    </row>
    <row r="43" spans="1:16382" ht="15.75" customHeight="1">
      <c r="A43" s="21">
        <v>415</v>
      </c>
      <c r="B43" s="22" t="s">
        <v>32</v>
      </c>
      <c r="C43" s="23">
        <v>3324707.3000000003</v>
      </c>
      <c r="D43" s="41">
        <f t="shared" si="1"/>
        <v>4.1986579528951191E-2</v>
      </c>
      <c r="E43" s="23">
        <v>3589091.6406</v>
      </c>
      <c r="F43" s="41">
        <f t="shared" si="0"/>
        <v>4.5325397999621139E-2</v>
      </c>
      <c r="G43" s="23">
        <f t="shared" si="2"/>
        <v>-264384.34059999976</v>
      </c>
      <c r="H43" s="94">
        <f t="shared" si="3"/>
        <v>-7.3663301769525589</v>
      </c>
      <c r="I43" s="23">
        <v>2176513.9899999998</v>
      </c>
      <c r="J43" s="41">
        <f t="shared" si="4"/>
        <v>2.9178869004008866E-2</v>
      </c>
      <c r="K43" s="23">
        <f t="shared" si="6"/>
        <v>1148193.3100000005</v>
      </c>
      <c r="L43" s="94">
        <f t="shared" si="5"/>
        <v>52.753775775178951</v>
      </c>
      <c r="M43" s="72" t="s">
        <v>115</v>
      </c>
    </row>
    <row r="44" spans="1:16382" ht="15" customHeight="1">
      <c r="A44" s="21">
        <v>416</v>
      </c>
      <c r="B44" s="22" t="s">
        <v>33</v>
      </c>
      <c r="C44" s="23">
        <v>1186237.8399999999</v>
      </c>
      <c r="D44" s="41">
        <f t="shared" si="1"/>
        <v>1.4980587737576561E-2</v>
      </c>
      <c r="E44" s="23">
        <v>1561368.5096000002</v>
      </c>
      <c r="F44" s="41">
        <f t="shared" si="0"/>
        <v>1.971798332512471E-2</v>
      </c>
      <c r="G44" s="23">
        <f t="shared" si="2"/>
        <v>-375130.66960000037</v>
      </c>
      <c r="H44" s="94">
        <f t="shared" si="3"/>
        <v>-24.02576120201779</v>
      </c>
      <c r="I44" s="23">
        <v>1407293.5</v>
      </c>
      <c r="J44" s="41">
        <f t="shared" si="4"/>
        <v>1.886651447009222E-2</v>
      </c>
      <c r="K44" s="23">
        <f t="shared" si="6"/>
        <v>-221055.66000000015</v>
      </c>
      <c r="L44" s="94">
        <f t="shared" si="5"/>
        <v>-15.707857671480767</v>
      </c>
      <c r="M44" s="72" t="s">
        <v>116</v>
      </c>
    </row>
    <row r="45" spans="1:16382" ht="15" customHeight="1">
      <c r="A45" s="21">
        <v>417</v>
      </c>
      <c r="B45" s="22" t="s">
        <v>34</v>
      </c>
      <c r="C45" s="23">
        <v>293464.94999999995</v>
      </c>
      <c r="D45" s="41">
        <f t="shared" si="1"/>
        <v>3.7060674370145855E-3</v>
      </c>
      <c r="E45" s="23">
        <v>338135.20350000006</v>
      </c>
      <c r="F45" s="41">
        <f t="shared" si="0"/>
        <v>4.2701926311801489E-3</v>
      </c>
      <c r="G45" s="23">
        <f t="shared" si="2"/>
        <v>-44670.253500000108</v>
      </c>
      <c r="H45" s="94">
        <f t="shared" si="3"/>
        <v>-13.210766887807964</v>
      </c>
      <c r="I45" s="23">
        <v>282962.14</v>
      </c>
      <c r="J45" s="41">
        <f t="shared" si="4"/>
        <v>3.7934583715467035E-3</v>
      </c>
      <c r="K45" s="23">
        <f t="shared" si="6"/>
        <v>10502.809999999939</v>
      </c>
      <c r="L45" s="94">
        <f t="shared" si="5"/>
        <v>3.7117368422503176</v>
      </c>
      <c r="M45" s="72" t="s">
        <v>117</v>
      </c>
    </row>
    <row r="46" spans="1:16382" ht="15" customHeight="1">
      <c r="A46" s="21">
        <v>418</v>
      </c>
      <c r="B46" s="22" t="s">
        <v>35</v>
      </c>
      <c r="C46" s="23">
        <v>2061444.5</v>
      </c>
      <c r="D46" s="41">
        <f t="shared" si="1"/>
        <v>2.6033270190061249E-2</v>
      </c>
      <c r="E46" s="23">
        <v>3126052.3547000005</v>
      </c>
      <c r="F46" s="41">
        <f t="shared" si="0"/>
        <v>3.9477834876554908E-2</v>
      </c>
      <c r="G46" s="23">
        <f t="shared" si="2"/>
        <v>-1064607.8547000005</v>
      </c>
      <c r="H46" s="94">
        <f t="shared" si="3"/>
        <v>-34.055982878833404</v>
      </c>
      <c r="I46" s="23">
        <v>1351839.21</v>
      </c>
      <c r="J46" s="41">
        <f t="shared" si="4"/>
        <v>1.8123080947011434E-2</v>
      </c>
      <c r="K46" s="23">
        <f t="shared" si="6"/>
        <v>709605.29</v>
      </c>
      <c r="L46" s="94">
        <f t="shared" si="5"/>
        <v>52.491841096989646</v>
      </c>
      <c r="M46" s="72" t="s">
        <v>118</v>
      </c>
    </row>
    <row r="47" spans="1:16382" ht="15" customHeight="1">
      <c r="A47" s="21">
        <v>419</v>
      </c>
      <c r="B47" s="22" t="s">
        <v>36</v>
      </c>
      <c r="C47" s="23">
        <v>6134235.3400000017</v>
      </c>
      <c r="D47" s="41">
        <f t="shared" si="1"/>
        <v>7.7467138220622622E-2</v>
      </c>
      <c r="E47" s="23">
        <v>5803030.9393999986</v>
      </c>
      <c r="F47" s="41">
        <f t="shared" si="0"/>
        <v>7.3284472304097986E-2</v>
      </c>
      <c r="G47" s="23">
        <f t="shared" si="2"/>
        <v>331204.40060000308</v>
      </c>
      <c r="H47" s="94">
        <f t="shared" si="3"/>
        <v>5.7074381311888516</v>
      </c>
      <c r="I47" s="23">
        <v>4623693.42</v>
      </c>
      <c r="J47" s="41">
        <f t="shared" si="4"/>
        <v>6.1986343867643949E-2</v>
      </c>
      <c r="K47" s="23">
        <f t="shared" si="6"/>
        <v>1510541.9200000018</v>
      </c>
      <c r="L47" s="94">
        <f t="shared" si="5"/>
        <v>32.669595122074554</v>
      </c>
      <c r="M47" s="72" t="s">
        <v>119</v>
      </c>
    </row>
    <row r="48" spans="1:16382" ht="15" customHeight="1">
      <c r="A48" s="18">
        <v>42</v>
      </c>
      <c r="B48" s="19" t="s">
        <v>37</v>
      </c>
      <c r="C48" s="20">
        <v>1475414.54</v>
      </c>
      <c r="D48" s="40">
        <f t="shared" si="1"/>
        <v>1.8632500347287997E-2</v>
      </c>
      <c r="E48" s="20">
        <v>1022175.6384000002</v>
      </c>
      <c r="F48" s="40">
        <f t="shared" si="0"/>
        <v>1.2908702890698998E-2</v>
      </c>
      <c r="G48" s="20">
        <f t="shared" si="2"/>
        <v>453238.90159999987</v>
      </c>
      <c r="H48" s="89">
        <f t="shared" si="3"/>
        <v>44.340608851669515</v>
      </c>
      <c r="I48" s="20">
        <v>931335.86</v>
      </c>
      <c r="J48" s="40">
        <f t="shared" si="4"/>
        <v>1.2485712098581981E-2</v>
      </c>
      <c r="K48" s="20">
        <f t="shared" si="6"/>
        <v>544078.68000000005</v>
      </c>
      <c r="L48" s="89">
        <f t="shared" si="5"/>
        <v>58.419170072545057</v>
      </c>
      <c r="M48" s="71" t="s">
        <v>120</v>
      </c>
    </row>
    <row r="49" spans="1:16382" ht="15" customHeight="1">
      <c r="A49" s="18">
        <v>43</v>
      </c>
      <c r="B49" s="19" t="s">
        <v>169</v>
      </c>
      <c r="C49" s="20">
        <v>62535097.590000004</v>
      </c>
      <c r="D49" s="40">
        <f t="shared" si="1"/>
        <v>0.78973413638946766</v>
      </c>
      <c r="E49" s="20">
        <v>61614336.573490001</v>
      </c>
      <c r="F49" s="40">
        <f t="shared" si="0"/>
        <v>0.77810616371143526</v>
      </c>
      <c r="G49" s="20">
        <f t="shared" si="2"/>
        <v>920761.01651000232</v>
      </c>
      <c r="H49" s="89">
        <f t="shared" si="3"/>
        <v>1.4943941097406395</v>
      </c>
      <c r="I49" s="20">
        <v>52050232.603</v>
      </c>
      <c r="J49" s="40">
        <f t="shared" si="4"/>
        <v>0.69779791250095691</v>
      </c>
      <c r="K49" s="20">
        <f t="shared" si="6"/>
        <v>10484864.987000003</v>
      </c>
      <c r="L49" s="89">
        <f t="shared" si="5"/>
        <v>20.143742808933567</v>
      </c>
      <c r="M49" s="71" t="s">
        <v>126</v>
      </c>
    </row>
    <row r="50" spans="1:16382" ht="15" customHeight="1">
      <c r="A50" s="18">
        <v>44</v>
      </c>
      <c r="B50" s="19" t="s">
        <v>64</v>
      </c>
      <c r="C50" s="20">
        <v>54932940.170000009</v>
      </c>
      <c r="D50" s="40">
        <f t="shared" si="1"/>
        <v>0.69372911750962951</v>
      </c>
      <c r="E50" s="20">
        <v>57047161.955700003</v>
      </c>
      <c r="F50" s="40">
        <f t="shared" si="0"/>
        <v>0.72042889380185648</v>
      </c>
      <c r="G50" s="20">
        <f t="shared" si="2"/>
        <v>-2114221.7856999934</v>
      </c>
      <c r="H50" s="89">
        <f t="shared" si="3"/>
        <v>-3.7060945947526562</v>
      </c>
      <c r="I50" s="20">
        <v>44969738.140000008</v>
      </c>
      <c r="J50" s="40">
        <f t="shared" si="4"/>
        <v>0.60287510411621181</v>
      </c>
      <c r="K50" s="20">
        <f t="shared" si="6"/>
        <v>9963202.0300000012</v>
      </c>
      <c r="L50" s="89">
        <f t="shared" si="5"/>
        <v>22.15534811206264</v>
      </c>
      <c r="M50" s="71" t="s">
        <v>127</v>
      </c>
    </row>
    <row r="51" spans="1:16382" ht="15" customHeight="1">
      <c r="A51" s="18">
        <v>45</v>
      </c>
      <c r="B51" s="19" t="s">
        <v>44</v>
      </c>
      <c r="C51" s="20">
        <v>35033.599999999999</v>
      </c>
      <c r="D51" s="40">
        <f t="shared" si="1"/>
        <v>4.4242722737892278E-4</v>
      </c>
      <c r="E51" s="20">
        <v>0</v>
      </c>
      <c r="F51" s="40">
        <f t="shared" si="0"/>
        <v>0</v>
      </c>
      <c r="G51" s="20">
        <f t="shared" si="2"/>
        <v>35033.599999999999</v>
      </c>
      <c r="H51" s="89">
        <f>+IFERROR(C51/E51*100-100,0)</f>
        <v>0</v>
      </c>
      <c r="I51" s="20">
        <v>408068.9</v>
      </c>
      <c r="J51" s="40">
        <f t="shared" si="4"/>
        <v>5.4706696269432179E-3</v>
      </c>
      <c r="K51" s="20">
        <f t="shared" si="6"/>
        <v>-373035.30000000005</v>
      </c>
      <c r="L51" s="89">
        <f>+IFERROR(C51/I51*100-100,0)</f>
        <v>-91.414783140788231</v>
      </c>
      <c r="M51" s="71" t="s">
        <v>128</v>
      </c>
    </row>
    <row r="52" spans="1:16382" ht="15" customHeight="1">
      <c r="A52" s="18">
        <v>462</v>
      </c>
      <c r="B52" s="19" t="s">
        <v>45</v>
      </c>
      <c r="C52" s="20">
        <v>0</v>
      </c>
      <c r="D52" s="40">
        <f t="shared" si="1"/>
        <v>0</v>
      </c>
      <c r="E52" s="20">
        <v>0</v>
      </c>
      <c r="F52" s="40">
        <f t="shared" si="0"/>
        <v>0</v>
      </c>
      <c r="G52" s="20">
        <f t="shared" si="2"/>
        <v>0</v>
      </c>
      <c r="H52" s="89">
        <v>0</v>
      </c>
      <c r="I52" s="20">
        <v>0</v>
      </c>
      <c r="J52" s="40">
        <f t="shared" si="4"/>
        <v>0</v>
      </c>
      <c r="K52" s="20">
        <f t="shared" si="6"/>
        <v>0</v>
      </c>
      <c r="L52" s="89">
        <f>+IFERROR(C52/I52*100-100,0)</f>
        <v>0</v>
      </c>
      <c r="M52" s="71" t="s">
        <v>129</v>
      </c>
    </row>
    <row r="53" spans="1:16382" ht="15" customHeight="1">
      <c r="A53" s="18">
        <v>463</v>
      </c>
      <c r="B53" s="19" t="s">
        <v>46</v>
      </c>
      <c r="C53" s="20">
        <v>16226519.35</v>
      </c>
      <c r="D53" s="40">
        <f>+C53/$C$2*100</f>
        <v>0.20491910525983456</v>
      </c>
      <c r="E53" s="20">
        <v>16664567.092600001</v>
      </c>
      <c r="F53" s="40">
        <f>+E53/$E$2*100</f>
        <v>0.21045105881922085</v>
      </c>
      <c r="G53" s="20">
        <f>+C53-E53</f>
        <v>-438047.74260000139</v>
      </c>
      <c r="H53" s="89">
        <f>+C53/E53*100-100</f>
        <v>-2.628617594239941</v>
      </c>
      <c r="I53" s="20">
        <v>19520470.489999998</v>
      </c>
      <c r="J53" s="40">
        <v>0</v>
      </c>
      <c r="K53" s="20">
        <f>+C53-I53</f>
        <v>-3293951.1399999987</v>
      </c>
      <c r="L53" s="89">
        <f>+C53/I53*100-100</f>
        <v>-16.874342970818418</v>
      </c>
      <c r="M53" s="71" t="s">
        <v>130</v>
      </c>
    </row>
    <row r="54" spans="1:16382" ht="15" customHeight="1">
      <c r="A54" s="18">
        <v>47</v>
      </c>
      <c r="B54" s="19" t="s">
        <v>47</v>
      </c>
      <c r="C54" s="20">
        <v>1731445.0000000005</v>
      </c>
      <c r="D54" s="40">
        <f t="shared" si="1"/>
        <v>2.1865820546820743E-2</v>
      </c>
      <c r="E54" s="20">
        <v>2140596.7804999999</v>
      </c>
      <c r="F54" s="40">
        <f t="shared" si="0"/>
        <v>2.7032856986803053E-2</v>
      </c>
      <c r="G54" s="20">
        <f t="shared" si="2"/>
        <v>-409151.78049999941</v>
      </c>
      <c r="H54" s="89">
        <f t="shared" si="3"/>
        <v>-19.113911794468351</v>
      </c>
      <c r="I54" s="20">
        <v>1337505.96</v>
      </c>
      <c r="J54" s="40">
        <f t="shared" si="4"/>
        <v>1.7930925956934064E-2</v>
      </c>
      <c r="K54" s="20">
        <f t="shared" si="6"/>
        <v>393939.0400000005</v>
      </c>
      <c r="L54" s="89">
        <f t="shared" si="5"/>
        <v>29.453254922318308</v>
      </c>
      <c r="M54" s="71" t="s">
        <v>131</v>
      </c>
    </row>
    <row r="55" spans="1:16382" s="34" customFormat="1" ht="15" customHeight="1">
      <c r="A55" s="31"/>
      <c r="B55" s="32" t="s">
        <v>76</v>
      </c>
      <c r="C55" s="33">
        <f>+C6-C37</f>
        <v>-2499182.623091042</v>
      </c>
      <c r="D55" s="43">
        <f t="shared" si="1"/>
        <v>-3.1561313671668145E-2</v>
      </c>
      <c r="E55" s="33">
        <f>+E6-E37</f>
        <v>-1976165.0997899771</v>
      </c>
      <c r="F55" s="43">
        <f t="shared" si="0"/>
        <v>-2.4956306115930756E-2</v>
      </c>
      <c r="G55" s="33">
        <f t="shared" si="2"/>
        <v>-523017.52330106497</v>
      </c>
      <c r="H55" s="99">
        <f t="shared" si="3"/>
        <v>26.466286817667722</v>
      </c>
      <c r="I55" s="33">
        <f>+I6-I37</f>
        <v>12317995.840999961</v>
      </c>
      <c r="J55" s="43">
        <f t="shared" si="4"/>
        <v>0.16513800907682835</v>
      </c>
      <c r="K55" s="33">
        <f t="shared" si="6"/>
        <v>-14817178.464091003</v>
      </c>
      <c r="L55" s="99">
        <f t="shared" si="5"/>
        <v>-120.28887373685102</v>
      </c>
      <c r="M55" s="70" t="s">
        <v>133</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row>
    <row r="56" spans="1:16382" ht="15" hidden="1" customHeight="1">
      <c r="A56" s="18"/>
      <c r="B56" s="19" t="s">
        <v>178</v>
      </c>
      <c r="C56" s="20">
        <v>0</v>
      </c>
      <c r="D56" s="40">
        <f>+C56/$C$2*100</f>
        <v>0</v>
      </c>
      <c r="E56" s="20">
        <v>0</v>
      </c>
      <c r="F56" s="40">
        <f>+E56/$E$2*100</f>
        <v>0</v>
      </c>
      <c r="G56" s="20">
        <f>+C56-E56</f>
        <v>0</v>
      </c>
      <c r="H56" s="89" t="e">
        <f>+C56/E56*100-100</f>
        <v>#DIV/0!</v>
      </c>
      <c r="I56" s="20">
        <v>0</v>
      </c>
      <c r="J56" s="40">
        <f t="shared" si="4"/>
        <v>0</v>
      </c>
      <c r="K56" s="20">
        <f>+C56-I56</f>
        <v>0</v>
      </c>
      <c r="L56" s="89" t="e">
        <f>+C56/I56*100-100</f>
        <v>#DIV/0!</v>
      </c>
      <c r="M56" s="71" t="s">
        <v>132</v>
      </c>
    </row>
    <row r="57" spans="1:16382" s="34" customFormat="1" ht="15" customHeight="1">
      <c r="A57" s="31"/>
      <c r="B57" s="32" t="s">
        <v>58</v>
      </c>
      <c r="C57" s="33">
        <f>+C55-C56</f>
        <v>-2499182.623091042</v>
      </c>
      <c r="D57" s="43">
        <f t="shared" si="1"/>
        <v>-3.1561313671668145E-2</v>
      </c>
      <c r="E57" s="33">
        <f>+E55-E56</f>
        <v>-1976165.0997899771</v>
      </c>
      <c r="F57" s="43">
        <f t="shared" si="0"/>
        <v>-2.4956306115930756E-2</v>
      </c>
      <c r="G57" s="33">
        <f t="shared" si="2"/>
        <v>-523017.52330106497</v>
      </c>
      <c r="H57" s="99">
        <f t="shared" si="3"/>
        <v>26.466286817667722</v>
      </c>
      <c r="I57" s="33">
        <f>+I55-I56</f>
        <v>12317995.840999961</v>
      </c>
      <c r="J57" s="43">
        <f t="shared" si="4"/>
        <v>0.16513800907682835</v>
      </c>
      <c r="K57" s="33">
        <f t="shared" si="6"/>
        <v>-14817178.464091003</v>
      </c>
      <c r="L57" s="99">
        <f t="shared" si="5"/>
        <v>-120.28887373685102</v>
      </c>
      <c r="M57" s="70" t="s">
        <v>136</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row>
    <row r="58" spans="1:16382" s="34" customFormat="1" ht="15" customHeight="1">
      <c r="A58" s="31"/>
      <c r="B58" s="32" t="s">
        <v>74</v>
      </c>
      <c r="C58" s="33">
        <f>+C57+C44</f>
        <v>-1312944.7830910422</v>
      </c>
      <c r="D58" s="43">
        <f t="shared" si="1"/>
        <v>-1.6580725934091583E-2</v>
      </c>
      <c r="E58" s="33">
        <f>+E57+E44</f>
        <v>-414796.59018997685</v>
      </c>
      <c r="F58" s="43">
        <f t="shared" si="0"/>
        <v>-5.2383227908060466E-3</v>
      </c>
      <c r="G58" s="33">
        <f t="shared" si="2"/>
        <v>-898148.19290106534</v>
      </c>
      <c r="H58" s="99">
        <f t="shared" si="3"/>
        <v>216.52738092415694</v>
      </c>
      <c r="I58" s="33">
        <f>+I57+I44</f>
        <v>13725289.340999961</v>
      </c>
      <c r="J58" s="43">
        <f t="shared" si="4"/>
        <v>0.18400452354692057</v>
      </c>
      <c r="K58" s="33">
        <f t="shared" si="6"/>
        <v>-15038234.124091003</v>
      </c>
      <c r="L58" s="99">
        <f t="shared" si="5"/>
        <v>-109.56588054700629</v>
      </c>
      <c r="M58" s="70" t="s">
        <v>135</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row>
    <row r="59" spans="1:16382" s="34" customFormat="1" ht="15" customHeight="1">
      <c r="A59" s="31"/>
      <c r="B59" s="32" t="s">
        <v>75</v>
      </c>
      <c r="C59" s="33">
        <f>+C6-(C37-C50)</f>
        <v>52433757.546908975</v>
      </c>
      <c r="D59" s="43">
        <f t="shared" si="1"/>
        <v>0.66216780383796148</v>
      </c>
      <c r="E59" s="33">
        <f>+E6-(E37-E50)</f>
        <v>55070996.855910033</v>
      </c>
      <c r="F59" s="43">
        <f t="shared" si="0"/>
        <v>0.69547258768592579</v>
      </c>
      <c r="G59" s="33">
        <f t="shared" si="2"/>
        <v>-2637239.3090010583</v>
      </c>
      <c r="H59" s="99">
        <f t="shared" si="3"/>
        <v>-4.7887989314978938</v>
      </c>
      <c r="I59" s="33">
        <f>+I6-(I37-I50)</f>
        <v>57287733.980999976</v>
      </c>
      <c r="J59" s="43">
        <f t="shared" si="4"/>
        <v>0.76801311319304033</v>
      </c>
      <c r="K59" s="33">
        <f t="shared" si="6"/>
        <v>-4853976.4340910017</v>
      </c>
      <c r="L59" s="99">
        <f t="shared" si="5"/>
        <v>-8.472976843002499</v>
      </c>
      <c r="M59" s="70" t="s">
        <v>134</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row>
    <row r="60" spans="1:16382" s="34" customFormat="1" ht="15" customHeight="1">
      <c r="A60" s="31"/>
      <c r="B60" s="32" t="s">
        <v>0</v>
      </c>
      <c r="C60" s="33">
        <f>+C61+C62</f>
        <v>8436176.0300000012</v>
      </c>
      <c r="D60" s="43">
        <f t="shared" si="1"/>
        <v>0.10653755168276821</v>
      </c>
      <c r="E60" s="33">
        <f>+E61+E62</f>
        <v>9782919.7449113056</v>
      </c>
      <c r="F60" s="43">
        <f t="shared" si="0"/>
        <v>0.12354511264647731</v>
      </c>
      <c r="G60" s="33">
        <f t="shared" si="2"/>
        <v>-1346743.7149113044</v>
      </c>
      <c r="H60" s="99">
        <f t="shared" si="3"/>
        <v>-13.766275815682008</v>
      </c>
      <c r="I60" s="33">
        <f>+I61+I62</f>
        <v>7904414.6600000001</v>
      </c>
      <c r="J60" s="43">
        <f t="shared" si="4"/>
        <v>0.10596848032091322</v>
      </c>
      <c r="K60" s="33">
        <f t="shared" si="6"/>
        <v>531761.37000000104</v>
      </c>
      <c r="L60" s="99">
        <f t="shared" si="5"/>
        <v>6.7273971935070591</v>
      </c>
      <c r="M60" s="70" t="s">
        <v>137</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row>
    <row r="61" spans="1:16382">
      <c r="A61" s="21">
        <v>4611</v>
      </c>
      <c r="B61" s="22" t="s">
        <v>51</v>
      </c>
      <c r="C61" s="23">
        <v>7218494.7700000005</v>
      </c>
      <c r="D61" s="41">
        <f t="shared" si="1"/>
        <v>9.1159875860327089E-2</v>
      </c>
      <c r="E61" s="23">
        <v>7921710.7370276004</v>
      </c>
      <c r="F61" s="41">
        <f t="shared" si="0"/>
        <v>0.10004054728834502</v>
      </c>
      <c r="G61" s="23">
        <f t="shared" si="2"/>
        <v>-703215.96702759992</v>
      </c>
      <c r="H61" s="94">
        <f t="shared" si="3"/>
        <v>-8.8770720160309935</v>
      </c>
      <c r="I61" s="23">
        <v>6717745.3300000001</v>
      </c>
      <c r="J61" s="41">
        <f t="shared" si="4"/>
        <v>9.0059706432836825E-2</v>
      </c>
      <c r="K61" s="23">
        <f t="shared" si="6"/>
        <v>500749.44000000041</v>
      </c>
      <c r="L61" s="94">
        <f t="shared" si="5"/>
        <v>7.4541295539109171</v>
      </c>
      <c r="M61" s="72" t="s">
        <v>138</v>
      </c>
    </row>
    <row r="62" spans="1:16382" ht="15" customHeight="1">
      <c r="A62" s="21">
        <v>4612</v>
      </c>
      <c r="B62" s="22" t="s">
        <v>52</v>
      </c>
      <c r="C62" s="23">
        <v>1217681.26</v>
      </c>
      <c r="D62" s="41">
        <f t="shared" si="1"/>
        <v>1.5377675822441117E-2</v>
      </c>
      <c r="E62" s="23">
        <v>1861209.007883705</v>
      </c>
      <c r="F62" s="41">
        <f t="shared" si="0"/>
        <v>2.3504565358132286E-2</v>
      </c>
      <c r="G62" s="23">
        <f t="shared" si="2"/>
        <v>-643527.74788370496</v>
      </c>
      <c r="H62" s="94">
        <f t="shared" si="3"/>
        <v>-34.575791604158994</v>
      </c>
      <c r="I62" s="23">
        <v>1186669.33</v>
      </c>
      <c r="J62" s="41">
        <f t="shared" si="4"/>
        <v>1.5908773888076398E-2</v>
      </c>
      <c r="K62" s="23">
        <f t="shared" si="6"/>
        <v>31011.929999999935</v>
      </c>
      <c r="L62" s="94">
        <f t="shared" si="5"/>
        <v>2.613359022264433</v>
      </c>
      <c r="M62" s="72" t="s">
        <v>139</v>
      </c>
    </row>
    <row r="63" spans="1:16382" ht="15" hidden="1" customHeight="1">
      <c r="A63" s="21">
        <v>463</v>
      </c>
      <c r="B63" s="22" t="s">
        <v>46</v>
      </c>
      <c r="C63" s="23"/>
      <c r="D63" s="41"/>
      <c r="E63" s="23"/>
      <c r="F63" s="41"/>
      <c r="G63" s="23"/>
      <c r="H63" s="94"/>
      <c r="I63" s="23"/>
      <c r="J63" s="41">
        <f t="shared" si="4"/>
        <v>0</v>
      </c>
      <c r="K63" s="23"/>
      <c r="L63" s="94"/>
      <c r="M63" s="72"/>
    </row>
    <row r="64" spans="1:16382" s="34" customFormat="1" ht="15" customHeight="1">
      <c r="A64" s="31">
        <v>4418</v>
      </c>
      <c r="B64" s="32" t="s">
        <v>62</v>
      </c>
      <c r="C64" s="33">
        <v>0</v>
      </c>
      <c r="D64" s="43">
        <f t="shared" si="1"/>
        <v>0</v>
      </c>
      <c r="E64" s="33">
        <v>0</v>
      </c>
      <c r="F64" s="43">
        <f t="shared" ref="F64:F73" si="25">+E64/$E$2*100</f>
        <v>0</v>
      </c>
      <c r="G64" s="33">
        <f t="shared" si="2"/>
        <v>0</v>
      </c>
      <c r="H64" s="99">
        <f>+IFERROR(C64/E64*100-100,0)</f>
        <v>0</v>
      </c>
      <c r="I64" s="33">
        <v>0</v>
      </c>
      <c r="J64" s="43">
        <f t="shared" si="4"/>
        <v>0</v>
      </c>
      <c r="K64" s="33">
        <f t="shared" si="6"/>
        <v>0</v>
      </c>
      <c r="L64" s="99">
        <f>+IFERROR(C64/I64*100-100,0)</f>
        <v>0</v>
      </c>
      <c r="M64" s="70" t="s">
        <v>140</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row>
    <row r="65" spans="1:16382" s="34" customFormat="1" ht="15" customHeight="1">
      <c r="A65" s="31">
        <v>45</v>
      </c>
      <c r="B65" s="32" t="s">
        <v>44</v>
      </c>
      <c r="C65" s="33">
        <v>0</v>
      </c>
      <c r="D65" s="43">
        <f t="shared" si="1"/>
        <v>0</v>
      </c>
      <c r="E65" s="33">
        <v>0</v>
      </c>
      <c r="F65" s="43">
        <f t="shared" si="25"/>
        <v>0</v>
      </c>
      <c r="G65" s="33">
        <f t="shared" si="2"/>
        <v>0</v>
      </c>
      <c r="H65" s="99">
        <f>+IFERROR(C65/E65*100-100,0)</f>
        <v>0</v>
      </c>
      <c r="I65" s="33">
        <v>3074.2200000000003</v>
      </c>
      <c r="J65" s="43">
        <f t="shared" si="4"/>
        <v>4.1213731260925253E-5</v>
      </c>
      <c r="K65" s="33">
        <f t="shared" si="6"/>
        <v>-3074.2200000000003</v>
      </c>
      <c r="L65" s="99">
        <f>+IFERROR(C65/I65*100-100,0)</f>
        <v>-100</v>
      </c>
      <c r="M65" s="70" t="s">
        <v>128</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row>
    <row r="66" spans="1:16382" s="34" customFormat="1" ht="15" customHeight="1">
      <c r="A66" s="31"/>
      <c r="B66" s="32" t="s">
        <v>53</v>
      </c>
      <c r="C66" s="33">
        <f>+C57-C60-C64-C65</f>
        <v>-10935358.653091043</v>
      </c>
      <c r="D66" s="43">
        <f t="shared" si="1"/>
        <v>-0.13809886535443636</v>
      </c>
      <c r="E66" s="33">
        <f>+E57-E60-E64-E65</f>
        <v>-11759084.844701283</v>
      </c>
      <c r="F66" s="43">
        <f t="shared" si="25"/>
        <v>-0.14850141876240808</v>
      </c>
      <c r="G66" s="33">
        <f t="shared" ref="G66:G73" si="26">+C66-E66</f>
        <v>823726.19161023945</v>
      </c>
      <c r="H66" s="99">
        <f t="shared" ref="H66:H73" si="27">+C66/E66*100-100</f>
        <v>-7.0050195443688352</v>
      </c>
      <c r="I66" s="33">
        <f>+I57-I60-I64-I65</f>
        <v>4410506.960999961</v>
      </c>
      <c r="J66" s="43">
        <f t="shared" si="4"/>
        <v>5.9128315024654224E-2</v>
      </c>
      <c r="K66" s="33">
        <f t="shared" ref="K66:K73" si="28">+C66-I66</f>
        <v>-15345865.614091005</v>
      </c>
      <c r="L66" s="99">
        <f t="shared" ref="L66:L73" si="29">+C66/I66*100-100</f>
        <v>-347.93881405895689</v>
      </c>
      <c r="M66" s="70" t="s">
        <v>141</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row>
    <row r="67" spans="1:16382" s="34" customFormat="1" ht="15" customHeight="1">
      <c r="A67" s="31"/>
      <c r="B67" s="32" t="s">
        <v>48</v>
      </c>
      <c r="C67" s="33">
        <f>+SUM(C68:C73)+C56</f>
        <v>10935358.653091043</v>
      </c>
      <c r="D67" s="43">
        <f t="shared" ref="D67:D73" si="30">+C67/$C$2*100</f>
        <v>0.13809886535443636</v>
      </c>
      <c r="E67" s="33">
        <f>+SUM(E68:E73)+E56</f>
        <v>11759084.844701283</v>
      </c>
      <c r="F67" s="43">
        <f t="shared" si="25"/>
        <v>0.14850141876240808</v>
      </c>
      <c r="G67" s="33">
        <f t="shared" si="26"/>
        <v>-823726.19161023945</v>
      </c>
      <c r="H67" s="99">
        <f t="shared" si="27"/>
        <v>-7.0050195443688352</v>
      </c>
      <c r="I67" s="33">
        <f>+SUM(I68:I73)+I56</f>
        <v>-4410506.9609999619</v>
      </c>
      <c r="J67" s="43">
        <f t="shared" ref="J67:J73" si="31">+I67/$I$2*100</f>
        <v>-5.9128315024654238E-2</v>
      </c>
      <c r="K67" s="33">
        <f t="shared" si="28"/>
        <v>15345865.614091005</v>
      </c>
      <c r="L67" s="99">
        <f t="shared" si="29"/>
        <v>-347.93881405895684</v>
      </c>
      <c r="M67" s="70" t="s">
        <v>142</v>
      </c>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c r="XFA67" s="1"/>
      <c r="XFB67" s="1"/>
    </row>
    <row r="68" spans="1:16382">
      <c r="A68" s="21">
        <v>7511</v>
      </c>
      <c r="B68" s="22" t="s">
        <v>54</v>
      </c>
      <c r="C68" s="23">
        <v>1205813.49</v>
      </c>
      <c r="D68" s="41">
        <f t="shared" si="30"/>
        <v>1.5227801856412199E-2</v>
      </c>
      <c r="E68" s="23">
        <v>2046065</v>
      </c>
      <c r="F68" s="41">
        <f t="shared" si="25"/>
        <v>2.583904779945697E-2</v>
      </c>
      <c r="G68" s="23">
        <f t="shared" si="26"/>
        <v>-840251.51</v>
      </c>
      <c r="H68" s="94">
        <f t="shared" si="27"/>
        <v>-41.066706580680481</v>
      </c>
      <c r="I68" s="23">
        <v>485330</v>
      </c>
      <c r="J68" s="41">
        <f t="shared" si="31"/>
        <v>6.5064504794272527E-3</v>
      </c>
      <c r="K68" s="23">
        <f t="shared" si="28"/>
        <v>720483.49</v>
      </c>
      <c r="L68" s="94">
        <f t="shared" si="29"/>
        <v>148.45228813384708</v>
      </c>
      <c r="M68" s="72" t="s">
        <v>143</v>
      </c>
    </row>
    <row r="69" spans="1:16382" ht="15" customHeight="1">
      <c r="A69" s="21">
        <v>7512</v>
      </c>
      <c r="B69" s="22" t="s">
        <v>49</v>
      </c>
      <c r="C69" s="23">
        <v>272053.82</v>
      </c>
      <c r="D69" s="41">
        <f t="shared" si="30"/>
        <v>3.435673675569868E-3</v>
      </c>
      <c r="E69" s="23">
        <v>2000000</v>
      </c>
      <c r="F69" s="41">
        <f t="shared" si="25"/>
        <v>2.5257308833743764E-2</v>
      </c>
      <c r="G69" s="23">
        <f t="shared" si="26"/>
        <v>-1727946.18</v>
      </c>
      <c r="H69" s="94">
        <f t="shared" si="27"/>
        <v>-86.397309000000007</v>
      </c>
      <c r="I69" s="23">
        <v>630078.91999999993</v>
      </c>
      <c r="J69" s="41">
        <f t="shared" si="31"/>
        <v>8.4469892467207985E-3</v>
      </c>
      <c r="K69" s="23">
        <f t="shared" si="28"/>
        <v>-358025.09999999992</v>
      </c>
      <c r="L69" s="94">
        <f t="shared" si="29"/>
        <v>-56.822262836534819</v>
      </c>
      <c r="M69" s="72" t="s">
        <v>144</v>
      </c>
    </row>
    <row r="70" spans="1:16382" ht="15" customHeight="1">
      <c r="A70" s="18">
        <v>72</v>
      </c>
      <c r="B70" s="19" t="s">
        <v>168</v>
      </c>
      <c r="C70" s="20">
        <v>4119400.6999999993</v>
      </c>
      <c r="D70" s="40">
        <f t="shared" si="30"/>
        <v>5.2022487844920119E-2</v>
      </c>
      <c r="E70" s="20">
        <v>4000000</v>
      </c>
      <c r="F70" s="40">
        <f t="shared" si="25"/>
        <v>5.0514617667487528E-2</v>
      </c>
      <c r="G70" s="20">
        <f t="shared" si="26"/>
        <v>119400.69999999925</v>
      </c>
      <c r="H70" s="89">
        <f t="shared" si="27"/>
        <v>2.9850174999999695</v>
      </c>
      <c r="I70" s="20">
        <v>3381882.5</v>
      </c>
      <c r="J70" s="40">
        <f t="shared" si="31"/>
        <v>4.5338328587747799E-2</v>
      </c>
      <c r="K70" s="20">
        <f t="shared" si="28"/>
        <v>737518.19999999925</v>
      </c>
      <c r="L70" s="89">
        <f t="shared" si="29"/>
        <v>21.807919110140546</v>
      </c>
      <c r="M70" s="71" t="s">
        <v>145</v>
      </c>
    </row>
    <row r="71" spans="1:16382" ht="15" customHeight="1">
      <c r="A71" s="28">
        <v>73</v>
      </c>
      <c r="B71" s="19" t="s">
        <v>184</v>
      </c>
      <c r="C71" s="30">
        <v>175304.7</v>
      </c>
      <c r="D71" s="40">
        <f t="shared" si="30"/>
        <v>2.2138624739534004E-3</v>
      </c>
      <c r="E71" s="30">
        <v>29330.86</v>
      </c>
      <c r="F71" s="40">
        <f t="shared" si="25"/>
        <v>3.7040929468965087E-4</v>
      </c>
      <c r="G71" s="20">
        <f t="shared" si="26"/>
        <v>145973.84000000003</v>
      </c>
      <c r="H71" s="89">
        <f t="shared" si="27"/>
        <v>497.68005438640398</v>
      </c>
      <c r="I71" s="30">
        <v>97726.28</v>
      </c>
      <c r="J71" s="40">
        <f t="shared" si="31"/>
        <v>1.3101419680601693E-3</v>
      </c>
      <c r="K71" s="20">
        <f t="shared" si="28"/>
        <v>77578.420000000013</v>
      </c>
      <c r="L71" s="89">
        <f t="shared" si="29"/>
        <v>79.383375689732588</v>
      </c>
      <c r="M71" s="74" t="s">
        <v>107</v>
      </c>
    </row>
    <row r="72" spans="1:16382" ht="15" customHeight="1">
      <c r="A72" s="28"/>
      <c r="B72" s="29" t="s">
        <v>150</v>
      </c>
      <c r="C72" s="30">
        <v>11730225.652091</v>
      </c>
      <c r="D72" s="40">
        <f t="shared" si="30"/>
        <v>0.14813696599218287</v>
      </c>
      <c r="E72" s="30">
        <v>13000000</v>
      </c>
      <c r="F72" s="40">
        <f t="shared" ref="F72" si="32">+E72/$E$2*100</f>
        <v>0.16417250741933448</v>
      </c>
      <c r="G72" s="20">
        <f t="shared" ref="G72" si="33">+C72-E72</f>
        <v>-1269774.3479089998</v>
      </c>
      <c r="H72" s="89">
        <f t="shared" ref="H72" si="34">+C72/E72*100-100</f>
        <v>-9.767494983915384</v>
      </c>
      <c r="I72" s="30">
        <v>9477173.8300000019</v>
      </c>
      <c r="J72" s="40">
        <f t="shared" ref="J72" si="35">+I72/$I$2*100</f>
        <v>0.12705326728168242</v>
      </c>
      <c r="K72" s="20">
        <f t="shared" ref="K72" si="36">+C72-I72</f>
        <v>2253051.8220909983</v>
      </c>
      <c r="L72" s="89">
        <f t="shared" ref="L72" si="37">+C72/I72*100-100</f>
        <v>23.773456755208613</v>
      </c>
      <c r="M72" s="74" t="s">
        <v>151</v>
      </c>
    </row>
    <row r="73" spans="1:16382" ht="15" customHeight="1" thickBot="1">
      <c r="A73" s="24"/>
      <c r="B73" s="25" t="s">
        <v>192</v>
      </c>
      <c r="C73" s="26">
        <f>+-C66-SUM(C68:C72)</f>
        <v>-6567439.7089999579</v>
      </c>
      <c r="D73" s="42">
        <f t="shared" si="30"/>
        <v>-8.2937926488602112E-2</v>
      </c>
      <c r="E73" s="26">
        <f>+-E66-SUM(E68:E72)</f>
        <v>-9316311.0152987167</v>
      </c>
      <c r="F73" s="42">
        <f t="shared" si="25"/>
        <v>-0.11765247225230431</v>
      </c>
      <c r="G73" s="26">
        <f t="shared" si="26"/>
        <v>2748871.3062987588</v>
      </c>
      <c r="H73" s="95">
        <f t="shared" si="27"/>
        <v>-29.506006205511156</v>
      </c>
      <c r="I73" s="26">
        <f>+-I66-(SUM(I68:I72)+I56)</f>
        <v>-18482698.490999963</v>
      </c>
      <c r="J73" s="42">
        <f t="shared" si="31"/>
        <v>-0.24778349258829266</v>
      </c>
      <c r="K73" s="26">
        <f t="shared" si="28"/>
        <v>11915258.782000005</v>
      </c>
      <c r="L73" s="95">
        <f t="shared" si="29"/>
        <v>-64.467094930981347</v>
      </c>
      <c r="M73" s="75" t="s">
        <v>146</v>
      </c>
    </row>
    <row r="74" spans="1:16382" ht="13.5" customHeight="1"/>
    <row r="76" spans="1:16382">
      <c r="B76" s="4" t="s">
        <v>191</v>
      </c>
    </row>
    <row r="77" spans="1:16382">
      <c r="B77" s="4" t="s">
        <v>193</v>
      </c>
    </row>
    <row r="78" spans="1:16382">
      <c r="G78" s="84"/>
    </row>
    <row r="80" spans="1:16382">
      <c r="J80" s="85"/>
    </row>
  </sheetData>
  <sheetProtection algorithmName="SHA-512" hashValue="BItSx/tG6qbCpCWbXDzUM3I6AQSqt/K8m7fmi2an1NbV2TZOCVu3GTfRQVLWC0kDWUzgiSFnigHVUalPOdVx/A==" saltValue="irzBC4slhLdQ1tSXUArTHw==" spinCount="100000" sheet="1"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EC67"/>
  <sheetViews>
    <sheetView zoomScale="90" zoomScaleNormal="90" zoomScaleSheetLayoutView="90" workbookViewId="0">
      <pane ySplit="5" topLeftCell="A6" activePane="bottomLeft" state="frozen"/>
      <selection activeCell="G14" sqref="G14"/>
      <selection pane="bottomLeft" activeCell="B1" sqref="B1"/>
    </sheetView>
  </sheetViews>
  <sheetFormatPr defaultColWidth="9.140625" defaultRowHeight="13.5"/>
  <cols>
    <col min="1" max="1" width="12.7109375" style="4" customWidth="1"/>
    <col min="2" max="2" width="65.7109375" style="4" bestFit="1" customWidth="1"/>
    <col min="3" max="3" width="9.140625" style="6"/>
    <col min="4" max="4" width="9.140625" style="4"/>
    <col min="5" max="5" width="9.140625" style="6"/>
    <col min="6" max="6" width="10" style="7" customWidth="1"/>
    <col min="7" max="7" width="10.42578125" style="6" customWidth="1"/>
    <col min="8" max="8" width="11.5703125" style="96" customWidth="1"/>
    <col min="9" max="9" width="9.140625" style="6"/>
    <col min="10" max="10" width="9.5703125" style="7" customWidth="1"/>
    <col min="11" max="11" width="11.28515625" style="6" customWidth="1"/>
    <col min="12" max="12" width="11.7109375" style="96" customWidth="1"/>
    <col min="13" max="13" width="53.85546875" style="4" customWidth="1"/>
    <col min="14" max="14" width="9.140625" style="1"/>
    <col min="15" max="15" width="12.140625" style="1" bestFit="1" customWidth="1"/>
    <col min="16" max="17" width="23.85546875" style="1" bestFit="1" customWidth="1"/>
    <col min="18" max="18" width="10.42578125" style="1" bestFit="1" customWidth="1"/>
    <col min="19" max="16384" width="9.140625" style="1"/>
  </cols>
  <sheetData>
    <row r="1" spans="1:16357" ht="18.75" customHeight="1" thickBot="1">
      <c r="B1" s="105"/>
      <c r="M1" s="5"/>
    </row>
    <row r="2" spans="1:16357" ht="15.75" customHeight="1" thickBot="1">
      <c r="A2" s="8" t="s">
        <v>57</v>
      </c>
      <c r="B2" s="8"/>
      <c r="C2" s="112">
        <f>'Centralna država-ek klas'!C2:D2</f>
        <v>7918500000</v>
      </c>
      <c r="D2" s="113"/>
      <c r="E2" s="112">
        <f>'Centralna država-ek klas'!E2:F2</f>
        <v>7918500000</v>
      </c>
      <c r="F2" s="113"/>
      <c r="G2" s="9"/>
      <c r="H2" s="97"/>
      <c r="I2" s="126">
        <f>+'Centralna država-ek klas'!I2:J2</f>
        <v>7459213000</v>
      </c>
      <c r="J2" s="127"/>
      <c r="K2" s="9"/>
      <c r="L2" s="97"/>
      <c r="M2" s="8" t="s">
        <v>77</v>
      </c>
    </row>
    <row r="3" spans="1:16357" ht="15" customHeight="1" thickBot="1">
      <c r="A3" s="8"/>
      <c r="B3" s="8"/>
      <c r="C3" s="11"/>
      <c r="D3" s="8"/>
      <c r="E3" s="11"/>
      <c r="F3" s="10"/>
      <c r="G3" s="11"/>
      <c r="H3" s="97"/>
      <c r="I3" s="11"/>
      <c r="J3" s="10"/>
      <c r="K3" s="11"/>
      <c r="L3" s="97"/>
      <c r="M3" s="8"/>
    </row>
    <row r="4" spans="1:16357" ht="15" customHeight="1">
      <c r="A4" s="118" t="s">
        <v>69</v>
      </c>
      <c r="B4" s="116" t="s">
        <v>70</v>
      </c>
      <c r="C4" s="122" t="s">
        <v>187</v>
      </c>
      <c r="D4" s="123"/>
      <c r="E4" s="124" t="s">
        <v>188</v>
      </c>
      <c r="F4" s="125"/>
      <c r="G4" s="120" t="s">
        <v>167</v>
      </c>
      <c r="H4" s="121"/>
      <c r="I4" s="120" t="s">
        <v>189</v>
      </c>
      <c r="J4" s="121"/>
      <c r="K4" s="120" t="s">
        <v>167</v>
      </c>
      <c r="L4" s="121"/>
      <c r="M4" s="114" t="s">
        <v>147</v>
      </c>
    </row>
    <row r="5" spans="1:16357" ht="24" customHeight="1">
      <c r="A5" s="119"/>
      <c r="B5" s="117"/>
      <c r="C5" s="12" t="s">
        <v>60</v>
      </c>
      <c r="D5" s="13" t="s">
        <v>55</v>
      </c>
      <c r="E5" s="12" t="s">
        <v>60</v>
      </c>
      <c r="F5" s="13" t="s">
        <v>55</v>
      </c>
      <c r="G5" s="12" t="s">
        <v>63</v>
      </c>
      <c r="H5" s="98" t="s">
        <v>61</v>
      </c>
      <c r="I5" s="12" t="s">
        <v>60</v>
      </c>
      <c r="J5" s="14" t="s">
        <v>55</v>
      </c>
      <c r="K5" s="12" t="s">
        <v>60</v>
      </c>
      <c r="L5" s="100" t="s">
        <v>61</v>
      </c>
      <c r="M5" s="115"/>
    </row>
    <row r="6" spans="1:16357" s="38" customFormat="1" ht="15" customHeight="1">
      <c r="A6" s="35"/>
      <c r="B6" s="36" t="s">
        <v>50</v>
      </c>
      <c r="C6" s="37">
        <f>+C7+C17+C22+C23+C24+C25+C26</f>
        <v>1517783000.7769086</v>
      </c>
      <c r="D6" s="44">
        <f>+C6/$C$2*100</f>
        <v>19.167556996614366</v>
      </c>
      <c r="E6" s="37">
        <f>+E7+E17+E22+E23+E24+E25+E26</f>
        <v>1562865189.4015887</v>
      </c>
      <c r="F6" s="44">
        <f t="shared" ref="F6:F52" si="0">+E6/$E$2*100</f>
        <v>19.736884377111682</v>
      </c>
      <c r="G6" s="37">
        <f>+C6-E6</f>
        <v>-45082188.624680042</v>
      </c>
      <c r="H6" s="101">
        <f>+C6/E6*100-100</f>
        <v>-2.8845858830563458</v>
      </c>
      <c r="I6" s="37">
        <f>+I7+I17+I22+I23+I24+I25+I26</f>
        <v>1498092057.2739999</v>
      </c>
      <c r="J6" s="44">
        <f>+I6/$I$2*100</f>
        <v>20.08378172434545</v>
      </c>
      <c r="K6" s="37">
        <f>+C6-I6</f>
        <v>19690943.502908707</v>
      </c>
      <c r="L6" s="101">
        <f>+C6/I6*100-100</f>
        <v>1.3144014352989331</v>
      </c>
      <c r="M6" s="79" t="s">
        <v>148</v>
      </c>
      <c r="N6" s="1"/>
      <c r="O6" s="1"/>
      <c r="P6" s="83"/>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1185436778.5789998</v>
      </c>
      <c r="D7" s="40">
        <f t="shared" ref="D7:D56" si="1">+C7/$C$2*100</f>
        <v>14.970471409724063</v>
      </c>
      <c r="E7" s="20">
        <f>+SUM(E8:E16)</f>
        <v>1178126104.4414701</v>
      </c>
      <c r="F7" s="40">
        <f t="shared" si="0"/>
        <v>14.878147432486836</v>
      </c>
      <c r="G7" s="20">
        <f t="shared" ref="G7:G55" si="2">+C7-E7</f>
        <v>7310674.1375296116</v>
      </c>
      <c r="H7" s="89">
        <f t="shared" ref="H7:H55" si="3">+C7/E7*100-100</f>
        <v>0.62053409307958418</v>
      </c>
      <c r="I7" s="20">
        <f>+SUM(I8:I16)</f>
        <v>1055462187.664</v>
      </c>
      <c r="J7" s="40">
        <f t="shared" ref="J7:J56" si="4">+I7/$I$2*100</f>
        <v>14.14977944273746</v>
      </c>
      <c r="K7" s="20">
        <f t="shared" ref="K7:K55" si="5">+C7-I7</f>
        <v>129974590.91499972</v>
      </c>
      <c r="L7" s="89">
        <f t="shared" ref="L7:L55" si="6">+C7/I7*100-100</f>
        <v>12.314471558916367</v>
      </c>
      <c r="M7" s="71" t="s">
        <v>78</v>
      </c>
      <c r="Q7" s="83"/>
    </row>
    <row r="8" spans="1:16357" ht="15" customHeight="1">
      <c r="A8" s="21">
        <v>7111</v>
      </c>
      <c r="B8" s="22" t="s">
        <v>2</v>
      </c>
      <c r="C8" s="23">
        <f>+'Centralna država-ek klas'!C8+'Lokalna država-ek klas '!C8</f>
        <v>101120465.77</v>
      </c>
      <c r="D8" s="41">
        <f t="shared" si="1"/>
        <v>1.2770154166824523</v>
      </c>
      <c r="E8" s="23">
        <f>+'Centralna država-ek klas'!E8+'Lokalna država-ek klas '!E8</f>
        <v>101758516.27256432</v>
      </c>
      <c r="F8" s="41">
        <f t="shared" si="0"/>
        <v>1.2850731359798486</v>
      </c>
      <c r="G8" s="23">
        <f t="shared" si="2"/>
        <v>-638050.50256432593</v>
      </c>
      <c r="H8" s="94">
        <f t="shared" si="3"/>
        <v>-0.62702418032047547</v>
      </c>
      <c r="I8" s="23">
        <f>+'Centralna država-ek klas'!I8+'Lokalna država-ek klas '!I8</f>
        <v>83881395.210000008</v>
      </c>
      <c r="J8" s="41">
        <f t="shared" si="4"/>
        <v>1.1245341192160621</v>
      </c>
      <c r="K8" s="23">
        <f t="shared" si="5"/>
        <v>17239070.559999987</v>
      </c>
      <c r="L8" s="94">
        <f t="shared" si="6"/>
        <v>20.551721292714987</v>
      </c>
      <c r="M8" s="72" t="s">
        <v>79</v>
      </c>
      <c r="P8" s="86"/>
      <c r="Q8" s="86"/>
      <c r="R8" s="86"/>
    </row>
    <row r="9" spans="1:16357" ht="15" customHeight="1">
      <c r="A9" s="21">
        <v>7112</v>
      </c>
      <c r="B9" s="22" t="s">
        <v>3</v>
      </c>
      <c r="C9" s="23">
        <f>+'Centralna država-ek klas'!C9</f>
        <v>210114445.28999999</v>
      </c>
      <c r="D9" s="41">
        <f t="shared" si="1"/>
        <v>2.653462717560144</v>
      </c>
      <c r="E9" s="23">
        <f>+'Centralna država-ek klas'!E9</f>
        <v>198385149.93708393</v>
      </c>
      <c r="F9" s="41">
        <f t="shared" si="0"/>
        <v>2.5053374999947455</v>
      </c>
      <c r="G9" s="23">
        <f t="shared" si="2"/>
        <v>11729295.352916062</v>
      </c>
      <c r="H9" s="94">
        <f t="shared" si="3"/>
        <v>5.9123857590328157</v>
      </c>
      <c r="I9" s="23">
        <f>+'Centralna država-ek klas'!I9</f>
        <v>191189769.47999999</v>
      </c>
      <c r="J9" s="41">
        <f t="shared" si="4"/>
        <v>2.5631359431618321</v>
      </c>
      <c r="K9" s="23">
        <f t="shared" si="5"/>
        <v>18924675.810000002</v>
      </c>
      <c r="L9" s="94">
        <f t="shared" si="6"/>
        <v>9.898372628133572</v>
      </c>
      <c r="M9" s="72" t="s">
        <v>80</v>
      </c>
    </row>
    <row r="10" spans="1:16357" ht="15" customHeight="1">
      <c r="A10" s="21">
        <v>71131</v>
      </c>
      <c r="B10" s="22" t="s">
        <v>65</v>
      </c>
      <c r="C10" s="23">
        <f>+'Lokalna država-ek klas '!C9</f>
        <v>30670421.960000005</v>
      </c>
      <c r="D10" s="41">
        <f t="shared" si="1"/>
        <v>0.38732615975247842</v>
      </c>
      <c r="E10" s="23">
        <f>+'Lokalna država-ek klas '!E9</f>
        <v>30998872.417400002</v>
      </c>
      <c r="F10" s="41">
        <f t="shared" si="0"/>
        <v>0.39147404707204653</v>
      </c>
      <c r="G10" s="23">
        <f t="shared" si="2"/>
        <v>-328450.45739999786</v>
      </c>
      <c r="H10" s="94">
        <f t="shared" si="3"/>
        <v>-1.059556144421677</v>
      </c>
      <c r="I10" s="23">
        <f>+'Lokalna država-ek klas '!I9</f>
        <v>27190934.814000007</v>
      </c>
      <c r="J10" s="41">
        <f t="shared" si="4"/>
        <v>0.36452819907408474</v>
      </c>
      <c r="K10" s="23">
        <f t="shared" si="5"/>
        <v>3479487.1459999979</v>
      </c>
      <c r="L10" s="94">
        <f t="shared" si="6"/>
        <v>12.796496956803736</v>
      </c>
      <c r="M10" s="72" t="s">
        <v>149</v>
      </c>
    </row>
    <row r="11" spans="1:16357" ht="15" customHeight="1">
      <c r="A11" s="21">
        <v>71132</v>
      </c>
      <c r="B11" s="22" t="s">
        <v>4</v>
      </c>
      <c r="C11" s="23">
        <f>+'Centralna država-ek klas'!C10+'Lokalna država-ek klas '!C10</f>
        <v>14920822.940000003</v>
      </c>
      <c r="D11" s="41">
        <f t="shared" si="1"/>
        <v>0.18842991652459434</v>
      </c>
      <c r="E11" s="23">
        <f>+'Centralna država-ek klas'!E10+'Lokalna država-ek klas '!E10</f>
        <v>13690258.1899</v>
      </c>
      <c r="F11" s="41">
        <f t="shared" si="0"/>
        <v>0.1728895395579971</v>
      </c>
      <c r="G11" s="23">
        <f t="shared" si="2"/>
        <v>1230564.7501000036</v>
      </c>
      <c r="H11" s="94">
        <f t="shared" si="3"/>
        <v>8.9886160876633738</v>
      </c>
      <c r="I11" s="23">
        <f>+'Centralna država-ek klas'!I10+'Lokalna država-ek klas '!I10</f>
        <v>11491232.710000001</v>
      </c>
      <c r="J11" s="41">
        <f t="shared" si="4"/>
        <v>0.15405422408503419</v>
      </c>
      <c r="K11" s="23">
        <f t="shared" si="5"/>
        <v>3429590.2300000023</v>
      </c>
      <c r="L11" s="94">
        <f t="shared" si="6"/>
        <v>29.84527697377041</v>
      </c>
      <c r="M11" s="72" t="s">
        <v>81</v>
      </c>
    </row>
    <row r="12" spans="1:16357" ht="15" customHeight="1">
      <c r="A12" s="21">
        <v>7114</v>
      </c>
      <c r="B12" s="22" t="s">
        <v>5</v>
      </c>
      <c r="C12" s="23">
        <f>+'Centralna država-ek klas'!C11</f>
        <v>602058876.58000004</v>
      </c>
      <c r="D12" s="41">
        <f t="shared" si="1"/>
        <v>7.6031934909389403</v>
      </c>
      <c r="E12" s="23">
        <f>+'Centralna država-ek klas'!E11</f>
        <v>611764887.9529773</v>
      </c>
      <c r="F12" s="41">
        <f t="shared" si="0"/>
        <v>7.7257673543344989</v>
      </c>
      <c r="G12" s="23">
        <f t="shared" si="2"/>
        <v>-9706011.3729772568</v>
      </c>
      <c r="H12" s="94">
        <f t="shared" si="3"/>
        <v>-1.5865590791675714</v>
      </c>
      <c r="I12" s="23">
        <f>+'Centralna država-ek klas'!I11</f>
        <v>535961758.94000006</v>
      </c>
      <c r="J12" s="41">
        <f t="shared" si="4"/>
        <v>7.1852319935092366</v>
      </c>
      <c r="K12" s="23">
        <f t="shared" si="5"/>
        <v>66097117.639999986</v>
      </c>
      <c r="L12" s="94">
        <f t="shared" si="6"/>
        <v>12.332431659065321</v>
      </c>
      <c r="M12" s="72" t="s">
        <v>82</v>
      </c>
    </row>
    <row r="13" spans="1:16357" ht="15" customHeight="1">
      <c r="A13" s="21">
        <v>7115</v>
      </c>
      <c r="B13" s="22" t="s">
        <v>6</v>
      </c>
      <c r="C13" s="23">
        <f>+'Centralna država-ek klas'!C12</f>
        <v>172861788.03</v>
      </c>
      <c r="D13" s="41">
        <f t="shared" si="1"/>
        <v>2.1830117829134306</v>
      </c>
      <c r="E13" s="23">
        <f>+'Centralna država-ek klas'!E12</f>
        <v>170651764.84999999</v>
      </c>
      <c r="F13" s="41">
        <f t="shared" si="0"/>
        <v>2.1551021639199344</v>
      </c>
      <c r="G13" s="23">
        <f t="shared" si="2"/>
        <v>2210023.1800000072</v>
      </c>
      <c r="H13" s="94">
        <f t="shared" si="3"/>
        <v>1.2950485346240583</v>
      </c>
      <c r="I13" s="23">
        <f>+'Centralna država-ek klas'!I12</f>
        <v>160218575.27000001</v>
      </c>
      <c r="J13" s="41">
        <f t="shared" si="4"/>
        <v>2.1479286792051657</v>
      </c>
      <c r="K13" s="23">
        <f t="shared" si="5"/>
        <v>12643212.75999999</v>
      </c>
      <c r="L13" s="94">
        <f t="shared" si="6"/>
        <v>7.8912278046997244</v>
      </c>
      <c r="M13" s="72" t="s">
        <v>83</v>
      </c>
    </row>
    <row r="14" spans="1:16357" ht="15" customHeight="1">
      <c r="A14" s="21">
        <v>7116</v>
      </c>
      <c r="B14" s="22" t="s">
        <v>7</v>
      </c>
      <c r="C14" s="23">
        <f>+'Centralna država-ek klas'!C13</f>
        <v>32307775.360000003</v>
      </c>
      <c r="D14" s="41">
        <f t="shared" si="1"/>
        <v>0.40800372999936863</v>
      </c>
      <c r="E14" s="23">
        <f>+'Centralna država-ek klas'!E13</f>
        <v>28829454.731989071</v>
      </c>
      <c r="F14" s="41">
        <f t="shared" si="0"/>
        <v>0.36407722083714178</v>
      </c>
      <c r="G14" s="23">
        <f t="shared" si="2"/>
        <v>3478320.6280109324</v>
      </c>
      <c r="H14" s="94">
        <f t="shared" si="3"/>
        <v>12.065162731473379</v>
      </c>
      <c r="I14" s="23">
        <f>+'Centralna država-ek klas'!I13</f>
        <v>27246928.509999998</v>
      </c>
      <c r="J14" s="41">
        <f t="shared" si="4"/>
        <v>0.36527886400348131</v>
      </c>
      <c r="K14" s="23">
        <f t="shared" si="5"/>
        <v>5060846.8500000052</v>
      </c>
      <c r="L14" s="94">
        <f t="shared" si="6"/>
        <v>18.574008619513222</v>
      </c>
      <c r="M14" s="72" t="s">
        <v>84</v>
      </c>
    </row>
    <row r="15" spans="1:16357" ht="15" customHeight="1">
      <c r="A15" s="21"/>
      <c r="B15" s="22" t="s">
        <v>155</v>
      </c>
      <c r="C15" s="23">
        <f>+'Lokalna država-ek klas '!C11</f>
        <v>13875446.109000001</v>
      </c>
      <c r="D15" s="41">
        <f t="shared" si="1"/>
        <v>0.17522821379049064</v>
      </c>
      <c r="E15" s="23">
        <f>+'Lokalna država-ek klas '!E11</f>
        <v>14210893.4026</v>
      </c>
      <c r="F15" s="41">
        <f t="shared" si="0"/>
        <v>0.17946446173643998</v>
      </c>
      <c r="G15" s="23">
        <f t="shared" si="2"/>
        <v>-335447.29359999858</v>
      </c>
      <c r="H15" s="94">
        <f t="shared" si="3"/>
        <v>-2.3604940526724789</v>
      </c>
      <c r="I15" s="23">
        <f>+'Lokalna država-ek klas '!I11</f>
        <v>11354132.229999999</v>
      </c>
      <c r="J15" s="41">
        <f t="shared" si="4"/>
        <v>0.15221622214032499</v>
      </c>
      <c r="K15" s="23">
        <f t="shared" si="5"/>
        <v>2521313.8790000025</v>
      </c>
      <c r="L15" s="94">
        <f t="shared" si="6"/>
        <v>22.206134541380123</v>
      </c>
      <c r="M15" s="72" t="s">
        <v>156</v>
      </c>
    </row>
    <row r="16" spans="1:16357" ht="15" customHeight="1">
      <c r="A16" s="21">
        <v>7118</v>
      </c>
      <c r="B16" s="22" t="s">
        <v>59</v>
      </c>
      <c r="C16" s="23">
        <f>+'Centralna država-ek klas'!C14</f>
        <v>7506736.54</v>
      </c>
      <c r="D16" s="41">
        <f t="shared" si="1"/>
        <v>9.4799981562164556E-2</v>
      </c>
      <c r="E16" s="23">
        <f>+'Centralna država-ek klas'!E14</f>
        <v>7836306.6869554538</v>
      </c>
      <c r="F16" s="41">
        <f t="shared" si="0"/>
        <v>9.8962009054182648E-2</v>
      </c>
      <c r="G16" s="23">
        <f t="shared" si="2"/>
        <v>-329570.14695545379</v>
      </c>
      <c r="H16" s="94">
        <f t="shared" si="3"/>
        <v>-4.205682091336044</v>
      </c>
      <c r="I16" s="23">
        <f>+'Centralna država-ek klas'!I14</f>
        <v>6927460.5</v>
      </c>
      <c r="J16" s="41">
        <f t="shared" si="4"/>
        <v>9.2871198342237976E-2</v>
      </c>
      <c r="K16" s="23">
        <f t="shared" si="5"/>
        <v>579276.04</v>
      </c>
      <c r="L16" s="94">
        <f t="shared" si="6"/>
        <v>8.3620258823561784</v>
      </c>
      <c r="M16" s="72" t="s">
        <v>85</v>
      </c>
    </row>
    <row r="17" spans="1:16357" ht="15" customHeight="1">
      <c r="A17" s="18">
        <v>712</v>
      </c>
      <c r="B17" s="19" t="s">
        <v>8</v>
      </c>
      <c r="C17" s="20">
        <f>+SUM(C18:C21)</f>
        <v>184079723.11000001</v>
      </c>
      <c r="D17" s="40">
        <f t="shared" si="1"/>
        <v>2.324679208309655</v>
      </c>
      <c r="E17" s="20">
        <f>+SUM(E18:E21)</f>
        <v>202775930.78324041</v>
      </c>
      <c r="F17" s="40">
        <f t="shared" si="0"/>
        <v>2.5607871539210758</v>
      </c>
      <c r="G17" s="20">
        <f t="shared" si="2"/>
        <v>-18696207.673240393</v>
      </c>
      <c r="H17" s="89">
        <f t="shared" si="3"/>
        <v>-9.22013160093735</v>
      </c>
      <c r="I17" s="20">
        <f>+SUM(I18:I21)</f>
        <v>265955415.06999999</v>
      </c>
      <c r="J17" s="40">
        <f t="shared" si="4"/>
        <v>3.565462134812345</v>
      </c>
      <c r="K17" s="20">
        <f t="shared" si="5"/>
        <v>-81875691.959999979</v>
      </c>
      <c r="L17" s="89">
        <f t="shared" si="6"/>
        <v>-30.785495357727584</v>
      </c>
      <c r="M17" s="71" t="s">
        <v>86</v>
      </c>
    </row>
    <row r="18" spans="1:16357" ht="15" customHeight="1">
      <c r="A18" s="21">
        <v>7121</v>
      </c>
      <c r="B18" s="22" t="s">
        <v>9</v>
      </c>
      <c r="C18" s="23">
        <f>+'Centralna država-ek klas'!C16</f>
        <v>155399995.99000001</v>
      </c>
      <c r="D18" s="41">
        <f t="shared" si="1"/>
        <v>1.9624928457409863</v>
      </c>
      <c r="E18" s="23">
        <f>+'Centralna država-ek klas'!E16</f>
        <v>180601436.69070491</v>
      </c>
      <c r="F18" s="41">
        <f t="shared" si="0"/>
        <v>2.280753131157478</v>
      </c>
      <c r="G18" s="23">
        <f t="shared" si="2"/>
        <v>-25201440.700704902</v>
      </c>
      <c r="H18" s="94">
        <f t="shared" si="3"/>
        <v>-13.954175095442054</v>
      </c>
      <c r="I18" s="23">
        <f>+'Centralna država-ek klas'!I16</f>
        <v>244101507.11000001</v>
      </c>
      <c r="J18" s="41">
        <f t="shared" si="4"/>
        <v>3.2724833988518629</v>
      </c>
      <c r="K18" s="23">
        <f t="shared" si="5"/>
        <v>-88701511.120000005</v>
      </c>
      <c r="L18" s="94">
        <f t="shared" si="6"/>
        <v>-36.337961272819271</v>
      </c>
      <c r="M18" s="72" t="s">
        <v>87</v>
      </c>
    </row>
    <row r="19" spans="1:16357" ht="15" customHeight="1">
      <c r="A19" s="21">
        <v>7122</v>
      </c>
      <c r="B19" s="22" t="s">
        <v>10</v>
      </c>
      <c r="C19" s="23">
        <f>+'Centralna država-ek klas'!C17</f>
        <v>3649257.4600000004</v>
      </c>
      <c r="D19" s="41">
        <f t="shared" si="1"/>
        <v>4.6085211340531673E-2</v>
      </c>
      <c r="E19" s="23">
        <f>+'Centralna država-ek klas'!E17</f>
        <v>2899856.792164648</v>
      </c>
      <c r="F19" s="41">
        <f t="shared" si="0"/>
        <v>3.6621289286666012E-2</v>
      </c>
      <c r="G19" s="23">
        <f t="shared" si="2"/>
        <v>749400.66783535248</v>
      </c>
      <c r="H19" s="94">
        <f t="shared" si="3"/>
        <v>25.84267850261493</v>
      </c>
      <c r="I19" s="23">
        <f>+'Centralna država-ek klas'!I17</f>
        <v>2309927.13</v>
      </c>
      <c r="J19" s="41">
        <f t="shared" si="4"/>
        <v>3.0967437583562768E-2</v>
      </c>
      <c r="K19" s="23">
        <f t="shared" si="5"/>
        <v>1339330.3300000005</v>
      </c>
      <c r="L19" s="94">
        <f t="shared" si="6"/>
        <v>57.981497018046639</v>
      </c>
      <c r="M19" s="72" t="s">
        <v>88</v>
      </c>
    </row>
    <row r="20" spans="1:16357" ht="15" customHeight="1">
      <c r="A20" s="21">
        <v>7123</v>
      </c>
      <c r="B20" s="22" t="s">
        <v>11</v>
      </c>
      <c r="C20" s="23">
        <f>+'Centralna država-ek klas'!C18</f>
        <v>14678875.32</v>
      </c>
      <c r="D20" s="41">
        <f t="shared" si="1"/>
        <v>0.18537444364462968</v>
      </c>
      <c r="E20" s="23">
        <f>+'Centralna država-ek klas'!E18</f>
        <v>10553803.432800625</v>
      </c>
      <c r="F20" s="41">
        <f t="shared" si="0"/>
        <v>0.13328033633643524</v>
      </c>
      <c r="G20" s="23">
        <f t="shared" si="2"/>
        <v>4125071.8871993758</v>
      </c>
      <c r="H20" s="94">
        <f t="shared" si="3"/>
        <v>39.086116332040888</v>
      </c>
      <c r="I20" s="23">
        <f>+'Centralna država-ek klas'!I18</f>
        <v>11381160.690000001</v>
      </c>
      <c r="J20" s="41">
        <f t="shared" si="4"/>
        <v>0.15257857216304188</v>
      </c>
      <c r="K20" s="23">
        <f t="shared" si="5"/>
        <v>3297714.629999999</v>
      </c>
      <c r="L20" s="94">
        <f t="shared" si="6"/>
        <v>28.975204900652358</v>
      </c>
      <c r="M20" s="72" t="s">
        <v>89</v>
      </c>
    </row>
    <row r="21" spans="1:16357" ht="15" customHeight="1">
      <c r="A21" s="21">
        <v>7124</v>
      </c>
      <c r="B21" s="22" t="s">
        <v>12</v>
      </c>
      <c r="C21" s="23">
        <f>+'Centralna država-ek klas'!C19</f>
        <v>10351594.34</v>
      </c>
      <c r="D21" s="41">
        <f t="shared" si="1"/>
        <v>0.13072670758350696</v>
      </c>
      <c r="E21" s="23">
        <f>+'Centralna država-ek klas'!E19</f>
        <v>8720833.8675702307</v>
      </c>
      <c r="F21" s="41">
        <f t="shared" si="0"/>
        <v>0.11013239714049669</v>
      </c>
      <c r="G21" s="23">
        <f t="shared" si="2"/>
        <v>1630760.4724297691</v>
      </c>
      <c r="H21" s="94">
        <f t="shared" si="3"/>
        <v>18.699593378266314</v>
      </c>
      <c r="I21" s="23">
        <f>+'Centralna država-ek klas'!I19</f>
        <v>8162820.1400000006</v>
      </c>
      <c r="J21" s="41">
        <f t="shared" si="4"/>
        <v>0.10943272621387808</v>
      </c>
      <c r="K21" s="23">
        <f t="shared" si="5"/>
        <v>2188774.1999999993</v>
      </c>
      <c r="L21" s="94">
        <f t="shared" si="6"/>
        <v>26.81394619090554</v>
      </c>
      <c r="M21" s="72" t="s">
        <v>90</v>
      </c>
    </row>
    <row r="22" spans="1:16357" ht="15" customHeight="1">
      <c r="A22" s="18">
        <v>713</v>
      </c>
      <c r="B22" s="19" t="s">
        <v>13</v>
      </c>
      <c r="C22" s="20">
        <f>+'Centralna država-ek klas'!C20+'Lokalna država-ek klas '!C12</f>
        <v>9144065.290000001</v>
      </c>
      <c r="D22" s="40">
        <f t="shared" si="1"/>
        <v>0.11547724051272337</v>
      </c>
      <c r="E22" s="20">
        <f>+'Centralna država-ek klas'!E20+'Lokalna država-ek klas '!E12</f>
        <v>10064551.812857751</v>
      </c>
      <c r="F22" s="40">
        <f t="shared" si="0"/>
        <v>0.12710174670528196</v>
      </c>
      <c r="G22" s="20">
        <f t="shared" si="2"/>
        <v>-920486.52285774983</v>
      </c>
      <c r="H22" s="89">
        <f t="shared" si="3"/>
        <v>-9.1458272556340034</v>
      </c>
      <c r="I22" s="20">
        <f>+'Centralna država-ek klas'!I20+'Lokalna država-ek klas '!I12</f>
        <v>9131075.8200000003</v>
      </c>
      <c r="J22" s="40">
        <f t="shared" si="4"/>
        <v>0.12241339428167558</v>
      </c>
      <c r="K22" s="20">
        <f t="shared" si="5"/>
        <v>12989.470000000671</v>
      </c>
      <c r="L22" s="89">
        <f t="shared" si="6"/>
        <v>0.14225563620388471</v>
      </c>
      <c r="M22" s="71" t="s">
        <v>91</v>
      </c>
    </row>
    <row r="23" spans="1:16357" ht="15" customHeight="1">
      <c r="A23" s="18">
        <v>714</v>
      </c>
      <c r="B23" s="19" t="s">
        <v>19</v>
      </c>
      <c r="C23" s="20">
        <f>+'Centralna država-ek klas'!C25+'Lokalna država-ek klas '!C19</f>
        <v>73348623.689999998</v>
      </c>
      <c r="D23" s="40">
        <f t="shared" si="1"/>
        <v>0.92629442053419209</v>
      </c>
      <c r="E23" s="20">
        <f>+'Centralna država-ek klas'!E25+'Lokalna država-ek klas '!E19</f>
        <v>77731698.570280403</v>
      </c>
      <c r="F23" s="40">
        <f t="shared" si="0"/>
        <v>0.98164675848052529</v>
      </c>
      <c r="G23" s="20">
        <f t="shared" si="2"/>
        <v>-4383074.8802804053</v>
      </c>
      <c r="H23" s="89">
        <f t="shared" si="3"/>
        <v>-5.6387226329777036</v>
      </c>
      <c r="I23" s="20">
        <f>+'Centralna država-ek klas'!I25+'Lokalna država-ek klas '!I19</f>
        <v>60791481.5</v>
      </c>
      <c r="J23" s="40">
        <f t="shared" si="4"/>
        <v>0.81498519347818588</v>
      </c>
      <c r="K23" s="20">
        <f t="shared" si="5"/>
        <v>12557142.189999998</v>
      </c>
      <c r="L23" s="89">
        <f t="shared" si="6"/>
        <v>20.65608845212958</v>
      </c>
      <c r="M23" s="71" t="s">
        <v>96</v>
      </c>
    </row>
    <row r="24" spans="1:16357" ht="15" customHeight="1">
      <c r="A24" s="18">
        <v>715</v>
      </c>
      <c r="B24" s="19" t="s">
        <v>26</v>
      </c>
      <c r="C24" s="20">
        <f>+'Centralna država-ek klas'!C32+'Lokalna država-ek klas '!C30</f>
        <v>30727983.07</v>
      </c>
      <c r="D24" s="40">
        <f t="shared" si="1"/>
        <v>0.38805307911851988</v>
      </c>
      <c r="E24" s="20">
        <f>+'Centralna država-ek klas'!E32+'Lokalna država-ek klas '!E30</f>
        <v>24395771.646706767</v>
      </c>
      <c r="F24" s="40">
        <f t="shared" si="0"/>
        <v>0.30808576935918125</v>
      </c>
      <c r="G24" s="20">
        <f t="shared" si="2"/>
        <v>6332211.4232932329</v>
      </c>
      <c r="H24" s="89">
        <f t="shared" si="3"/>
        <v>25.956184190419052</v>
      </c>
      <c r="I24" s="20">
        <f>+'Centralna država-ek klas'!I32+'Lokalna država-ek klas '!I30</f>
        <v>59863506.300000004</v>
      </c>
      <c r="J24" s="40">
        <f t="shared" si="4"/>
        <v>0.8025445351942625</v>
      </c>
      <c r="K24" s="20">
        <f t="shared" si="5"/>
        <v>-29135523.230000004</v>
      </c>
      <c r="L24" s="89">
        <f t="shared" si="6"/>
        <v>-48.669924350889545</v>
      </c>
      <c r="M24" s="71" t="s">
        <v>103</v>
      </c>
    </row>
    <row r="25" spans="1:16357" ht="15" customHeight="1">
      <c r="A25" s="18">
        <v>73</v>
      </c>
      <c r="B25" s="19" t="s">
        <v>183</v>
      </c>
      <c r="C25" s="20">
        <f>+'Centralna država-ek klas'!C37+'Lokalna država-ek klas '!C35</f>
        <v>175304.7</v>
      </c>
      <c r="D25" s="40">
        <f t="shared" si="1"/>
        <v>2.2138624739534004E-3</v>
      </c>
      <c r="E25" s="20">
        <f>+'Centralna država-ek klas'!E37+'Lokalna država-ek klas '!E35</f>
        <v>0</v>
      </c>
      <c r="F25" s="40">
        <f t="shared" si="0"/>
        <v>0</v>
      </c>
      <c r="G25" s="20">
        <f t="shared" si="2"/>
        <v>175304.7</v>
      </c>
      <c r="H25" s="89">
        <f>+IFERROR(C25/E25*100-100,0)</f>
        <v>0</v>
      </c>
      <c r="I25" s="20">
        <f>+'Centralna država-ek klas'!I37+'Lokalna država-ek klas '!I35</f>
        <v>97726.28</v>
      </c>
      <c r="J25" s="40">
        <f t="shared" si="4"/>
        <v>1.3101419680601693E-3</v>
      </c>
      <c r="K25" s="20">
        <f t="shared" si="5"/>
        <v>77578.420000000013</v>
      </c>
      <c r="L25" s="89">
        <f>+IFERROR(C25/I25*100-100,0)</f>
        <v>79.383375689732588</v>
      </c>
      <c r="M25" s="71" t="s">
        <v>107</v>
      </c>
    </row>
    <row r="26" spans="1:16357" ht="15" customHeight="1">
      <c r="A26" s="18">
        <v>74</v>
      </c>
      <c r="B26" s="19" t="s">
        <v>179</v>
      </c>
      <c r="C26" s="20">
        <f>+'Centralna država-ek klas'!C38+'Lokalna država-ek klas '!C36</f>
        <v>34870522.337908998</v>
      </c>
      <c r="D26" s="40">
        <f t="shared" si="1"/>
        <v>0.44036777594126414</v>
      </c>
      <c r="E26" s="20">
        <f>+'Centralna država-ek klas'!E38+'Lokalna država-ek klas '!E36</f>
        <v>69771132.147033259</v>
      </c>
      <c r="F26" s="40">
        <f t="shared" si="0"/>
        <v>0.88111551615878325</v>
      </c>
      <c r="G26" s="20">
        <f t="shared" si="2"/>
        <v>-34900609.809124261</v>
      </c>
      <c r="H26" s="89">
        <f t="shared" si="3"/>
        <v>-50.021561547225474</v>
      </c>
      <c r="I26" s="20">
        <f>+'Centralna država-ek klas'!I38+'Lokalna država-ek klas '!I36</f>
        <v>46790664.640000001</v>
      </c>
      <c r="J26" s="40">
        <f t="shared" si="4"/>
        <v>0.62728688187346304</v>
      </c>
      <c r="K26" s="20">
        <f t="shared" si="5"/>
        <v>-11920142.302091002</v>
      </c>
      <c r="L26" s="89">
        <f t="shared" si="6"/>
        <v>-25.475471215898935</v>
      </c>
      <c r="M26" s="71" t="s">
        <v>108</v>
      </c>
    </row>
    <row r="27" spans="1:16357" s="38" customFormat="1" ht="15" customHeight="1">
      <c r="A27" s="35"/>
      <c r="B27" s="36" t="s">
        <v>71</v>
      </c>
      <c r="C27" s="37">
        <f>+C28+C38+C39+C40+C41+C42+C43+C44</f>
        <v>1627420722.1800001</v>
      </c>
      <c r="D27" s="44">
        <f t="shared" si="1"/>
        <v>20.552133891267285</v>
      </c>
      <c r="E27" s="37">
        <f>+E28+E38+E39+E40+E41+E42+E43+E44</f>
        <v>1681134004.5351896</v>
      </c>
      <c r="F27" s="44">
        <f t="shared" si="0"/>
        <v>21.230460371726835</v>
      </c>
      <c r="G27" s="37">
        <f>+C27-E27</f>
        <v>-53713282.355189562</v>
      </c>
      <c r="H27" s="101">
        <f t="shared" si="3"/>
        <v>-3.1950625119881835</v>
      </c>
      <c r="I27" s="37">
        <f>+I28+I38+I39+I40+I41+I42+I43+I44</f>
        <v>1456297913.0730002</v>
      </c>
      <c r="J27" s="44">
        <f t="shared" si="4"/>
        <v>19.523479394850369</v>
      </c>
      <c r="K27" s="37">
        <f t="shared" si="5"/>
        <v>171122809.10699987</v>
      </c>
      <c r="L27" s="101">
        <f t="shared" si="6"/>
        <v>11.750535901401221</v>
      </c>
      <c r="M27" s="79" t="s">
        <v>109</v>
      </c>
      <c r="N27" s="1"/>
      <c r="O27" s="1"/>
      <c r="P27" s="83"/>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68</v>
      </c>
      <c r="C28" s="20">
        <f>+SUM(C29:C37)</f>
        <v>618538029.66000021</v>
      </c>
      <c r="D28" s="40">
        <f t="shared" si="1"/>
        <v>7.8113030202689933</v>
      </c>
      <c r="E28" s="20">
        <f>+SUM(E29:E37)</f>
        <v>656180022.45450008</v>
      </c>
      <c r="F28" s="40">
        <f t="shared" si="0"/>
        <v>8.2866707388331129</v>
      </c>
      <c r="G28" s="20">
        <f t="shared" si="2"/>
        <v>-37641992.794499874</v>
      </c>
      <c r="H28" s="89">
        <f t="shared" si="3"/>
        <v>-5.7365344122633672</v>
      </c>
      <c r="I28" s="20">
        <f>+SUM(I29:I37)</f>
        <v>570426193.73000002</v>
      </c>
      <c r="J28" s="40">
        <f t="shared" si="4"/>
        <v>7.6472704792047095</v>
      </c>
      <c r="K28" s="20">
        <f t="shared" si="5"/>
        <v>48111835.930000186</v>
      </c>
      <c r="L28" s="89">
        <f t="shared" si="6"/>
        <v>8.4343665243347772</v>
      </c>
      <c r="M28" s="71" t="s">
        <v>110</v>
      </c>
    </row>
    <row r="29" spans="1:16357" ht="15" customHeight="1">
      <c r="A29" s="21">
        <v>411</v>
      </c>
      <c r="B29" s="22" t="s">
        <v>30</v>
      </c>
      <c r="C29" s="23">
        <f>+'Centralna država-ek klas'!C41+'Lokalna država-ek klas '!C39</f>
        <v>379297701.18000007</v>
      </c>
      <c r="D29" s="41">
        <f t="shared" si="1"/>
        <v>4.7900195893161595</v>
      </c>
      <c r="E29" s="23">
        <f>+'Centralna država-ek klas'!E41+'Lokalna država-ek klas '!E39</f>
        <v>392533804.55359995</v>
      </c>
      <c r="F29" s="41">
        <f t="shared" si="0"/>
        <v>4.9571737646473446</v>
      </c>
      <c r="G29" s="23">
        <f t="shared" si="2"/>
        <v>-13236103.373599887</v>
      </c>
      <c r="H29" s="94">
        <f t="shared" si="3"/>
        <v>-3.3719652218621832</v>
      </c>
      <c r="I29" s="23">
        <f>+'Centralna država-ek klas'!I41+'Lokalna država-ek klas '!I39</f>
        <v>370925731.03000003</v>
      </c>
      <c r="J29" s="41">
        <f t="shared" si="4"/>
        <v>4.9727193878228171</v>
      </c>
      <c r="K29" s="23">
        <f t="shared" si="5"/>
        <v>8371970.1500000358</v>
      </c>
      <c r="L29" s="94">
        <f t="shared" si="6"/>
        <v>2.2570475568660271</v>
      </c>
      <c r="M29" s="72" t="s">
        <v>111</v>
      </c>
    </row>
    <row r="30" spans="1:16357" ht="15" customHeight="1">
      <c r="A30" s="21">
        <v>412</v>
      </c>
      <c r="B30" s="22" t="s">
        <v>31</v>
      </c>
      <c r="C30" s="23">
        <f>+'Centralna država-ek klas'!C42+'Lokalna država-ek klas '!C40</f>
        <v>13042000.370000001</v>
      </c>
      <c r="D30" s="41">
        <f t="shared" si="1"/>
        <v>0.16470291557744524</v>
      </c>
      <c r="E30" s="23">
        <f>+'Centralna država-ek klas'!E42+'Lokalna država-ek klas '!E40</f>
        <v>15195936.198599998</v>
      </c>
      <c r="F30" s="41">
        <f t="shared" si="0"/>
        <v>0.19190422679295319</v>
      </c>
      <c r="G30" s="23">
        <f t="shared" si="2"/>
        <v>-2153935.8285999969</v>
      </c>
      <c r="H30" s="94">
        <f t="shared" si="3"/>
        <v>-14.174420058426136</v>
      </c>
      <c r="I30" s="23">
        <f>+'Centralna država-ek klas'!I42+'Lokalna država-ek klas '!I40</f>
        <v>11082658.809999999</v>
      </c>
      <c r="J30" s="41">
        <f t="shared" si="4"/>
        <v>0.14857678430686988</v>
      </c>
      <c r="K30" s="23">
        <f t="shared" si="5"/>
        <v>1959341.5600000024</v>
      </c>
      <c r="L30" s="94">
        <f t="shared" si="6"/>
        <v>17.679345665970231</v>
      </c>
      <c r="M30" s="72" t="s">
        <v>112</v>
      </c>
    </row>
    <row r="31" spans="1:16357" ht="15" customHeight="1">
      <c r="A31" s="21">
        <v>413</v>
      </c>
      <c r="B31" s="22" t="s">
        <v>72</v>
      </c>
      <c r="C31" s="23">
        <f>+'Centralna država-ek klas'!C43+'Lokalna država-ek klas '!C41</f>
        <v>19600134.009999998</v>
      </c>
      <c r="D31" s="41">
        <f t="shared" si="1"/>
        <v>0.24752331893666729</v>
      </c>
      <c r="E31" s="23">
        <f>+'Centralna država-ek klas'!E43+'Lokalna država-ek klas '!E41</f>
        <v>25079238.705100007</v>
      </c>
      <c r="F31" s="41">
        <f t="shared" si="0"/>
        <v>0.31671703864494549</v>
      </c>
      <c r="G31" s="23">
        <f t="shared" si="2"/>
        <v>-5479104.6951000094</v>
      </c>
      <c r="H31" s="94">
        <f t="shared" si="3"/>
        <v>-21.847173112100094</v>
      </c>
      <c r="I31" s="23">
        <f>+'Centralna država-ek klas'!I43+'Lokalna država-ek klas '!I41</f>
        <v>18986874.260000002</v>
      </c>
      <c r="J31" s="41">
        <f t="shared" si="4"/>
        <v>0.25454259397070444</v>
      </c>
      <c r="K31" s="23">
        <f t="shared" si="5"/>
        <v>613259.74999999627</v>
      </c>
      <c r="L31" s="94">
        <f t="shared" si="6"/>
        <v>3.2299142112715202</v>
      </c>
      <c r="M31" s="72" t="s">
        <v>113</v>
      </c>
    </row>
    <row r="32" spans="1:16357" ht="15" customHeight="1">
      <c r="A32" s="21">
        <v>414</v>
      </c>
      <c r="B32" s="22" t="s">
        <v>73</v>
      </c>
      <c r="C32" s="23">
        <f>+'Centralna država-ek klas'!C44+'Lokalna država-ek klas '!C42</f>
        <v>37436901.660000004</v>
      </c>
      <c r="D32" s="41">
        <f t="shared" si="1"/>
        <v>0.47277769350255738</v>
      </c>
      <c r="E32" s="23">
        <f>+'Centralna država-ek klas'!E44+'Lokalna država-ek klas '!E42</f>
        <v>46458882.969400018</v>
      </c>
      <c r="F32" s="41">
        <f t="shared" si="0"/>
        <v>0.58671317761444741</v>
      </c>
      <c r="G32" s="23">
        <f t="shared" si="2"/>
        <v>-9021981.3094000146</v>
      </c>
      <c r="H32" s="94">
        <f t="shared" si="3"/>
        <v>-19.419281594312793</v>
      </c>
      <c r="I32" s="23">
        <f>+'Centralna država-ek klas'!I44+'Lokalna država-ek klas '!I42</f>
        <v>31499081.769999996</v>
      </c>
      <c r="J32" s="41">
        <f t="shared" si="4"/>
        <v>0.42228425130104197</v>
      </c>
      <c r="K32" s="23">
        <f t="shared" si="5"/>
        <v>5937819.890000008</v>
      </c>
      <c r="L32" s="94">
        <f t="shared" si="6"/>
        <v>18.850771375993688</v>
      </c>
      <c r="M32" s="72" t="s">
        <v>114</v>
      </c>
    </row>
    <row r="33" spans="1:16357" ht="15.75" customHeight="1">
      <c r="A33" s="21">
        <v>415</v>
      </c>
      <c r="B33" s="22" t="s">
        <v>32</v>
      </c>
      <c r="C33" s="23">
        <f>+'Centralna država-ek klas'!C45+'Lokalna država-ek klas '!C43</f>
        <v>15603104.160000002</v>
      </c>
      <c r="D33" s="41">
        <f t="shared" si="1"/>
        <v>0.19704621026709607</v>
      </c>
      <c r="E33" s="23">
        <f>+'Centralna država-ek klas'!E45+'Lokalna država-ek klas '!E43</f>
        <v>20987196.180599999</v>
      </c>
      <c r="F33" s="41">
        <f t="shared" si="0"/>
        <v>0.26504004774389084</v>
      </c>
      <c r="G33" s="23">
        <f t="shared" si="2"/>
        <v>-5384092.0205999967</v>
      </c>
      <c r="H33" s="94">
        <f t="shared" si="3"/>
        <v>-25.654174927744307</v>
      </c>
      <c r="I33" s="23">
        <f>+'Centralna država-ek klas'!I45+'Lokalna država-ek klas '!I43</f>
        <v>12369150.470000001</v>
      </c>
      <c r="J33" s="41">
        <f t="shared" si="4"/>
        <v>0.16582380031244584</v>
      </c>
      <c r="K33" s="23">
        <f t="shared" si="5"/>
        <v>3233953.6900000013</v>
      </c>
      <c r="L33" s="94">
        <f t="shared" si="6"/>
        <v>26.145317722858948</v>
      </c>
      <c r="M33" s="72" t="s">
        <v>115</v>
      </c>
    </row>
    <row r="34" spans="1:16357" ht="15" customHeight="1">
      <c r="A34" s="21">
        <v>416</v>
      </c>
      <c r="B34" s="22" t="s">
        <v>33</v>
      </c>
      <c r="C34" s="23">
        <f>+'Centralna država-ek klas'!C46+'Lokalna država-ek klas '!C44</f>
        <v>81808479.680000007</v>
      </c>
      <c r="D34" s="41">
        <f t="shared" si="1"/>
        <v>1.0331310182484057</v>
      </c>
      <c r="E34" s="23">
        <f>+'Centralna država-ek klas'!E46+'Lokalna država-ek klas '!E44</f>
        <v>76396934.739600003</v>
      </c>
      <c r="F34" s="41">
        <f t="shared" si="0"/>
        <v>0.9647904873347225</v>
      </c>
      <c r="G34" s="23">
        <f t="shared" si="2"/>
        <v>5411544.9404000044</v>
      </c>
      <c r="H34" s="94">
        <f t="shared" si="3"/>
        <v>7.0834582026691635</v>
      </c>
      <c r="I34" s="23">
        <f>+'Centralna država-ek klas'!I46+'Lokalna država-ek klas '!I44</f>
        <v>61838289.219999991</v>
      </c>
      <c r="J34" s="41">
        <f t="shared" si="4"/>
        <v>0.82901894904998685</v>
      </c>
      <c r="K34" s="23">
        <f t="shared" si="5"/>
        <v>19970190.460000016</v>
      </c>
      <c r="L34" s="94">
        <f t="shared" si="6"/>
        <v>32.2942156257796</v>
      </c>
      <c r="M34" s="72" t="s">
        <v>116</v>
      </c>
    </row>
    <row r="35" spans="1:16357" ht="15" customHeight="1">
      <c r="A35" s="21">
        <v>417</v>
      </c>
      <c r="B35" s="22" t="s">
        <v>34</v>
      </c>
      <c r="C35" s="23">
        <f>+'Centralna država-ek klas'!C47+'Lokalna država-ek klas '!C45</f>
        <v>5646815.4399999995</v>
      </c>
      <c r="D35" s="41">
        <f t="shared" si="1"/>
        <v>7.1311680747616332E-2</v>
      </c>
      <c r="E35" s="23">
        <f>+'Centralna država-ek klas'!E47+'Lokalna država-ek klas '!E45</f>
        <v>7023572.6935000019</v>
      </c>
      <c r="F35" s="41">
        <f t="shared" si="0"/>
        <v>8.8698272317989546E-2</v>
      </c>
      <c r="G35" s="23">
        <f t="shared" si="2"/>
        <v>-1376757.2535000024</v>
      </c>
      <c r="H35" s="94">
        <f t="shared" si="3"/>
        <v>-19.601950653605797</v>
      </c>
      <c r="I35" s="23">
        <f>+'Centralna država-ek klas'!I47+'Lokalna država-ek klas '!I45</f>
        <v>5643745.0000000009</v>
      </c>
      <c r="J35" s="41">
        <f t="shared" si="4"/>
        <v>7.5661400204016169E-2</v>
      </c>
      <c r="K35" s="23">
        <f t="shared" si="5"/>
        <v>3070.4399999985471</v>
      </c>
      <c r="L35" s="94">
        <f t="shared" si="6"/>
        <v>5.440430069039337E-2</v>
      </c>
      <c r="M35" s="72" t="s">
        <v>117</v>
      </c>
    </row>
    <row r="36" spans="1:16357" ht="15" customHeight="1">
      <c r="A36" s="21">
        <v>418</v>
      </c>
      <c r="B36" s="22" t="s">
        <v>35</v>
      </c>
      <c r="C36" s="23">
        <f>+'Centralna država-ek klas'!C48+'Lokalna država-ek klas '!C46</f>
        <v>29688705.559999987</v>
      </c>
      <c r="D36" s="41">
        <f t="shared" si="1"/>
        <v>0.37492840260150262</v>
      </c>
      <c r="E36" s="23">
        <f>+'Centralna država-ek klas'!E48+'Lokalna država-ek klas '!E46</f>
        <v>30879117.2947</v>
      </c>
      <c r="F36" s="41">
        <f t="shared" si="0"/>
        <v>0.38996170101281813</v>
      </c>
      <c r="G36" s="23">
        <f t="shared" si="2"/>
        <v>-1190411.734700013</v>
      </c>
      <c r="H36" s="94">
        <f t="shared" si="3"/>
        <v>-3.8550704780163159</v>
      </c>
      <c r="I36" s="23">
        <f>+'Centralna država-ek klas'!I48+'Lokalna država-ek klas '!I46</f>
        <v>26422473.859999985</v>
      </c>
      <c r="J36" s="41">
        <f t="shared" si="4"/>
        <v>0.35422602706210404</v>
      </c>
      <c r="K36" s="23">
        <f t="shared" si="5"/>
        <v>3266231.700000003</v>
      </c>
      <c r="L36" s="94">
        <f t="shared" si="6"/>
        <v>12.36156658648315</v>
      </c>
      <c r="M36" s="72" t="s">
        <v>118</v>
      </c>
    </row>
    <row r="37" spans="1:16357" ht="15" customHeight="1">
      <c r="A37" s="21">
        <v>419</v>
      </c>
      <c r="B37" s="22" t="s">
        <v>36</v>
      </c>
      <c r="C37" s="23">
        <f>+'Centralna država-ek klas'!C49+'Lokalna država-ek klas '!C47</f>
        <v>36414187.600000001</v>
      </c>
      <c r="D37" s="41">
        <f t="shared" si="1"/>
        <v>0.45986219107154136</v>
      </c>
      <c r="E37" s="23">
        <f>+'Centralna država-ek klas'!E49+'Lokalna država-ek klas '!E47</f>
        <v>41625339.11940001</v>
      </c>
      <c r="F37" s="41">
        <f t="shared" si="0"/>
        <v>0.52567202272400082</v>
      </c>
      <c r="G37" s="23">
        <f t="shared" si="2"/>
        <v>-5211151.519400008</v>
      </c>
      <c r="H37" s="94">
        <f t="shared" si="3"/>
        <v>-12.51918093556452</v>
      </c>
      <c r="I37" s="23">
        <f>+'Centralna država-ek klas'!I49+'Lokalna država-ek klas '!I47</f>
        <v>31658189.310000002</v>
      </c>
      <c r="J37" s="41">
        <f t="shared" si="4"/>
        <v>0.42441728517472294</v>
      </c>
      <c r="K37" s="23">
        <f t="shared" si="5"/>
        <v>4755998.2899999991</v>
      </c>
      <c r="L37" s="94">
        <f t="shared" si="6"/>
        <v>15.022963705942914</v>
      </c>
      <c r="M37" s="72" t="s">
        <v>119</v>
      </c>
    </row>
    <row r="38" spans="1:16357" ht="15" customHeight="1">
      <c r="A38" s="18">
        <v>42</v>
      </c>
      <c r="B38" s="19" t="s">
        <v>37</v>
      </c>
      <c r="C38" s="20">
        <f>+'Centralna država-ek klas'!C50+'Lokalna država-ek klas '!C48</f>
        <v>545093362.43999994</v>
      </c>
      <c r="D38" s="40">
        <f t="shared" si="1"/>
        <v>6.883795699185451</v>
      </c>
      <c r="E38" s="20">
        <f>+'Centralna država-ek klas'!E50+'Lokalna država-ek klas '!E48</f>
        <v>532426131.41840005</v>
      </c>
      <c r="F38" s="40">
        <f t="shared" si="0"/>
        <v>6.7238256161949863</v>
      </c>
      <c r="G38" s="20">
        <f t="shared" si="2"/>
        <v>12667231.021599889</v>
      </c>
      <c r="H38" s="89">
        <f t="shared" si="3"/>
        <v>2.3791527639438073</v>
      </c>
      <c r="I38" s="20">
        <f>+'Centralna država-ek klas'!I50+'Lokalna država-ek klas '!I48</f>
        <v>483972391.57999992</v>
      </c>
      <c r="J38" s="40">
        <f t="shared" si="4"/>
        <v>6.4882500550661302</v>
      </c>
      <c r="K38" s="20">
        <f t="shared" si="5"/>
        <v>61120970.860000014</v>
      </c>
      <c r="L38" s="89">
        <f t="shared" si="6"/>
        <v>12.629020151430865</v>
      </c>
      <c r="M38" s="71" t="s">
        <v>120</v>
      </c>
    </row>
    <row r="39" spans="1:16357" ht="15" customHeight="1">
      <c r="A39" s="18">
        <v>43</v>
      </c>
      <c r="B39" s="19" t="s">
        <v>43</v>
      </c>
      <c r="C39" s="20">
        <f>+'Centralna država-ek klas'!C56+'Lokalna država-ek klas '!C49</f>
        <v>265661918.99000004</v>
      </c>
      <c r="D39" s="40">
        <f t="shared" si="1"/>
        <v>3.3549525666477247</v>
      </c>
      <c r="E39" s="20">
        <f>+'Centralna država-ek klas'!E56+'Lokalna država-ek klas '!E49</f>
        <v>273238129.50349003</v>
      </c>
      <c r="F39" s="40">
        <f t="shared" si="0"/>
        <v>3.4506299110120606</v>
      </c>
      <c r="G39" s="20">
        <f t="shared" si="2"/>
        <v>-7576210.5134899914</v>
      </c>
      <c r="H39" s="89">
        <f t="shared" si="3"/>
        <v>-2.7727501016263716</v>
      </c>
      <c r="I39" s="20">
        <f>+'Centralna država-ek klas'!I56+'Lokalna država-ek klas '!I49</f>
        <v>228308799.72299999</v>
      </c>
      <c r="J39" s="40">
        <f t="shared" si="4"/>
        <v>3.0607625727137702</v>
      </c>
      <c r="K39" s="20">
        <f t="shared" si="5"/>
        <v>37353119.267000049</v>
      </c>
      <c r="L39" s="89">
        <f t="shared" si="6"/>
        <v>16.360788244833074</v>
      </c>
      <c r="M39" s="71" t="s">
        <v>126</v>
      </c>
    </row>
    <row r="40" spans="1:16357" ht="15" customHeight="1">
      <c r="A40" s="18">
        <v>44</v>
      </c>
      <c r="B40" s="19" t="s">
        <v>64</v>
      </c>
      <c r="C40" s="20">
        <f>+'Centralna država-ek klas'!C57+'Lokalna država-ek klas '!C50</f>
        <v>161188869.11000001</v>
      </c>
      <c r="D40" s="40">
        <f t="shared" si="1"/>
        <v>2.0355985238365855</v>
      </c>
      <c r="E40" s="20">
        <f>+'Centralna država-ek klas'!E57+'Lokalna država-ek klas '!E50</f>
        <v>155004060.94570002</v>
      </c>
      <c r="F40" s="40">
        <f t="shared" si="0"/>
        <v>1.9574927188949931</v>
      </c>
      <c r="G40" s="20">
        <f t="shared" si="2"/>
        <v>6184808.1642999947</v>
      </c>
      <c r="H40" s="89">
        <f t="shared" si="3"/>
        <v>3.9900942766051912</v>
      </c>
      <c r="I40" s="20">
        <f>+'Centralna država-ek klas'!I57+'Lokalna država-ek klas '!I50</f>
        <v>122770317.04000002</v>
      </c>
      <c r="J40" s="40">
        <f t="shared" si="4"/>
        <v>1.6458883402310676</v>
      </c>
      <c r="K40" s="20">
        <f t="shared" si="5"/>
        <v>38418552.069999993</v>
      </c>
      <c r="L40" s="89">
        <f t="shared" si="6"/>
        <v>31.293029941009905</v>
      </c>
      <c r="M40" s="71" t="s">
        <v>127</v>
      </c>
      <c r="O40" s="87"/>
    </row>
    <row r="41" spans="1:16357" ht="15" customHeight="1">
      <c r="A41" s="18">
        <v>45</v>
      </c>
      <c r="B41" s="19" t="s">
        <v>44</v>
      </c>
      <c r="C41" s="20">
        <f>+'Centralna država-ek klas'!C58+'Lokalna država-ek klas '!C51</f>
        <v>35033.599999999999</v>
      </c>
      <c r="D41" s="40">
        <f t="shared" si="1"/>
        <v>4.4242722737892278E-4</v>
      </c>
      <c r="E41" s="20">
        <f>+'Centralna država-ek klas'!E58+'Lokalna država-ek klas '!E51</f>
        <v>0</v>
      </c>
      <c r="F41" s="40">
        <f t="shared" si="0"/>
        <v>0</v>
      </c>
      <c r="G41" s="20">
        <f t="shared" si="2"/>
        <v>35033.599999999999</v>
      </c>
      <c r="H41" s="89">
        <f>+IFERROR(C41/E41*100-100,0)</f>
        <v>0</v>
      </c>
      <c r="I41" s="20">
        <f>+'Centralna država-ek klas'!I58+'Lokalna država-ek klas '!I51</f>
        <v>408068.9</v>
      </c>
      <c r="J41" s="40">
        <f t="shared" si="4"/>
        <v>5.4706696269432179E-3</v>
      </c>
      <c r="K41" s="20">
        <f t="shared" si="5"/>
        <v>-373035.30000000005</v>
      </c>
      <c r="L41" s="89">
        <f>+IFERROR(C41/I41*100-100,0)</f>
        <v>-91.414783140788231</v>
      </c>
      <c r="M41" s="71" t="s">
        <v>128</v>
      </c>
    </row>
    <row r="42" spans="1:16357" ht="15" customHeight="1">
      <c r="A42" s="18">
        <v>462</v>
      </c>
      <c r="B42" s="19" t="s">
        <v>45</v>
      </c>
      <c r="C42" s="20">
        <f>+'Centralna država-ek klas'!C59+'Lokalna država-ek klas '!C52</f>
        <v>4062322.96</v>
      </c>
      <c r="D42" s="40">
        <f t="shared" si="1"/>
        <v>5.1301672791564057E-2</v>
      </c>
      <c r="E42" s="20">
        <f>+'Centralna država-ek klas'!E59+'Lokalna država-ek klas '!E52</f>
        <v>4100001.5999999996</v>
      </c>
      <c r="F42" s="40">
        <f t="shared" si="0"/>
        <v>5.1777503315021775E-2</v>
      </c>
      <c r="G42" s="20">
        <f t="shared" si="2"/>
        <v>-37678.639999999665</v>
      </c>
      <c r="H42" s="104">
        <f t="shared" si="3"/>
        <v>-0.91899086088160686</v>
      </c>
      <c r="I42" s="20">
        <f>+'Centralna država-ek klas'!I59+'Lokalna država-ek klas '!I52</f>
        <v>2301161.16</v>
      </c>
      <c r="J42" s="40">
        <f t="shared" si="4"/>
        <v>3.0849918885544631E-2</v>
      </c>
      <c r="K42" s="20">
        <f t="shared" si="5"/>
        <v>1761161.7999999998</v>
      </c>
      <c r="L42" s="89">
        <f t="shared" si="6"/>
        <v>76.533614012501403</v>
      </c>
      <c r="M42" s="71" t="s">
        <v>129</v>
      </c>
    </row>
    <row r="43" spans="1:16357" ht="15" customHeight="1">
      <c r="A43" s="18">
        <v>463</v>
      </c>
      <c r="B43" s="19" t="s">
        <v>46</v>
      </c>
      <c r="C43" s="20">
        <f>+'Centralna država-ek klas'!C60+'Lokalna država-ek klas '!C53</f>
        <v>26522129.829999998</v>
      </c>
      <c r="D43" s="40">
        <f t="shared" si="1"/>
        <v>0.33493881202247899</v>
      </c>
      <c r="E43" s="20">
        <f>+'Centralna država-ek klas'!E60+'Lokalna država-ek klas '!E53</f>
        <v>30968261.832599998</v>
      </c>
      <c r="F43" s="40">
        <f t="shared" si="0"/>
        <v>0.39108747657510889</v>
      </c>
      <c r="G43" s="20">
        <f t="shared" si="2"/>
        <v>-4446132.0025999993</v>
      </c>
      <c r="H43" s="89">
        <f t="shared" si="3"/>
        <v>-14.357060227124535</v>
      </c>
      <c r="I43" s="20">
        <f>+'Centralna država-ek klas'!I60+'Lokalna država-ek klas '!I53</f>
        <v>31853090.729999997</v>
      </c>
      <c r="J43" s="40">
        <f t="shared" si="4"/>
        <v>0.42703018039570656</v>
      </c>
      <c r="K43" s="20">
        <f t="shared" si="5"/>
        <v>-5330960.8999999985</v>
      </c>
      <c r="L43" s="89">
        <f t="shared" si="6"/>
        <v>-16.736086759013219</v>
      </c>
      <c r="M43" s="71" t="s">
        <v>130</v>
      </c>
    </row>
    <row r="44" spans="1:16357" ht="15" customHeight="1">
      <c r="A44" s="18">
        <v>47</v>
      </c>
      <c r="B44" s="19" t="s">
        <v>47</v>
      </c>
      <c r="C44" s="20">
        <f>+'Centralna država-ek klas'!C61+'Lokalna država-ek klas '!C54</f>
        <v>6319055.5899999999</v>
      </c>
      <c r="D44" s="40">
        <f t="shared" si="1"/>
        <v>7.980116928711245E-2</v>
      </c>
      <c r="E44" s="20">
        <f>+'Centralna država-ek klas'!E61+'Lokalna država-ek klas '!E54</f>
        <v>29217396.780499998</v>
      </c>
      <c r="F44" s="40">
        <f t="shared" si="0"/>
        <v>0.36897640690155958</v>
      </c>
      <c r="G44" s="20">
        <f t="shared" si="2"/>
        <v>-22898341.190499999</v>
      </c>
      <c r="H44" s="89">
        <f t="shared" si="3"/>
        <v>-78.3722840283382</v>
      </c>
      <c r="I44" s="20">
        <f>+'Centralna država-ek klas'!I61+'Lokalna država-ek klas '!I54</f>
        <v>16257890.210000001</v>
      </c>
      <c r="J44" s="40">
        <f t="shared" si="4"/>
        <v>0.21795717872649567</v>
      </c>
      <c r="K44" s="20">
        <f t="shared" si="5"/>
        <v>-9938834.620000001</v>
      </c>
      <c r="L44" s="89">
        <f t="shared" si="6"/>
        <v>-61.132376290047539</v>
      </c>
      <c r="M44" s="71" t="s">
        <v>131</v>
      </c>
      <c r="Q44" s="103"/>
    </row>
    <row r="45" spans="1:16357" s="38" customFormat="1" ht="15" customHeight="1">
      <c r="A45" s="35"/>
      <c r="B45" s="36" t="s">
        <v>76</v>
      </c>
      <c r="C45" s="37">
        <f>+C6-C27</f>
        <v>-109637721.40309143</v>
      </c>
      <c r="D45" s="44">
        <f t="shared" si="1"/>
        <v>-1.3845768946529196</v>
      </c>
      <c r="E45" s="37">
        <f>+E6-E27</f>
        <v>-118268815.13360095</v>
      </c>
      <c r="F45" s="44">
        <f t="shared" si="0"/>
        <v>-1.4935759946151537</v>
      </c>
      <c r="G45" s="37">
        <f>C45-E45</f>
        <v>8631093.7305095196</v>
      </c>
      <c r="H45" s="101">
        <f t="shared" si="3"/>
        <v>-7.2978609963746663</v>
      </c>
      <c r="I45" s="37">
        <f>+I6-I27</f>
        <v>41794144.200999737</v>
      </c>
      <c r="J45" s="44">
        <f t="shared" si="4"/>
        <v>0.56030232949507852</v>
      </c>
      <c r="K45" s="37">
        <f t="shared" si="5"/>
        <v>-151431865.60409117</v>
      </c>
      <c r="L45" s="101">
        <f t="shared" si="6"/>
        <v>-362.32794928354781</v>
      </c>
      <c r="M45" s="79" t="s">
        <v>133</v>
      </c>
      <c r="N45" s="1"/>
      <c r="O45" s="1"/>
      <c r="P45" s="103"/>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56</v>
      </c>
      <c r="C46" s="20">
        <f>+'Centralna država-ek klas'!C63+'Lokalna država-ek klas '!C56</f>
        <v>0</v>
      </c>
      <c r="D46" s="40">
        <f t="shared" si="1"/>
        <v>0</v>
      </c>
      <c r="E46" s="20">
        <f>+'Centralna država-ek klas'!E63+'Lokalna država-ek klas '!E56</f>
        <v>0</v>
      </c>
      <c r="F46" s="40">
        <f t="shared" si="0"/>
        <v>0</v>
      </c>
      <c r="G46" s="20">
        <f t="shared" si="2"/>
        <v>0</v>
      </c>
      <c r="H46" s="89" t="e">
        <f t="shared" si="3"/>
        <v>#DIV/0!</v>
      </c>
      <c r="I46" s="20">
        <f>+'Centralna država-ek klas'!I63+'Lokalna država-ek klas '!I56</f>
        <v>0</v>
      </c>
      <c r="J46" s="40">
        <f t="shared" si="4"/>
        <v>0</v>
      </c>
      <c r="K46" s="20">
        <f t="shared" si="5"/>
        <v>0</v>
      </c>
      <c r="L46" s="89" t="e">
        <f t="shared" si="6"/>
        <v>#DIV/0!</v>
      </c>
      <c r="M46" s="71" t="s">
        <v>132</v>
      </c>
    </row>
    <row r="47" spans="1:16357" s="38" customFormat="1" ht="15" hidden="1" customHeight="1">
      <c r="A47" s="35"/>
      <c r="B47" s="36" t="s">
        <v>58</v>
      </c>
      <c r="C47" s="37">
        <f>+C45-C46</f>
        <v>-109637721.40309143</v>
      </c>
      <c r="D47" s="44">
        <f t="shared" si="1"/>
        <v>-1.3845768946529196</v>
      </c>
      <c r="E47" s="37">
        <f>+E45-E46</f>
        <v>-118268815.13360095</v>
      </c>
      <c r="F47" s="44">
        <f t="shared" si="0"/>
        <v>-1.4935759946151537</v>
      </c>
      <c r="G47" s="37">
        <f t="shared" si="2"/>
        <v>8631093.7305095196</v>
      </c>
      <c r="H47" s="101">
        <f t="shared" si="3"/>
        <v>-7.2978609963746663</v>
      </c>
      <c r="I47" s="37">
        <f>+I45-I46</f>
        <v>41794144.200999737</v>
      </c>
      <c r="J47" s="44">
        <f t="shared" si="4"/>
        <v>0.56030232949507852</v>
      </c>
      <c r="K47" s="37">
        <f t="shared" si="5"/>
        <v>-151431865.60409117</v>
      </c>
      <c r="L47" s="101">
        <f t="shared" si="6"/>
        <v>-362.32794928354781</v>
      </c>
      <c r="M47" s="79" t="s">
        <v>136</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74</v>
      </c>
      <c r="C48" s="37">
        <f>+C47+C34</f>
        <v>-27829241.723091424</v>
      </c>
      <c r="D48" s="44">
        <f t="shared" si="1"/>
        <v>-0.35144587640451375</v>
      </c>
      <c r="E48" s="37">
        <f>+E47+E34</f>
        <v>-41871880.394000947</v>
      </c>
      <c r="F48" s="44">
        <f t="shared" si="0"/>
        <v>-0.52878550728043128</v>
      </c>
      <c r="G48" s="37">
        <f>+C48-E48</f>
        <v>14042638.670909524</v>
      </c>
      <c r="H48" s="101">
        <f t="shared" si="3"/>
        <v>-33.537157965615123</v>
      </c>
      <c r="I48" s="37">
        <f>+I47+I34</f>
        <v>103632433.42099974</v>
      </c>
      <c r="J48" s="44">
        <f t="shared" si="4"/>
        <v>1.3893212785450655</v>
      </c>
      <c r="K48" s="37">
        <f t="shared" si="5"/>
        <v>-131461675.14409116</v>
      </c>
      <c r="L48" s="101">
        <f t="shared" si="6"/>
        <v>-126.85379548122451</v>
      </c>
      <c r="M48" s="79" t="s">
        <v>135</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75</v>
      </c>
      <c r="C49" s="37">
        <f>+C6-(C27-C40)</f>
        <v>51551147.706908464</v>
      </c>
      <c r="D49" s="44">
        <f t="shared" si="1"/>
        <v>0.65102162918366435</v>
      </c>
      <c r="E49" s="37">
        <f>+E6-(E27-E40)</f>
        <v>36735245.81209898</v>
      </c>
      <c r="F49" s="44">
        <f t="shared" si="0"/>
        <v>0.4639167242798381</v>
      </c>
      <c r="G49" s="37">
        <f t="shared" si="2"/>
        <v>14815901.894809484</v>
      </c>
      <c r="H49" s="101">
        <f t="shared" si="3"/>
        <v>40.331571403095865</v>
      </c>
      <c r="I49" s="37">
        <f>+I6-(I27-I40)</f>
        <v>164564461.2409997</v>
      </c>
      <c r="J49" s="44">
        <f t="shared" si="4"/>
        <v>2.2061906697261451</v>
      </c>
      <c r="K49" s="37">
        <f t="shared" si="5"/>
        <v>-113013313.53409123</v>
      </c>
      <c r="L49" s="101">
        <f t="shared" si="6"/>
        <v>-68.674191670452245</v>
      </c>
      <c r="M49" s="79" t="s">
        <v>134</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682093041.45000005</v>
      </c>
      <c r="D50" s="44">
        <f t="shared" si="1"/>
        <v>8.6139173006251202</v>
      </c>
      <c r="E50" s="37">
        <f>+E51+E52+E53</f>
        <v>690405652.63491118</v>
      </c>
      <c r="F50" s="44">
        <f t="shared" si="0"/>
        <v>8.7188943945811843</v>
      </c>
      <c r="G50" s="37">
        <f t="shared" si="2"/>
        <v>-8312611.1849111319</v>
      </c>
      <c r="H50" s="101">
        <f t="shared" si="3"/>
        <v>-1.2040184134046825</v>
      </c>
      <c r="I50" s="37">
        <f>+I51+I52+I53</f>
        <v>315504694.67000002</v>
      </c>
      <c r="J50" s="44">
        <f t="shared" si="4"/>
        <v>4.2297316710221304</v>
      </c>
      <c r="K50" s="37">
        <f t="shared" si="5"/>
        <v>366588346.78000003</v>
      </c>
      <c r="L50" s="101">
        <f t="shared" si="6"/>
        <v>116.19109096409187</v>
      </c>
      <c r="M50" s="79" t="s">
        <v>137</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51</v>
      </c>
      <c r="C51" s="23">
        <f>+'Centralna država-ek klas'!C68+'Lokalna država-ek klas '!C61</f>
        <v>35606622.210000008</v>
      </c>
      <c r="D51" s="41">
        <f t="shared" si="1"/>
        <v>0.44966372684220507</v>
      </c>
      <c r="E51" s="23">
        <f>+'Centralna država-ek klas'!E68+'Lokalna država-ek klas '!E61</f>
        <v>36300031.317027599</v>
      </c>
      <c r="F51" s="41">
        <f t="shared" si="0"/>
        <v>0.45842055082436822</v>
      </c>
      <c r="G51" s="23">
        <f t="shared" si="2"/>
        <v>-693409.10702759027</v>
      </c>
      <c r="H51" s="94">
        <f t="shared" si="3"/>
        <v>-1.9102162776987086</v>
      </c>
      <c r="I51" s="23">
        <f>+'Centralna država-ek klas'!I68+'Lokalna država-ek klas '!I61</f>
        <v>168393912.99000001</v>
      </c>
      <c r="J51" s="41">
        <f t="shared" si="4"/>
        <v>2.2575292191012646</v>
      </c>
      <c r="K51" s="23">
        <f t="shared" si="5"/>
        <v>-132787290.78</v>
      </c>
      <c r="L51" s="94">
        <f t="shared" si="6"/>
        <v>-78.855160749121325</v>
      </c>
      <c r="M51" s="72" t="s">
        <v>138</v>
      </c>
    </row>
    <row r="52" spans="1:16357" ht="15" customHeight="1">
      <c r="A52" s="21">
        <v>4612</v>
      </c>
      <c r="B52" s="22" t="s">
        <v>52</v>
      </c>
      <c r="C52" s="23">
        <f>+'Centralna država-ek klas'!C69+'Lokalna država-ek klas '!C62</f>
        <v>646486419.24000001</v>
      </c>
      <c r="D52" s="41">
        <f t="shared" si="1"/>
        <v>8.1642535737829132</v>
      </c>
      <c r="E52" s="23">
        <f>+'Centralna država-ek klas'!E69+'Lokalna država-ek klas '!E62</f>
        <v>654105621.31788361</v>
      </c>
      <c r="F52" s="41">
        <f t="shared" si="0"/>
        <v>8.2604738437568166</v>
      </c>
      <c r="G52" s="23">
        <f t="shared" si="2"/>
        <v>-7619202.0778836012</v>
      </c>
      <c r="H52" s="94">
        <f t="shared" si="3"/>
        <v>-1.1648274880335947</v>
      </c>
      <c r="I52" s="23">
        <f>+'Centralna država-ek klas'!I69+'Lokalna država-ek klas '!I62</f>
        <v>147110781.68000001</v>
      </c>
      <c r="J52" s="41">
        <f t="shared" si="4"/>
        <v>1.9722024519208663</v>
      </c>
      <c r="K52" s="23">
        <f t="shared" si="5"/>
        <v>499375637.56</v>
      </c>
      <c r="L52" s="94">
        <f t="shared" si="6"/>
        <v>339.45549867735565</v>
      </c>
      <c r="M52" s="72" t="s">
        <v>139</v>
      </c>
    </row>
    <row r="53" spans="1:16357" ht="15" hidden="1" customHeight="1">
      <c r="A53" s="18">
        <v>463</v>
      </c>
      <c r="B53" s="19" t="s">
        <v>46</v>
      </c>
      <c r="C53" s="20">
        <v>0</v>
      </c>
      <c r="D53" s="40">
        <f t="shared" ref="D53" si="7">+C53/$C$2*100</f>
        <v>0</v>
      </c>
      <c r="E53" s="20">
        <v>0</v>
      </c>
      <c r="F53" s="40">
        <f t="shared" ref="F53" si="8">+E53/$E$2*100</f>
        <v>0</v>
      </c>
      <c r="G53" s="20">
        <f t="shared" ref="G53" si="9">+C53-E53</f>
        <v>0</v>
      </c>
      <c r="H53" s="89" t="e">
        <f t="shared" ref="H53" si="10">+C53/E53*100-100</f>
        <v>#DIV/0!</v>
      </c>
      <c r="I53" s="20">
        <f>+'Lokalna država-ek klas '!I63</f>
        <v>0</v>
      </c>
      <c r="J53" s="40">
        <f t="shared" ref="J53" si="11">+I53/$I$2*100</f>
        <v>0</v>
      </c>
      <c r="K53" s="20">
        <f t="shared" ref="K53" si="12">+C53-I53</f>
        <v>0</v>
      </c>
      <c r="L53" s="89" t="e">
        <f t="shared" ref="L53" si="13">+C53/I53*100-100</f>
        <v>#DIV/0!</v>
      </c>
      <c r="M53" s="71" t="s">
        <v>130</v>
      </c>
    </row>
    <row r="54" spans="1:16357" s="38" customFormat="1" ht="15" customHeight="1">
      <c r="A54" s="35">
        <v>4418</v>
      </c>
      <c r="B54" s="36" t="s">
        <v>62</v>
      </c>
      <c r="C54" s="37">
        <f>+'Centralna država-ek klas'!C70+'Lokalna država-ek klas '!C64</f>
        <v>1402866.42</v>
      </c>
      <c r="D54" s="44">
        <f t="shared" si="1"/>
        <v>1.7716315211214244E-2</v>
      </c>
      <c r="E54" s="37">
        <f>+'Centralna država-ek klas'!E70+'Lokalna država-ek klas '!E64</f>
        <v>13685001.439999999</v>
      </c>
      <c r="F54" s="44">
        <f t="shared" ref="F54:F63" si="14">+E54/$E$2*100</f>
        <v>0.17282315388015407</v>
      </c>
      <c r="G54" s="37">
        <f t="shared" si="2"/>
        <v>-12282135.02</v>
      </c>
      <c r="H54" s="101">
        <f t="shared" si="3"/>
        <v>-89.748876343559957</v>
      </c>
      <c r="I54" s="37">
        <f>+'Centralna država-ek klas'!I70+'Lokalna država-ek klas '!I64</f>
        <v>3266458.45</v>
      </c>
      <c r="J54" s="44">
        <f t="shared" si="4"/>
        <v>4.3790926066865236E-2</v>
      </c>
      <c r="K54" s="37">
        <f t="shared" si="5"/>
        <v>-1863592.0300000003</v>
      </c>
      <c r="L54" s="101">
        <f t="shared" si="6"/>
        <v>-57.052372118800413</v>
      </c>
      <c r="M54" s="79" t="s">
        <v>140</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v>45</v>
      </c>
      <c r="B55" s="36" t="s">
        <v>44</v>
      </c>
      <c r="C55" s="37">
        <f>+'Centralna država-ek klas'!C71+'Lokalna država-ek klas '!C65</f>
        <v>5151368.4000000004</v>
      </c>
      <c r="D55" s="44">
        <f t="shared" si="1"/>
        <v>6.5054851297594252E-2</v>
      </c>
      <c r="E55" s="37">
        <f>+'Centralna država-ek klas'!E71+'Lokalna država-ek klas '!E65</f>
        <v>4620002.3999999985</v>
      </c>
      <c r="F55" s="44">
        <f t="shared" si="14"/>
        <v>5.8344413714718678E-2</v>
      </c>
      <c r="G55" s="37">
        <f t="shared" si="2"/>
        <v>531366.00000000186</v>
      </c>
      <c r="H55" s="101">
        <f t="shared" si="3"/>
        <v>11.50142259666363</v>
      </c>
      <c r="I55" s="37">
        <f>+'Centralna država-ek klas'!I71+'Lokalna država-ek klas '!I65</f>
        <v>4790451.1899999995</v>
      </c>
      <c r="J55" s="44">
        <f t="shared" si="4"/>
        <v>6.4221938561078745E-2</v>
      </c>
      <c r="K55" s="37">
        <f t="shared" si="5"/>
        <v>360917.21000000089</v>
      </c>
      <c r="L55" s="101">
        <f t="shared" si="6"/>
        <v>7.5340963864408081</v>
      </c>
      <c r="M55" s="79" t="s">
        <v>128</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53</v>
      </c>
      <c r="C56" s="37">
        <f>+C47-C50-C54-C55</f>
        <v>-798284997.67309141</v>
      </c>
      <c r="D56" s="44">
        <f t="shared" si="1"/>
        <v>-10.081265361786846</v>
      </c>
      <c r="E56" s="37">
        <f>+E47-E50-E54-E55</f>
        <v>-826979471.60851216</v>
      </c>
      <c r="F56" s="44">
        <f t="shared" si="14"/>
        <v>-10.443637956791212</v>
      </c>
      <c r="G56" s="37">
        <f t="shared" ref="G56:G63" si="15">+C56-E56</f>
        <v>28694473.935420752</v>
      </c>
      <c r="H56" s="101">
        <f t="shared" ref="H56:H63" si="16">+C56/E56*100-100</f>
        <v>-3.4697927724383248</v>
      </c>
      <c r="I56" s="37">
        <f>+I47-I50-I54-I55</f>
        <v>-281767460.10900027</v>
      </c>
      <c r="J56" s="44">
        <f t="shared" si="4"/>
        <v>-3.7774422061549959</v>
      </c>
      <c r="K56" s="37">
        <f t="shared" ref="K56:K63" si="17">+C56-I56</f>
        <v>-516517537.56409115</v>
      </c>
      <c r="L56" s="101">
        <f t="shared" ref="L56:L63" si="18">+C56/I56*100-100</f>
        <v>183.3134093497805</v>
      </c>
      <c r="M56" s="79" t="s">
        <v>141</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s="38" customFormat="1" ht="15" customHeight="1">
      <c r="A57" s="35"/>
      <c r="B57" s="36" t="s">
        <v>48</v>
      </c>
      <c r="C57" s="37">
        <f>+SUM(C58:C63)+C46</f>
        <v>798284997.67309141</v>
      </c>
      <c r="D57" s="44">
        <f t="shared" ref="D57:D63" si="19">+C57/$C$2*100</f>
        <v>10.081265361786846</v>
      </c>
      <c r="E57" s="37">
        <f>+SUM(E58:E63)+E46</f>
        <v>826979471.60851216</v>
      </c>
      <c r="F57" s="44">
        <f t="shared" si="14"/>
        <v>10.443637956791212</v>
      </c>
      <c r="G57" s="37">
        <f t="shared" si="15"/>
        <v>-28694473.935420752</v>
      </c>
      <c r="H57" s="101">
        <f t="shared" si="16"/>
        <v>-3.4697927724383248</v>
      </c>
      <c r="I57" s="37">
        <f>+SUM(I58:I63)+I46</f>
        <v>281767460.10900027</v>
      </c>
      <c r="J57" s="44">
        <f t="shared" ref="J57:J63" si="20">+I57/$I$2*100</f>
        <v>3.7774422061549959</v>
      </c>
      <c r="K57" s="37">
        <f t="shared" si="17"/>
        <v>516517537.56409115</v>
      </c>
      <c r="L57" s="101">
        <f t="shared" si="18"/>
        <v>183.3134093497805</v>
      </c>
      <c r="M57" s="79" t="s">
        <v>142</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row>
    <row r="58" spans="1:16357">
      <c r="A58" s="21">
        <v>7511</v>
      </c>
      <c r="B58" s="22" t="s">
        <v>54</v>
      </c>
      <c r="C58" s="23">
        <f>+'Centralna država-ek klas'!C74+'Lokalna država-ek klas '!C68</f>
        <v>7333488.4900000002</v>
      </c>
      <c r="D58" s="41">
        <f t="shared" si="19"/>
        <v>9.2612091810317612E-2</v>
      </c>
      <c r="E58" s="23">
        <f>+'Centralna država-ek klas'!E74+'Lokalna država-ek klas '!E68</f>
        <v>37060183.590000004</v>
      </c>
      <c r="F58" s="41">
        <f t="shared" si="14"/>
        <v>0.46802025118393642</v>
      </c>
      <c r="G58" s="23">
        <f t="shared" si="15"/>
        <v>-29726695.100000001</v>
      </c>
      <c r="H58" s="94">
        <f t="shared" si="16"/>
        <v>-80.21194775738023</v>
      </c>
      <c r="I58" s="23">
        <f>+'Centralna država-ek klas'!I74+'Lokalna država-ek klas '!I68</f>
        <v>485330</v>
      </c>
      <c r="J58" s="41">
        <f t="shared" si="20"/>
        <v>6.5064504794272527E-3</v>
      </c>
      <c r="K58" s="23">
        <f t="shared" si="17"/>
        <v>6848158.4900000002</v>
      </c>
      <c r="L58" s="94">
        <f t="shared" si="18"/>
        <v>1411.0313580450415</v>
      </c>
      <c r="M58" s="72" t="s">
        <v>143</v>
      </c>
    </row>
    <row r="59" spans="1:16357" ht="15" customHeight="1">
      <c r="A59" s="21">
        <v>7512</v>
      </c>
      <c r="B59" s="22" t="s">
        <v>49</v>
      </c>
      <c r="C59" s="23">
        <f>+'Centralna država-ek klas'!C75+'Lokalna država-ek klas '!C69</f>
        <v>918361784.80000019</v>
      </c>
      <c r="D59" s="41">
        <f t="shared" si="19"/>
        <v>11.597673609900868</v>
      </c>
      <c r="E59" s="23">
        <f>+'Centralna država-ek klas'!E75+'Lokalna država-ek klas '!E69</f>
        <v>852000000</v>
      </c>
      <c r="F59" s="41">
        <f t="shared" si="14"/>
        <v>10.759613563174844</v>
      </c>
      <c r="G59" s="23">
        <f t="shared" si="15"/>
        <v>66361784.800000191</v>
      </c>
      <c r="H59" s="94">
        <f t="shared" si="16"/>
        <v>7.7889418779342918</v>
      </c>
      <c r="I59" s="23">
        <f>+'Centralna država-ek klas'!I75+'Lokalna država-ek klas '!I69</f>
        <v>695084642.98999989</v>
      </c>
      <c r="J59" s="41">
        <f t="shared" si="20"/>
        <v>9.3184715732075212</v>
      </c>
      <c r="K59" s="23">
        <f t="shared" si="17"/>
        <v>223277141.8100003</v>
      </c>
      <c r="L59" s="94">
        <f t="shared" si="18"/>
        <v>32.122295329320423</v>
      </c>
      <c r="M59" s="72" t="s">
        <v>144</v>
      </c>
    </row>
    <row r="60" spans="1:16357" ht="15" customHeight="1">
      <c r="A60" s="18">
        <v>72</v>
      </c>
      <c r="B60" s="19" t="s">
        <v>168</v>
      </c>
      <c r="C60" s="20">
        <f>+'Centralna država-ek klas'!C76+'Lokalna država-ek klas '!C70</f>
        <v>5043674.6099999994</v>
      </c>
      <c r="D60" s="40">
        <f t="shared" si="19"/>
        <v>6.3694823640841058E-2</v>
      </c>
      <c r="E60" s="20">
        <f>+'Centralna država-ek klas'!E76+'Lokalna država-ek klas '!E70</f>
        <v>7000000</v>
      </c>
      <c r="F60" s="40">
        <f t="shared" si="14"/>
        <v>8.8400580918103169E-2</v>
      </c>
      <c r="G60" s="20">
        <f t="shared" si="15"/>
        <v>-1956325.3900000006</v>
      </c>
      <c r="H60" s="89">
        <f t="shared" si="16"/>
        <v>-27.947505571428579</v>
      </c>
      <c r="I60" s="20">
        <f>+'Centralna država-ek klas'!I76+'Lokalna država-ek klas '!I70</f>
        <v>3658856.2</v>
      </c>
      <c r="J60" s="40">
        <f t="shared" si="20"/>
        <v>4.9051504495179324E-2</v>
      </c>
      <c r="K60" s="20">
        <f t="shared" si="17"/>
        <v>1384818.4099999992</v>
      </c>
      <c r="L60" s="89">
        <f t="shared" si="18"/>
        <v>37.848396720264645</v>
      </c>
      <c r="M60" s="71" t="s">
        <v>145</v>
      </c>
    </row>
    <row r="61" spans="1:16357" ht="15" customHeight="1">
      <c r="A61" s="28">
        <v>73</v>
      </c>
      <c r="B61" s="19" t="s">
        <v>183</v>
      </c>
      <c r="C61" s="20">
        <f>+'Centralna država-ek klas'!C77+'Lokalna država-ek klas '!C71</f>
        <v>9730016.3499999978</v>
      </c>
      <c r="D61" s="40">
        <f t="shared" si="19"/>
        <v>0.12287701395466311</v>
      </c>
      <c r="E61" s="20">
        <f>+'Centralna država-ek klas'!E77+'Lokalna država-ek klas '!E71</f>
        <v>3755794.5137240705</v>
      </c>
      <c r="F61" s="40">
        <f t="shared" si="14"/>
        <v>4.7430630974604662E-2</v>
      </c>
      <c r="G61" s="20">
        <f t="shared" si="15"/>
        <v>5974221.8362759277</v>
      </c>
      <c r="H61" s="89">
        <f t="shared" si="16"/>
        <v>159.06679171199301</v>
      </c>
      <c r="I61" s="20">
        <f>+'Centralna država-ek klas'!I77+'Lokalna država-ek klas '!I71</f>
        <v>5497077.1400000006</v>
      </c>
      <c r="J61" s="40">
        <f t="shared" si="20"/>
        <v>7.3695135666457051E-2</v>
      </c>
      <c r="K61" s="20">
        <f t="shared" si="17"/>
        <v>4232939.2099999972</v>
      </c>
      <c r="L61" s="89">
        <f t="shared" si="18"/>
        <v>77.003452965915585</v>
      </c>
      <c r="M61" s="71" t="s">
        <v>107</v>
      </c>
    </row>
    <row r="62" spans="1:16357" ht="15" customHeight="1">
      <c r="A62" s="28"/>
      <c r="B62" s="29" t="s">
        <v>150</v>
      </c>
      <c r="C62" s="30">
        <f>+'Lokalna država-ek klas '!C72</f>
        <v>11730225.652091</v>
      </c>
      <c r="D62" s="40">
        <f t="shared" si="19"/>
        <v>0.14813696599218287</v>
      </c>
      <c r="E62" s="30">
        <f>+'Lokalna država-ek klas '!E72</f>
        <v>13000000</v>
      </c>
      <c r="F62" s="40">
        <f t="shared" si="14"/>
        <v>0.16417250741933448</v>
      </c>
      <c r="G62" s="20">
        <f t="shared" si="15"/>
        <v>-1269774.3479089998</v>
      </c>
      <c r="H62" s="89">
        <f t="shared" si="16"/>
        <v>-9.767494983915384</v>
      </c>
      <c r="I62" s="30">
        <f>+'Lokalna država-ek klas '!I72</f>
        <v>9477173.8300000019</v>
      </c>
      <c r="J62" s="40">
        <f t="shared" si="20"/>
        <v>0.12705326728168242</v>
      </c>
      <c r="K62" s="20">
        <f t="shared" si="17"/>
        <v>2253051.8220909983</v>
      </c>
      <c r="L62" s="89">
        <f t="shared" si="18"/>
        <v>23.773456755208613</v>
      </c>
      <c r="M62" s="74" t="s">
        <v>151</v>
      </c>
    </row>
    <row r="63" spans="1:16357" ht="15" customHeight="1" thickBot="1">
      <c r="A63" s="24"/>
      <c r="B63" s="25" t="s">
        <v>192</v>
      </c>
      <c r="C63" s="26">
        <f>+-C56-(SUM(C58:C62)+C46)</f>
        <v>-153914192.22899985</v>
      </c>
      <c r="D63" s="42">
        <f t="shared" si="19"/>
        <v>-1.943729143512027</v>
      </c>
      <c r="E63" s="26">
        <f>+-E56-(SUM(E58:E62)+E46)</f>
        <v>-85836506.495211959</v>
      </c>
      <c r="F63" s="42">
        <f t="shared" si="14"/>
        <v>-1.0839995768796105</v>
      </c>
      <c r="G63" s="26">
        <f t="shared" si="15"/>
        <v>-68077685.733787894</v>
      </c>
      <c r="H63" s="95">
        <f t="shared" si="16"/>
        <v>79.310876587906506</v>
      </c>
      <c r="I63" s="26">
        <f>+-I56-(SUM(I58:I62)+I46)</f>
        <v>-432435620.0509997</v>
      </c>
      <c r="J63" s="42">
        <f t="shared" si="20"/>
        <v>-5.7973357249752713</v>
      </c>
      <c r="K63" s="26">
        <f t="shared" si="17"/>
        <v>278521427.82199985</v>
      </c>
      <c r="L63" s="95">
        <f t="shared" si="18"/>
        <v>-64.407605411680038</v>
      </c>
      <c r="M63" s="75" t="s">
        <v>146</v>
      </c>
    </row>
    <row r="64" spans="1:16357" ht="13.5" customHeight="1"/>
    <row r="66" spans="2:2">
      <c r="B66" s="4" t="s">
        <v>191</v>
      </c>
    </row>
    <row r="67" spans="2:2">
      <c r="B67" s="4" t="s">
        <v>193</v>
      </c>
    </row>
  </sheetData>
  <sheetProtection algorithmName="SHA-512" hashValue="psYLPexrI0LAdGd6u7H52iMN6E3rUOQbmHX3o79ura34CDG7HNTO4OYnlbleuBvSIzqCv0pGOTQWgxQgtIq8MQ==" saltValue="6NypZ3JSiTd2BIF3Og0FZw==" spinCount="100000" sheet="1"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116"/>
      <c r="C4" s="116" t="s">
        <v>170</v>
      </c>
      <c r="D4" s="128" t="s">
        <v>171</v>
      </c>
    </row>
    <row r="5" spans="2:4">
      <c r="B5" s="117"/>
      <c r="C5" s="117"/>
      <c r="D5" s="129"/>
    </row>
    <row r="6" spans="2:4" ht="13.5">
      <c r="B6" s="22" t="s">
        <v>174</v>
      </c>
      <c r="C6" s="23">
        <v>51122438.960000001</v>
      </c>
      <c r="D6" s="23">
        <v>50118940.61699906</v>
      </c>
    </row>
    <row r="7" spans="2:4" ht="13.5">
      <c r="B7" s="22" t="s">
        <v>173</v>
      </c>
      <c r="C7" s="23">
        <v>59697131.339999996</v>
      </c>
      <c r="D7" s="23">
        <v>57763326.64507816</v>
      </c>
    </row>
    <row r="8" spans="2:4" ht="13.5">
      <c r="B8" s="22" t="s">
        <v>172</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Milica Rahovic</cp:lastModifiedBy>
  <cp:lastPrinted>2024-05-10T11:00:48Z</cp:lastPrinted>
  <dcterms:created xsi:type="dcterms:W3CDTF">2008-03-17T08:49:23Z</dcterms:created>
  <dcterms:modified xsi:type="dcterms:W3CDTF">2025-08-18T07:44:17Z</dcterms:modified>
</cp:coreProperties>
</file>