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ko.krvavac\Dropbox\MINISTARSTVO FINANSIJA\SEP\99_Arhiva\01_Analize\Bilten - 2017\Bilten - 2017 - IV kvartal - Analiza\"/>
    </mc:Choice>
  </mc:AlternateContent>
  <bookViews>
    <workbookView xWindow="0" yWindow="0" windowWidth="15600" windowHeight="5985" tabRatio="817" activeTab="1"/>
  </bookViews>
  <sheets>
    <sheet name="Centr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'Central Budget'!$B$13:$C$75</definedName>
    <definedName name="Z_05AB59A7_9F04_4F70_A17E_8EF60EF35C7C_.wvu.PrintArea" localSheetId="1" hidden="1">'Local Government'!$B$13:$M$73</definedName>
    <definedName name="Z_05AB59A7_9F04_4F70_A17E_8EF60EF35C7C_.wvu.PrintArea" localSheetId="2" hidden="1">'Public Expenditure'!$B$13:$M$74</definedName>
    <definedName name="Z_636A372C_EE02_4B23_8381_E3299ADF8816_.wvu.Cols" localSheetId="0" hidden="1">'Central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'Central Budget'!#REF!,'Central Budget'!#REF!,'Central Budget'!#REF!,'Central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'Central Budget'!#REF!,'Central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'Central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L59" i="32" l="1"/>
  <c r="I59" i="32"/>
  <c r="H59" i="32"/>
  <c r="M59" i="32"/>
  <c r="K59" i="32"/>
  <c r="G59" i="32"/>
  <c r="E59" i="32"/>
  <c r="D71" i="10" l="1"/>
  <c r="D36" i="33"/>
  <c r="J54" i="33" l="1"/>
  <c r="J41" i="33"/>
  <c r="F41" i="33"/>
  <c r="D41" i="33"/>
  <c r="J21" i="32" l="1"/>
  <c r="D33" i="32" l="1"/>
  <c r="D21" i="32"/>
  <c r="D72" i="33" l="1"/>
  <c r="F65" i="33"/>
  <c r="F66" i="33"/>
  <c r="F67" i="33"/>
  <c r="F70" i="33"/>
  <c r="F71" i="33"/>
  <c r="F72" i="33"/>
  <c r="F73" i="33"/>
  <c r="F64" i="33" l="1"/>
  <c r="F48" i="10"/>
  <c r="F54" i="10"/>
  <c r="F54" i="33" s="1"/>
  <c r="D70" i="33" l="1"/>
  <c r="D73" i="33"/>
  <c r="D71" i="33"/>
  <c r="D67" i="33"/>
  <c r="D66" i="33"/>
  <c r="D65" i="33"/>
  <c r="D59" i="33"/>
  <c r="D57" i="33"/>
  <c r="D56" i="33"/>
  <c r="D55" i="33"/>
  <c r="D53" i="33"/>
  <c r="D52" i="33"/>
  <c r="D51" i="33"/>
  <c r="D50" i="33"/>
  <c r="D49" i="33"/>
  <c r="D46" i="33"/>
  <c r="D45" i="33"/>
  <c r="D44" i="33"/>
  <c r="D43" i="33"/>
  <c r="D42" i="33"/>
  <c r="D40" i="33"/>
  <c r="D39" i="33"/>
  <c r="D35" i="33"/>
  <c r="D34" i="33"/>
  <c r="D30" i="33"/>
  <c r="D29" i="33"/>
  <c r="D28" i="33"/>
  <c r="D27" i="33"/>
  <c r="D25" i="33"/>
  <c r="D24" i="33"/>
  <c r="D23" i="33"/>
  <c r="D22" i="33"/>
  <c r="D21" i="33"/>
  <c r="D20" i="33"/>
  <c r="D19" i="33"/>
  <c r="D18" i="33"/>
  <c r="F60" i="33" l="1"/>
  <c r="F59" i="33"/>
  <c r="F58" i="33"/>
  <c r="F57" i="33"/>
  <c r="F56" i="33"/>
  <c r="F55" i="33"/>
  <c r="F53" i="33"/>
  <c r="F52" i="33"/>
  <c r="F51" i="33"/>
  <c r="F50" i="33"/>
  <c r="F49" i="33"/>
  <c r="F47" i="33"/>
  <c r="F46" i="33"/>
  <c r="F45" i="33"/>
  <c r="F44" i="33"/>
  <c r="F43" i="33"/>
  <c r="F42" i="33"/>
  <c r="F40" i="33"/>
  <c r="F39" i="33"/>
  <c r="F22" i="33"/>
  <c r="F21" i="33"/>
  <c r="F20" i="33"/>
  <c r="F19" i="33"/>
  <c r="F18" i="33"/>
  <c r="J73" i="33"/>
  <c r="J71" i="33"/>
  <c r="J70" i="33"/>
  <c r="J66" i="33"/>
  <c r="J65" i="33"/>
  <c r="J60" i="33"/>
  <c r="J59" i="33"/>
  <c r="J58" i="33"/>
  <c r="J57" i="33"/>
  <c r="J56" i="33"/>
  <c r="J55" i="33"/>
  <c r="J53" i="33"/>
  <c r="J52" i="33"/>
  <c r="J51" i="33"/>
  <c r="J50" i="33"/>
  <c r="J49" i="33"/>
  <c r="J47" i="33"/>
  <c r="J45" i="33"/>
  <c r="J44" i="33"/>
  <c r="J43" i="33"/>
  <c r="J42" i="33"/>
  <c r="J40" i="33"/>
  <c r="J39" i="33"/>
  <c r="J35" i="33"/>
  <c r="J34" i="33"/>
  <c r="J28" i="33"/>
  <c r="J29" i="33"/>
  <c r="J30" i="33"/>
  <c r="J27" i="33"/>
  <c r="J25" i="33"/>
  <c r="J24" i="33"/>
  <c r="J23" i="33"/>
  <c r="J22" i="33"/>
  <c r="J21" i="33"/>
  <c r="J20" i="33"/>
  <c r="J19" i="33"/>
  <c r="J18" i="33"/>
  <c r="F64" i="32"/>
  <c r="J11" i="33"/>
  <c r="J11" i="32"/>
  <c r="F66" i="10"/>
  <c r="I57" i="10"/>
  <c r="I58" i="10"/>
  <c r="I59" i="10"/>
  <c r="I60" i="10"/>
  <c r="I61" i="10"/>
  <c r="I62" i="10"/>
  <c r="I64" i="10"/>
  <c r="I67" i="10"/>
  <c r="I68" i="10"/>
  <c r="I69" i="10"/>
  <c r="I72" i="10"/>
  <c r="I73" i="10"/>
  <c r="I74" i="10"/>
  <c r="H57" i="10"/>
  <c r="H58" i="10"/>
  <c r="H59" i="10"/>
  <c r="H60" i="10"/>
  <c r="H61" i="10"/>
  <c r="H62" i="10"/>
  <c r="H64" i="10"/>
  <c r="H67" i="10"/>
  <c r="H68" i="10"/>
  <c r="H69" i="10"/>
  <c r="H72" i="10"/>
  <c r="H73" i="10"/>
  <c r="H74" i="10"/>
  <c r="G57" i="10"/>
  <c r="G58" i="10"/>
  <c r="G59" i="10"/>
  <c r="G60" i="10"/>
  <c r="G61" i="10"/>
  <c r="G62" i="10"/>
  <c r="G64" i="10"/>
  <c r="G67" i="10"/>
  <c r="G68" i="10"/>
  <c r="G69" i="10"/>
  <c r="G72" i="10"/>
  <c r="G73" i="10"/>
  <c r="G74" i="10"/>
  <c r="I38" i="10"/>
  <c r="I39" i="10"/>
  <c r="I40" i="10"/>
  <c r="I41" i="10"/>
  <c r="I42" i="10"/>
  <c r="I43" i="10"/>
  <c r="I44" i="10"/>
  <c r="I45" i="10"/>
  <c r="I46" i="10"/>
  <c r="I47" i="10"/>
  <c r="I49" i="10"/>
  <c r="I50" i="10"/>
  <c r="I51" i="10"/>
  <c r="I52" i="10"/>
  <c r="I53" i="10"/>
  <c r="I55" i="10"/>
  <c r="I56" i="10"/>
  <c r="H38" i="10"/>
  <c r="H39" i="10"/>
  <c r="H40" i="10"/>
  <c r="H41" i="10"/>
  <c r="H42" i="10"/>
  <c r="H43" i="10"/>
  <c r="H44" i="10"/>
  <c r="H45" i="10"/>
  <c r="H46" i="10"/>
  <c r="H47" i="10"/>
  <c r="H49" i="10"/>
  <c r="H50" i="10"/>
  <c r="H51" i="10"/>
  <c r="H52" i="10"/>
  <c r="H53" i="10"/>
  <c r="H55" i="10"/>
  <c r="H56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F37" i="10"/>
  <c r="I24" i="10"/>
  <c r="I26" i="10"/>
  <c r="I27" i="10"/>
  <c r="I28" i="10"/>
  <c r="I29" i="10"/>
  <c r="I30" i="10"/>
  <c r="I31" i="10"/>
  <c r="I32" i="10"/>
  <c r="I33" i="10"/>
  <c r="I34" i="10"/>
  <c r="H26" i="10"/>
  <c r="H27" i="10"/>
  <c r="H28" i="10"/>
  <c r="H29" i="10"/>
  <c r="H30" i="10"/>
  <c r="H31" i="10"/>
  <c r="H32" i="10"/>
  <c r="H33" i="10"/>
  <c r="H34" i="10"/>
  <c r="G26" i="10"/>
  <c r="G27" i="10"/>
  <c r="G28" i="10"/>
  <c r="G29" i="10"/>
  <c r="G30" i="10"/>
  <c r="G31" i="10"/>
  <c r="G32" i="10"/>
  <c r="G33" i="10"/>
  <c r="G34" i="10"/>
  <c r="I19" i="10"/>
  <c r="I20" i="10"/>
  <c r="I21" i="10"/>
  <c r="I22" i="10"/>
  <c r="I23" i="10"/>
  <c r="I18" i="10"/>
  <c r="H19" i="10"/>
  <c r="H20" i="10"/>
  <c r="H21" i="10"/>
  <c r="H22" i="10"/>
  <c r="H23" i="10"/>
  <c r="H24" i="10"/>
  <c r="H18" i="10"/>
  <c r="G19" i="10"/>
  <c r="G20" i="10"/>
  <c r="G21" i="10"/>
  <c r="G22" i="10"/>
  <c r="G23" i="10"/>
  <c r="G24" i="10"/>
  <c r="G18" i="10"/>
  <c r="F17" i="10"/>
  <c r="F25" i="10"/>
  <c r="G25" i="10" s="1"/>
  <c r="F16" i="10" l="1"/>
  <c r="G16" i="10" s="1"/>
  <c r="G17" i="10"/>
  <c r="F35" i="10"/>
  <c r="F63" i="10" s="1"/>
  <c r="G37" i="10"/>
  <c r="G66" i="10"/>
  <c r="G35" i="10" l="1"/>
  <c r="F36" i="10"/>
  <c r="G63" i="10"/>
  <c r="F65" i="10"/>
  <c r="F70" i="10"/>
  <c r="G36" i="10" l="1"/>
  <c r="F75" i="10"/>
  <c r="G70" i="10"/>
  <c r="G65" i="10"/>
  <c r="F71" i="10" l="1"/>
  <c r="G75" i="10"/>
  <c r="G71" i="10" l="1"/>
  <c r="P69" i="10" l="1"/>
  <c r="O69" i="10"/>
  <c r="M69" i="10"/>
  <c r="L69" i="10"/>
  <c r="Q69" i="10" s="1"/>
  <c r="J66" i="10"/>
  <c r="J33" i="32" l="1"/>
  <c r="J33" i="33" s="1"/>
  <c r="J31" i="33" l="1"/>
  <c r="D33" i="33" l="1"/>
  <c r="F17" i="32" l="1"/>
  <c r="F16" i="32" s="1"/>
  <c r="F42" i="32"/>
  <c r="F51" i="32"/>
  <c r="F40" i="32" l="1"/>
  <c r="F41" i="32" s="1"/>
  <c r="J72" i="33"/>
  <c r="J27" i="32" l="1"/>
  <c r="J32" i="33" s="1"/>
  <c r="D64" i="32" l="1"/>
  <c r="D54" i="10" l="1"/>
  <c r="D54" i="33" s="1"/>
  <c r="O54" i="10"/>
  <c r="J54" i="10"/>
  <c r="D17" i="10"/>
  <c r="D25" i="10"/>
  <c r="D37" i="10"/>
  <c r="D48" i="10"/>
  <c r="D66" i="10"/>
  <c r="F61" i="32"/>
  <c r="H60" i="32"/>
  <c r="K51" i="33"/>
  <c r="K43" i="33"/>
  <c r="J46" i="33"/>
  <c r="I51" i="33"/>
  <c r="L49" i="33"/>
  <c r="H53" i="33"/>
  <c r="H39" i="33"/>
  <c r="H42" i="33"/>
  <c r="I44" i="33"/>
  <c r="D47" i="33"/>
  <c r="H47" i="33" s="1"/>
  <c r="M56" i="33"/>
  <c r="D58" i="33"/>
  <c r="H58" i="33" s="1"/>
  <c r="L59" i="33"/>
  <c r="D60" i="33"/>
  <c r="D11" i="32"/>
  <c r="J17" i="32"/>
  <c r="L21" i="33"/>
  <c r="F23" i="33"/>
  <c r="F24" i="33"/>
  <c r="F25" i="33"/>
  <c r="F27" i="33"/>
  <c r="F28" i="33"/>
  <c r="F29" i="33"/>
  <c r="F30" i="33"/>
  <c r="F31" i="33"/>
  <c r="F32" i="33"/>
  <c r="F33" i="33"/>
  <c r="F34" i="33"/>
  <c r="F35" i="33"/>
  <c r="D17" i="32"/>
  <c r="D27" i="32"/>
  <c r="D32" i="33" s="1"/>
  <c r="D42" i="32"/>
  <c r="I42" i="32" s="1"/>
  <c r="D51" i="32"/>
  <c r="L51" i="32" s="1"/>
  <c r="D26" i="33"/>
  <c r="J51" i="32"/>
  <c r="J42" i="32"/>
  <c r="J64" i="32"/>
  <c r="M64" i="32" s="1"/>
  <c r="J37" i="10"/>
  <c r="K37" i="10" s="1"/>
  <c r="J48" i="10"/>
  <c r="L48" i="10" s="1"/>
  <c r="K56" i="10"/>
  <c r="L56" i="10"/>
  <c r="M56" i="10"/>
  <c r="K55" i="10"/>
  <c r="L55" i="10"/>
  <c r="M55" i="10"/>
  <c r="N37" i="10"/>
  <c r="N48" i="10"/>
  <c r="Q48" i="10" s="1"/>
  <c r="O56" i="10"/>
  <c r="P56" i="10"/>
  <c r="Q56" i="10"/>
  <c r="O55" i="10"/>
  <c r="P55" i="10"/>
  <c r="Q55" i="10"/>
  <c r="C33" i="10"/>
  <c r="N18" i="33"/>
  <c r="N19" i="33"/>
  <c r="N20" i="33"/>
  <c r="N21" i="33"/>
  <c r="N22" i="33"/>
  <c r="O22" i="33" s="1"/>
  <c r="N23" i="33"/>
  <c r="N24" i="33"/>
  <c r="N25" i="33"/>
  <c r="N34" i="33"/>
  <c r="N35" i="33"/>
  <c r="N39" i="33"/>
  <c r="N40" i="33"/>
  <c r="N41" i="33"/>
  <c r="N42" i="33"/>
  <c r="N43" i="33"/>
  <c r="N44" i="33"/>
  <c r="N45" i="33"/>
  <c r="N46" i="33"/>
  <c r="N55" i="33"/>
  <c r="N59" i="33"/>
  <c r="O59" i="33" s="1"/>
  <c r="N65" i="33"/>
  <c r="N66" i="33"/>
  <c r="N67" i="33"/>
  <c r="O67" i="33" s="1"/>
  <c r="N70" i="33"/>
  <c r="N71" i="33"/>
  <c r="N73" i="33"/>
  <c r="I38" i="32"/>
  <c r="L14" i="32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2" i="32"/>
  <c r="H22" i="32"/>
  <c r="I22" i="32"/>
  <c r="L22" i="32"/>
  <c r="M22" i="32"/>
  <c r="C23" i="32"/>
  <c r="H23" i="32"/>
  <c r="I23" i="32"/>
  <c r="L23" i="32"/>
  <c r="M23" i="32"/>
  <c r="H24" i="32"/>
  <c r="I24" i="32"/>
  <c r="L24" i="32"/>
  <c r="M24" i="32"/>
  <c r="H25" i="32"/>
  <c r="I25" i="32"/>
  <c r="L25" i="32"/>
  <c r="M25" i="32"/>
  <c r="H26" i="32"/>
  <c r="I26" i="32"/>
  <c r="L26" i="32"/>
  <c r="M26" i="32"/>
  <c r="C27" i="32"/>
  <c r="C28" i="32"/>
  <c r="H28" i="32"/>
  <c r="I28" i="32"/>
  <c r="L28" i="32"/>
  <c r="M28" i="32"/>
  <c r="C29" i="32"/>
  <c r="H29" i="32"/>
  <c r="I29" i="32"/>
  <c r="L29" i="32"/>
  <c r="M29" i="32"/>
  <c r="H30" i="32"/>
  <c r="I30" i="32"/>
  <c r="L30" i="32"/>
  <c r="M30" i="32"/>
  <c r="H31" i="32"/>
  <c r="I31" i="32"/>
  <c r="L31" i="32"/>
  <c r="M31" i="32"/>
  <c r="C32" i="32"/>
  <c r="H32" i="32"/>
  <c r="I32" i="32"/>
  <c r="L32" i="32"/>
  <c r="M32" i="32"/>
  <c r="C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7" i="32"/>
  <c r="I37" i="32"/>
  <c r="L37" i="32"/>
  <c r="M37" i="32"/>
  <c r="C38" i="32"/>
  <c r="H38" i="32"/>
  <c r="L38" i="32"/>
  <c r="M38" i="32"/>
  <c r="H39" i="32"/>
  <c r="I39" i="32"/>
  <c r="L39" i="32"/>
  <c r="M39" i="32"/>
  <c r="C40" i="32"/>
  <c r="C41" i="32"/>
  <c r="C42" i="32"/>
  <c r="C43" i="32"/>
  <c r="H43" i="32"/>
  <c r="I43" i="32"/>
  <c r="L43" i="32"/>
  <c r="M43" i="32"/>
  <c r="C44" i="32"/>
  <c r="H44" i="32"/>
  <c r="I44" i="32"/>
  <c r="L44" i="32"/>
  <c r="M44" i="32"/>
  <c r="H45" i="32"/>
  <c r="I45" i="32"/>
  <c r="L45" i="32"/>
  <c r="M45" i="32"/>
  <c r="C46" i="32"/>
  <c r="H46" i="32"/>
  <c r="I46" i="32"/>
  <c r="L46" i="32"/>
  <c r="M46" i="32"/>
  <c r="C47" i="32"/>
  <c r="H47" i="32"/>
  <c r="I47" i="32"/>
  <c r="L47" i="32"/>
  <c r="M47" i="32"/>
  <c r="C48" i="32"/>
  <c r="H48" i="32"/>
  <c r="I48" i="32"/>
  <c r="L48" i="32"/>
  <c r="M48" i="32"/>
  <c r="C49" i="32"/>
  <c r="H49" i="32"/>
  <c r="I49" i="32"/>
  <c r="L49" i="32"/>
  <c r="M49" i="32"/>
  <c r="C50" i="32"/>
  <c r="H50" i="32"/>
  <c r="I50" i="32"/>
  <c r="L50" i="32"/>
  <c r="M50" i="32"/>
  <c r="C51" i="32"/>
  <c r="H52" i="32"/>
  <c r="I52" i="32"/>
  <c r="L52" i="32"/>
  <c r="M52" i="32"/>
  <c r="H53" i="32"/>
  <c r="I53" i="32"/>
  <c r="L53" i="32"/>
  <c r="M53" i="32"/>
  <c r="C54" i="32"/>
  <c r="C55" i="32"/>
  <c r="H55" i="32"/>
  <c r="I55" i="32"/>
  <c r="L55" i="32"/>
  <c r="M55" i="32"/>
  <c r="C56" i="32"/>
  <c r="H56" i="32"/>
  <c r="I56" i="32"/>
  <c r="L56" i="32"/>
  <c r="M56" i="32"/>
  <c r="C57" i="32"/>
  <c r="H57" i="32"/>
  <c r="I57" i="32"/>
  <c r="L57" i="32"/>
  <c r="M57" i="32"/>
  <c r="H58" i="32"/>
  <c r="I58" i="32"/>
  <c r="L58" i="32"/>
  <c r="M58" i="32"/>
  <c r="L60" i="32"/>
  <c r="C61" i="32"/>
  <c r="C63" i="32"/>
  <c r="C64" i="32"/>
  <c r="C65" i="32"/>
  <c r="H65" i="32"/>
  <c r="I65" i="32"/>
  <c r="L65" i="32"/>
  <c r="M65" i="32"/>
  <c r="C66" i="32"/>
  <c r="H66" i="32"/>
  <c r="I66" i="32"/>
  <c r="L66" i="32"/>
  <c r="M66" i="32"/>
  <c r="C67" i="32"/>
  <c r="H67" i="32"/>
  <c r="I67" i="32"/>
  <c r="L67" i="32"/>
  <c r="M67" i="32"/>
  <c r="C68" i="32"/>
  <c r="C69" i="32"/>
  <c r="C70" i="32"/>
  <c r="H70" i="32"/>
  <c r="I70" i="32"/>
  <c r="L70" i="32"/>
  <c r="M70" i="32"/>
  <c r="C71" i="32"/>
  <c r="H71" i="32"/>
  <c r="I71" i="32"/>
  <c r="L71" i="32"/>
  <c r="M71" i="32"/>
  <c r="C72" i="32"/>
  <c r="H72" i="32"/>
  <c r="I72" i="32"/>
  <c r="L72" i="32"/>
  <c r="M72" i="32"/>
  <c r="C73" i="32"/>
  <c r="H74" i="32"/>
  <c r="I74" i="32"/>
  <c r="L74" i="32"/>
  <c r="M74" i="32"/>
  <c r="I33" i="32"/>
  <c r="N33" i="33"/>
  <c r="M33" i="32"/>
  <c r="H17" i="32"/>
  <c r="L33" i="32"/>
  <c r="H33" i="32"/>
  <c r="I17" i="32"/>
  <c r="E56" i="10"/>
  <c r="E55" i="10"/>
  <c r="P74" i="10"/>
  <c r="E17" i="10"/>
  <c r="N66" i="10"/>
  <c r="O66" i="10" s="1"/>
  <c r="L66" i="10"/>
  <c r="N17" i="10"/>
  <c r="P17" i="10" s="1"/>
  <c r="N25" i="10"/>
  <c r="L74" i="10"/>
  <c r="Q74" i="10"/>
  <c r="L73" i="10"/>
  <c r="Q73" i="10" s="1"/>
  <c r="L72" i="10"/>
  <c r="Q72" i="10" s="1"/>
  <c r="Q59" i="10"/>
  <c r="Q58" i="10"/>
  <c r="Q57" i="10"/>
  <c r="Q53" i="10"/>
  <c r="Q52" i="10"/>
  <c r="Q51" i="10"/>
  <c r="Q50" i="10"/>
  <c r="Q49" i="10"/>
  <c r="Q47" i="10"/>
  <c r="Q46" i="10"/>
  <c r="Q45" i="10"/>
  <c r="Q44" i="10"/>
  <c r="Q43" i="10"/>
  <c r="Q42" i="10"/>
  <c r="Q41" i="10"/>
  <c r="Q40" i="10"/>
  <c r="Q39" i="10"/>
  <c r="Q38" i="10"/>
  <c r="Q34" i="10"/>
  <c r="Q33" i="10"/>
  <c r="Q32" i="10"/>
  <c r="Q31" i="10"/>
  <c r="Q30" i="10"/>
  <c r="Q29" i="10"/>
  <c r="Q28" i="10"/>
  <c r="Q27" i="10"/>
  <c r="Q26" i="10"/>
  <c r="Q24" i="10"/>
  <c r="Q23" i="10"/>
  <c r="Q22" i="10"/>
  <c r="Q21" i="10"/>
  <c r="Q20" i="10"/>
  <c r="Q19" i="10"/>
  <c r="Q18" i="10"/>
  <c r="P57" i="10"/>
  <c r="Q60" i="10"/>
  <c r="J25" i="10"/>
  <c r="V21" i="10" s="1"/>
  <c r="J17" i="10"/>
  <c r="M17" i="10" s="1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G70" i="36"/>
  <c r="H70" i="36"/>
  <c r="E70" i="36"/>
  <c r="F70" i="36" s="1"/>
  <c r="J70" i="36"/>
  <c r="C70" i="36"/>
  <c r="D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J60" i="36" s="1"/>
  <c r="C60" i="36"/>
  <c r="D60" i="36" s="1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I54" i="36" s="1"/>
  <c r="H54" i="36"/>
  <c r="E54" i="36"/>
  <c r="F54" i="36" s="1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I43" i="36" s="1"/>
  <c r="E43" i="36"/>
  <c r="F43" i="36" s="1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 s="1"/>
  <c r="C34" i="36"/>
  <c r="D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E27" i="36"/>
  <c r="J27" i="36" s="1"/>
  <c r="F27" i="36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J22" i="36" s="1"/>
  <c r="H22" i="36"/>
  <c r="E22" i="36"/>
  <c r="F22" i="36" s="1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E17" i="36"/>
  <c r="J17" i="36" s="1"/>
  <c r="F17" i="36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 s="1"/>
  <c r="E9" i="36"/>
  <c r="F9" i="36" s="1"/>
  <c r="C9" i="36"/>
  <c r="D9" i="36" s="1"/>
  <c r="C8" i="36"/>
  <c r="C68" i="36" s="1"/>
  <c r="D7" i="36"/>
  <c r="C7" i="36"/>
  <c r="P7" i="31"/>
  <c r="P6" i="31"/>
  <c r="P5" i="31"/>
  <c r="E22" i="30"/>
  <c r="E21" i="30"/>
  <c r="E20" i="30"/>
  <c r="E19" i="30"/>
  <c r="E18" i="30"/>
  <c r="G18" i="30" s="1"/>
  <c r="E15" i="30"/>
  <c r="E14" i="30"/>
  <c r="E13" i="30"/>
  <c r="E12" i="30" s="1"/>
  <c r="G12" i="30" s="1"/>
  <c r="E11" i="30"/>
  <c r="E9" i="30"/>
  <c r="E8" i="30"/>
  <c r="E7" i="30" s="1"/>
  <c r="G7" i="30" s="1"/>
  <c r="D58" i="29"/>
  <c r="D56" i="29" s="1"/>
  <c r="D55" i="29" s="1"/>
  <c r="D57" i="29"/>
  <c r="D53" i="29"/>
  <c r="D52" i="29" s="1"/>
  <c r="D45" i="29"/>
  <c r="D44" i="29"/>
  <c r="D37" i="29"/>
  <c r="D36" i="29" s="1"/>
  <c r="D35" i="29"/>
  <c r="D34" i="29"/>
  <c r="D33" i="29"/>
  <c r="D32" i="29"/>
  <c r="D31" i="29"/>
  <c r="D30" i="29"/>
  <c r="D29" i="29"/>
  <c r="D28" i="29"/>
  <c r="D27" i="29"/>
  <c r="D26" i="29"/>
  <c r="D25" i="29"/>
  <c r="D24" i="29" s="1"/>
  <c r="E6" i="30" s="1"/>
  <c r="D20" i="29"/>
  <c r="D19" i="29"/>
  <c r="D23" i="29"/>
  <c r="D22" i="29"/>
  <c r="D21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E5" i="30" s="1"/>
  <c r="F4" i="29"/>
  <c r="C75" i="33"/>
  <c r="J67" i="33"/>
  <c r="C34" i="33"/>
  <c r="C33" i="33"/>
  <c r="C32" i="33"/>
  <c r="C31" i="33"/>
  <c r="O30" i="33"/>
  <c r="C30" i="33"/>
  <c r="C29" i="33"/>
  <c r="C28" i="33"/>
  <c r="O27" i="33"/>
  <c r="C27" i="33"/>
  <c r="C26" i="33"/>
  <c r="C23" i="33"/>
  <c r="C22" i="33"/>
  <c r="C21" i="33"/>
  <c r="C20" i="33"/>
  <c r="C19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L14" i="33"/>
  <c r="D11" i="33"/>
  <c r="E52" i="33" s="1"/>
  <c r="C11" i="33"/>
  <c r="C75" i="32"/>
  <c r="K29" i="32"/>
  <c r="C76" i="10"/>
  <c r="O25" i="10"/>
  <c r="O74" i="10"/>
  <c r="M74" i="10"/>
  <c r="K74" i="10"/>
  <c r="E74" i="10"/>
  <c r="P73" i="10"/>
  <c r="O73" i="10"/>
  <c r="M73" i="10"/>
  <c r="K73" i="10"/>
  <c r="E73" i="10"/>
  <c r="P72" i="10"/>
  <c r="O72" i="10"/>
  <c r="M72" i="10"/>
  <c r="K72" i="10"/>
  <c r="E72" i="10"/>
  <c r="K69" i="10"/>
  <c r="E69" i="10"/>
  <c r="P68" i="10"/>
  <c r="O68" i="10"/>
  <c r="M68" i="10"/>
  <c r="L68" i="10"/>
  <c r="Q68" i="10" s="1"/>
  <c r="K68" i="10"/>
  <c r="E68" i="10"/>
  <c r="P67" i="10"/>
  <c r="O67" i="10"/>
  <c r="M67" i="10"/>
  <c r="L67" i="10"/>
  <c r="Q67" i="10" s="1"/>
  <c r="K67" i="10"/>
  <c r="E67" i="10"/>
  <c r="K66" i="10"/>
  <c r="P62" i="10"/>
  <c r="O62" i="10"/>
  <c r="M62" i="10"/>
  <c r="L62" i="10"/>
  <c r="Q62" i="10" s="1"/>
  <c r="K62" i="10"/>
  <c r="E62" i="10"/>
  <c r="P61" i="10"/>
  <c r="O61" i="10"/>
  <c r="M61" i="10"/>
  <c r="L61" i="10"/>
  <c r="Q61" i="10" s="1"/>
  <c r="K61" i="10"/>
  <c r="E61" i="10"/>
  <c r="P60" i="10"/>
  <c r="O60" i="10"/>
  <c r="M60" i="10"/>
  <c r="L60" i="10"/>
  <c r="K60" i="10"/>
  <c r="E60" i="10"/>
  <c r="P59" i="10"/>
  <c r="O59" i="10"/>
  <c r="M59" i="10"/>
  <c r="L59" i="10"/>
  <c r="K59" i="10"/>
  <c r="E59" i="10"/>
  <c r="P58" i="10"/>
  <c r="O58" i="10"/>
  <c r="M58" i="10"/>
  <c r="L58" i="10"/>
  <c r="K58" i="10"/>
  <c r="E58" i="10"/>
  <c r="O57" i="10"/>
  <c r="M57" i="10"/>
  <c r="L57" i="10"/>
  <c r="K57" i="10"/>
  <c r="E57" i="10"/>
  <c r="P54" i="10"/>
  <c r="M54" i="10"/>
  <c r="E54" i="10"/>
  <c r="P53" i="10"/>
  <c r="O53" i="10"/>
  <c r="M53" i="10"/>
  <c r="L53" i="10"/>
  <c r="K53" i="10"/>
  <c r="E53" i="10"/>
  <c r="P52" i="10"/>
  <c r="O52" i="10"/>
  <c r="M52" i="10"/>
  <c r="L52" i="10"/>
  <c r="K52" i="10"/>
  <c r="E52" i="10"/>
  <c r="P51" i="10"/>
  <c r="O51" i="10"/>
  <c r="M51" i="10"/>
  <c r="L51" i="10"/>
  <c r="K51" i="10"/>
  <c r="E51" i="10"/>
  <c r="P50" i="10"/>
  <c r="O50" i="10"/>
  <c r="M50" i="10"/>
  <c r="L50" i="10"/>
  <c r="K50" i="10"/>
  <c r="E50" i="10"/>
  <c r="P49" i="10"/>
  <c r="O49" i="10"/>
  <c r="M49" i="10"/>
  <c r="L49" i="10"/>
  <c r="K49" i="10"/>
  <c r="E49" i="10"/>
  <c r="O48" i="10"/>
  <c r="P47" i="10"/>
  <c r="O47" i="10"/>
  <c r="M47" i="10"/>
  <c r="L47" i="10"/>
  <c r="K47" i="10"/>
  <c r="E47" i="10"/>
  <c r="P46" i="10"/>
  <c r="O46" i="10"/>
  <c r="M46" i="10"/>
  <c r="L46" i="10"/>
  <c r="K46" i="10"/>
  <c r="E46" i="10"/>
  <c r="P45" i="10"/>
  <c r="O45" i="10"/>
  <c r="M45" i="10"/>
  <c r="L45" i="10"/>
  <c r="K45" i="10"/>
  <c r="E45" i="10"/>
  <c r="P44" i="10"/>
  <c r="O44" i="10"/>
  <c r="M44" i="10"/>
  <c r="L44" i="10"/>
  <c r="K44" i="10"/>
  <c r="E44" i="10"/>
  <c r="P43" i="10"/>
  <c r="O43" i="10"/>
  <c r="M43" i="10"/>
  <c r="L43" i="10"/>
  <c r="K43" i="10"/>
  <c r="E43" i="10"/>
  <c r="P42" i="10"/>
  <c r="O42" i="10"/>
  <c r="M42" i="10"/>
  <c r="L42" i="10"/>
  <c r="K42" i="10"/>
  <c r="E42" i="10"/>
  <c r="P41" i="10"/>
  <c r="O41" i="10"/>
  <c r="M41" i="10"/>
  <c r="L41" i="10"/>
  <c r="K41" i="10"/>
  <c r="E41" i="10"/>
  <c r="P40" i="10"/>
  <c r="O40" i="10"/>
  <c r="M40" i="10"/>
  <c r="L40" i="10"/>
  <c r="K40" i="10"/>
  <c r="E40" i="10"/>
  <c r="P39" i="10"/>
  <c r="O39" i="10"/>
  <c r="M39" i="10"/>
  <c r="L39" i="10"/>
  <c r="K39" i="10"/>
  <c r="E39" i="10"/>
  <c r="P38" i="10"/>
  <c r="O38" i="10"/>
  <c r="M38" i="10"/>
  <c r="L38" i="10"/>
  <c r="K38" i="10"/>
  <c r="E38" i="10"/>
  <c r="P34" i="10"/>
  <c r="O34" i="10"/>
  <c r="M34" i="10"/>
  <c r="L34" i="10"/>
  <c r="K34" i="10"/>
  <c r="E34" i="10"/>
  <c r="P33" i="10"/>
  <c r="O33" i="10"/>
  <c r="M33" i="10"/>
  <c r="L33" i="10"/>
  <c r="K33" i="10"/>
  <c r="E33" i="10"/>
  <c r="P32" i="10"/>
  <c r="O32" i="10"/>
  <c r="M32" i="10"/>
  <c r="L32" i="10"/>
  <c r="K32" i="10"/>
  <c r="E32" i="10"/>
  <c r="C32" i="10"/>
  <c r="P31" i="10"/>
  <c r="O31" i="10"/>
  <c r="M31" i="10"/>
  <c r="L31" i="10"/>
  <c r="K31" i="10"/>
  <c r="E31" i="10"/>
  <c r="C31" i="10"/>
  <c r="P30" i="10"/>
  <c r="O30" i="10"/>
  <c r="M30" i="10"/>
  <c r="L30" i="10"/>
  <c r="K30" i="10"/>
  <c r="E30" i="10"/>
  <c r="C30" i="10"/>
  <c r="P29" i="10"/>
  <c r="O29" i="10"/>
  <c r="M29" i="10"/>
  <c r="L29" i="10"/>
  <c r="K29" i="10"/>
  <c r="E29" i="10"/>
  <c r="C29" i="10"/>
  <c r="P28" i="10"/>
  <c r="O28" i="10"/>
  <c r="M28" i="10"/>
  <c r="L28" i="10"/>
  <c r="K28" i="10"/>
  <c r="E28" i="10"/>
  <c r="C28" i="10"/>
  <c r="P27" i="10"/>
  <c r="O27" i="10"/>
  <c r="M27" i="10"/>
  <c r="L27" i="10"/>
  <c r="K27" i="10"/>
  <c r="E27" i="10"/>
  <c r="C27" i="10"/>
  <c r="P26" i="10"/>
  <c r="O26" i="10"/>
  <c r="M26" i="10"/>
  <c r="L26" i="10"/>
  <c r="K26" i="10"/>
  <c r="E26" i="10"/>
  <c r="C26" i="10"/>
  <c r="C25" i="10"/>
  <c r="P24" i="10"/>
  <c r="O24" i="10"/>
  <c r="M24" i="10"/>
  <c r="L24" i="10"/>
  <c r="K24" i="10"/>
  <c r="E24" i="10"/>
  <c r="P23" i="10"/>
  <c r="O23" i="10"/>
  <c r="M23" i="10"/>
  <c r="L23" i="10"/>
  <c r="K23" i="10"/>
  <c r="E23" i="10"/>
  <c r="C23" i="10"/>
  <c r="U22" i="10"/>
  <c r="T22" i="10"/>
  <c r="P22" i="10"/>
  <c r="O22" i="10"/>
  <c r="M22" i="10"/>
  <c r="L22" i="10"/>
  <c r="K22" i="10"/>
  <c r="E22" i="10"/>
  <c r="C22" i="10"/>
  <c r="U21" i="10"/>
  <c r="T21" i="10"/>
  <c r="P21" i="10"/>
  <c r="O21" i="10"/>
  <c r="M21" i="10"/>
  <c r="L21" i="10"/>
  <c r="K21" i="10"/>
  <c r="E21" i="10"/>
  <c r="C21" i="10"/>
  <c r="V20" i="10"/>
  <c r="U20" i="10"/>
  <c r="T20" i="10"/>
  <c r="P20" i="10"/>
  <c r="O20" i="10"/>
  <c r="M20" i="10"/>
  <c r="L20" i="10"/>
  <c r="K20" i="10"/>
  <c r="E20" i="10"/>
  <c r="C20" i="10"/>
  <c r="P19" i="10"/>
  <c r="O19" i="10"/>
  <c r="M19" i="10"/>
  <c r="L19" i="10"/>
  <c r="K19" i="10"/>
  <c r="E19" i="10"/>
  <c r="C19" i="10"/>
  <c r="P18" i="10"/>
  <c r="O18" i="10"/>
  <c r="M18" i="10"/>
  <c r="L18" i="10"/>
  <c r="K18" i="10"/>
  <c r="E18" i="10"/>
  <c r="C18" i="10"/>
  <c r="C17" i="10"/>
  <c r="C16" i="10"/>
  <c r="E15" i="10"/>
  <c r="D15" i="10"/>
  <c r="C15" i="10"/>
  <c r="P14" i="10"/>
  <c r="C14" i="10"/>
  <c r="C11" i="10"/>
  <c r="C11" i="32"/>
  <c r="N9" i="10"/>
  <c r="N8" i="10"/>
  <c r="E25" i="10"/>
  <c r="I27" i="36"/>
  <c r="I22" i="36"/>
  <c r="H27" i="36"/>
  <c r="H43" i="36"/>
  <c r="I70" i="36"/>
  <c r="V22" i="10"/>
  <c r="P25" i="10"/>
  <c r="I17" i="36"/>
  <c r="H60" i="36"/>
  <c r="G41" i="36"/>
  <c r="I41" i="36" s="1"/>
  <c r="E41" i="36"/>
  <c r="F41" i="36" s="1"/>
  <c r="H79" i="36"/>
  <c r="G75" i="36"/>
  <c r="H75" i="36" s="1"/>
  <c r="Q25" i="10"/>
  <c r="H17" i="36"/>
  <c r="F60" i="36"/>
  <c r="G42" i="36"/>
  <c r="H41" i="36"/>
  <c r="O37" i="10"/>
  <c r="N26" i="33"/>
  <c r="Q17" i="10"/>
  <c r="H42" i="36"/>
  <c r="J41" i="36"/>
  <c r="C41" i="36"/>
  <c r="C42" i="36" s="1"/>
  <c r="D42" i="36" s="1"/>
  <c r="K17" i="10"/>
  <c r="M66" i="10"/>
  <c r="G41" i="32"/>
  <c r="E22" i="32"/>
  <c r="E23" i="32"/>
  <c r="G24" i="32"/>
  <c r="E28" i="32"/>
  <c r="E29" i="32"/>
  <c r="G30" i="32"/>
  <c r="G39" i="32"/>
  <c r="E43" i="32"/>
  <c r="E44" i="32"/>
  <c r="E45" i="32"/>
  <c r="G46" i="32"/>
  <c r="G47" i="32"/>
  <c r="G48" i="32"/>
  <c r="G49" i="32"/>
  <c r="G50" i="32"/>
  <c r="E53" i="32"/>
  <c r="E58" i="32"/>
  <c r="G60" i="32"/>
  <c r="G65" i="32"/>
  <c r="G66" i="32"/>
  <c r="G67" i="32"/>
  <c r="E39" i="32"/>
  <c r="E47" i="32"/>
  <c r="E20" i="32"/>
  <c r="G22" i="32"/>
  <c r="G23" i="32"/>
  <c r="E26" i="32"/>
  <c r="G28" i="32"/>
  <c r="G29" i="32"/>
  <c r="E34" i="32"/>
  <c r="E35" i="32"/>
  <c r="E36" i="32"/>
  <c r="E37" i="32"/>
  <c r="E38" i="32"/>
  <c r="G43" i="32"/>
  <c r="G44" i="32"/>
  <c r="G45" i="32"/>
  <c r="E52" i="32"/>
  <c r="G53" i="32"/>
  <c r="E55" i="32"/>
  <c r="E56" i="32"/>
  <c r="E57" i="32"/>
  <c r="G58" i="32"/>
  <c r="E70" i="32"/>
  <c r="E71" i="32"/>
  <c r="E72" i="32"/>
  <c r="E24" i="32"/>
  <c r="G25" i="32"/>
  <c r="E30" i="32"/>
  <c r="E48" i="32"/>
  <c r="E18" i="32"/>
  <c r="E19" i="32"/>
  <c r="G20" i="32"/>
  <c r="E25" i="32"/>
  <c r="G26" i="32"/>
  <c r="E31" i="32"/>
  <c r="E32" i="32"/>
  <c r="G34" i="32"/>
  <c r="G35" i="32"/>
  <c r="G36" i="32"/>
  <c r="G37" i="32"/>
  <c r="G38" i="32"/>
  <c r="G51" i="32"/>
  <c r="G52" i="32"/>
  <c r="G55" i="32"/>
  <c r="G56" i="32"/>
  <c r="G57" i="32"/>
  <c r="G70" i="32"/>
  <c r="G71" i="32"/>
  <c r="G72" i="32"/>
  <c r="G18" i="32"/>
  <c r="G19" i="32"/>
  <c r="G31" i="32"/>
  <c r="G32" i="32"/>
  <c r="E33" i="32"/>
  <c r="E46" i="32"/>
  <c r="E49" i="32"/>
  <c r="G54" i="32"/>
  <c r="E67" i="32"/>
  <c r="E74" i="32"/>
  <c r="E50" i="32"/>
  <c r="E60" i="32"/>
  <c r="E66" i="32"/>
  <c r="E65" i="32"/>
  <c r="G27" i="32"/>
  <c r="G42" i="32"/>
  <c r="G16" i="32"/>
  <c r="G17" i="32"/>
  <c r="G33" i="32"/>
  <c r="G21" i="32"/>
  <c r="G40" i="32"/>
  <c r="K38" i="32"/>
  <c r="K35" i="32"/>
  <c r="K72" i="32"/>
  <c r="K74" i="32"/>
  <c r="K57" i="33"/>
  <c r="M41" i="33"/>
  <c r="H40" i="33"/>
  <c r="K45" i="33"/>
  <c r="I40" i="33"/>
  <c r="L52" i="33"/>
  <c r="M52" i="33"/>
  <c r="M57" i="33"/>
  <c r="I52" i="33"/>
  <c r="H52" i="33"/>
  <c r="D41" i="36"/>
  <c r="H51" i="32" l="1"/>
  <c r="E51" i="32"/>
  <c r="I51" i="32"/>
  <c r="G64" i="32"/>
  <c r="E17" i="32"/>
  <c r="L47" i="33"/>
  <c r="M51" i="32"/>
  <c r="N17" i="33"/>
  <c r="M17" i="32"/>
  <c r="H21" i="32"/>
  <c r="D31" i="33"/>
  <c r="M31" i="33" s="1"/>
  <c r="G74" i="32"/>
  <c r="K51" i="32"/>
  <c r="N35" i="10"/>
  <c r="N36" i="10" s="1"/>
  <c r="O36" i="10" s="1"/>
  <c r="P37" i="10"/>
  <c r="L54" i="10"/>
  <c r="H54" i="10"/>
  <c r="I54" i="10"/>
  <c r="I66" i="10"/>
  <c r="H66" i="10"/>
  <c r="E66" i="10"/>
  <c r="H48" i="10"/>
  <c r="I48" i="10"/>
  <c r="P48" i="10"/>
  <c r="E48" i="10"/>
  <c r="N48" i="33"/>
  <c r="E37" i="10"/>
  <c r="I37" i="10"/>
  <c r="H37" i="10"/>
  <c r="I47" i="33"/>
  <c r="I25" i="10"/>
  <c r="H25" i="10"/>
  <c r="I17" i="10"/>
  <c r="H17" i="10"/>
  <c r="D16" i="10"/>
  <c r="E46" i="33"/>
  <c r="E73" i="33"/>
  <c r="K50" i="32"/>
  <c r="K25" i="32"/>
  <c r="K57" i="32"/>
  <c r="K48" i="32"/>
  <c r="K22" i="32"/>
  <c r="G43" i="33"/>
  <c r="K47" i="32"/>
  <c r="E18" i="33"/>
  <c r="K33" i="32"/>
  <c r="K19" i="32"/>
  <c r="K55" i="32"/>
  <c r="E47" i="33"/>
  <c r="K49" i="32"/>
  <c r="K30" i="32"/>
  <c r="K36" i="32"/>
  <c r="K44" i="32"/>
  <c r="D68" i="36"/>
  <c r="C74" i="36"/>
  <c r="C69" i="36"/>
  <c r="D69" i="36" s="1"/>
  <c r="G68" i="36"/>
  <c r="L16" i="36"/>
  <c r="H8" i="36"/>
  <c r="E4" i="30"/>
  <c r="L17" i="10"/>
  <c r="J43" i="36"/>
  <c r="L42" i="32"/>
  <c r="J40" i="32"/>
  <c r="K40" i="32" s="1"/>
  <c r="J42" i="36"/>
  <c r="K27" i="32"/>
  <c r="K67" i="32"/>
  <c r="K39" i="32"/>
  <c r="K32" i="32"/>
  <c r="K18" i="32"/>
  <c r="K71" i="32"/>
  <c r="K34" i="32"/>
  <c r="K53" i="32"/>
  <c r="J9" i="36"/>
  <c r="E8" i="36"/>
  <c r="D8" i="36"/>
  <c r="I60" i="36"/>
  <c r="J54" i="36"/>
  <c r="K54" i="10"/>
  <c r="N31" i="33"/>
  <c r="I34" i="36"/>
  <c r="D5" i="29"/>
  <c r="D4" i="29" s="1"/>
  <c r="G4" i="29" s="1"/>
  <c r="H9" i="36"/>
  <c r="J34" i="36"/>
  <c r="E41" i="33"/>
  <c r="Q37" i="10"/>
  <c r="K65" i="32"/>
  <c r="K66" i="32"/>
  <c r="K24" i="32"/>
  <c r="K31" i="32"/>
  <c r="K46" i="32"/>
  <c r="K70" i="32"/>
  <c r="K52" i="32"/>
  <c r="K20" i="32"/>
  <c r="K45" i="32"/>
  <c r="K28" i="32"/>
  <c r="E42" i="36"/>
  <c r="F42" i="36" s="1"/>
  <c r="I9" i="36"/>
  <c r="M37" i="10"/>
  <c r="F63" i="32"/>
  <c r="G63" i="32" s="1"/>
  <c r="F68" i="32"/>
  <c r="O25" i="33"/>
  <c r="O21" i="33"/>
  <c r="K56" i="32"/>
  <c r="K37" i="32"/>
  <c r="K26" i="32"/>
  <c r="K58" i="32"/>
  <c r="K43" i="32"/>
  <c r="K23" i="32"/>
  <c r="I58" i="33"/>
  <c r="M47" i="33"/>
  <c r="E25" i="33"/>
  <c r="O24" i="33"/>
  <c r="O20" i="33"/>
  <c r="K54" i="32"/>
  <c r="G67" i="33"/>
  <c r="G50" i="33"/>
  <c r="G47" i="33"/>
  <c r="E21" i="33"/>
  <c r="G58" i="33"/>
  <c r="K53" i="33"/>
  <c r="K50" i="33"/>
  <c r="J38" i="33"/>
  <c r="K38" i="33" s="1"/>
  <c r="I46" i="33"/>
  <c r="E57" i="33"/>
  <c r="O46" i="33"/>
  <c r="O42" i="33"/>
  <c r="E33" i="33"/>
  <c r="O19" i="33"/>
  <c r="K64" i="32"/>
  <c r="Q66" i="10"/>
  <c r="P66" i="10"/>
  <c r="L58" i="33"/>
  <c r="H46" i="33"/>
  <c r="I42" i="33"/>
  <c r="L40" i="33"/>
  <c r="G42" i="33"/>
  <c r="K42" i="32"/>
  <c r="L17" i="32"/>
  <c r="K17" i="32"/>
  <c r="O73" i="33"/>
  <c r="D64" i="33"/>
  <c r="E64" i="33" s="1"/>
  <c r="M59" i="33"/>
  <c r="O45" i="33"/>
  <c r="I45" i="33"/>
  <c r="L39" i="33"/>
  <c r="O39" i="33"/>
  <c r="O35" i="33"/>
  <c r="H32" i="33"/>
  <c r="H27" i="32"/>
  <c r="Q54" i="10"/>
  <c r="M58" i="33"/>
  <c r="K59" i="33"/>
  <c r="L51" i="33"/>
  <c r="M51" i="33"/>
  <c r="O35" i="10"/>
  <c r="O17" i="10"/>
  <c r="N16" i="10"/>
  <c r="N63" i="10" s="1"/>
  <c r="J35" i="10"/>
  <c r="J36" i="10" s="1"/>
  <c r="K36" i="10" s="1"/>
  <c r="M48" i="10"/>
  <c r="K48" i="10"/>
  <c r="M25" i="10"/>
  <c r="K35" i="10"/>
  <c r="L37" i="10"/>
  <c r="J16" i="10"/>
  <c r="L25" i="10"/>
  <c r="K25" i="10"/>
  <c r="O65" i="33"/>
  <c r="O66" i="33"/>
  <c r="E65" i="33"/>
  <c r="I66" i="33"/>
  <c r="D48" i="33"/>
  <c r="H49" i="33"/>
  <c r="I49" i="33"/>
  <c r="L45" i="33"/>
  <c r="D35" i="10"/>
  <c r="O26" i="33"/>
  <c r="E16" i="10"/>
  <c r="O18" i="33"/>
  <c r="O23" i="33"/>
  <c r="E22" i="33"/>
  <c r="L22" i="33"/>
  <c r="M18" i="33"/>
  <c r="E19" i="33"/>
  <c r="G53" i="33"/>
  <c r="G59" i="33"/>
  <c r="G44" i="33"/>
  <c r="G41" i="33"/>
  <c r="G56" i="33"/>
  <c r="E49" i="33"/>
  <c r="E35" i="33"/>
  <c r="E58" i="33"/>
  <c r="E44" i="33"/>
  <c r="E66" i="33"/>
  <c r="E45" i="33"/>
  <c r="G52" i="33"/>
  <c r="E34" i="33"/>
  <c r="E24" i="33"/>
  <c r="E20" i="33"/>
  <c r="G33" i="33"/>
  <c r="G29" i="33"/>
  <c r="G24" i="33"/>
  <c r="G20" i="33"/>
  <c r="E60" i="33"/>
  <c r="G40" i="33"/>
  <c r="G57" i="33"/>
  <c r="I57" i="33"/>
  <c r="H41" i="33"/>
  <c r="H45" i="33"/>
  <c r="G61" i="32"/>
  <c r="H57" i="33"/>
  <c r="E56" i="33"/>
  <c r="H56" i="33"/>
  <c r="L57" i="33"/>
  <c r="K60" i="32"/>
  <c r="G54" i="33"/>
  <c r="I56" i="33"/>
  <c r="F38" i="33"/>
  <c r="G38" i="33" s="1"/>
  <c r="K27" i="33"/>
  <c r="L41" i="33"/>
  <c r="I41" i="33"/>
  <c r="K58" i="33"/>
  <c r="L50" i="33"/>
  <c r="G51" i="33"/>
  <c r="K67" i="33"/>
  <c r="O34" i="33"/>
  <c r="G73" i="33"/>
  <c r="G28" i="33"/>
  <c r="G23" i="33"/>
  <c r="I19" i="33"/>
  <c r="L34" i="33"/>
  <c r="K30" i="33"/>
  <c r="K25" i="33"/>
  <c r="E43" i="33"/>
  <c r="E40" i="33"/>
  <c r="F48" i="33"/>
  <c r="G48" i="33" s="1"/>
  <c r="L56" i="33"/>
  <c r="K60" i="33"/>
  <c r="O71" i="33"/>
  <c r="M53" i="33"/>
  <c r="H44" i="33"/>
  <c r="I53" i="33"/>
  <c r="M44" i="33"/>
  <c r="E50" i="33"/>
  <c r="E29" i="33"/>
  <c r="O33" i="33"/>
  <c r="O44" i="33"/>
  <c r="O41" i="33"/>
  <c r="H71" i="33"/>
  <c r="G35" i="33"/>
  <c r="G31" i="33"/>
  <c r="G27" i="33"/>
  <c r="I22" i="33"/>
  <c r="G18" i="33"/>
  <c r="K66" i="33"/>
  <c r="K33" i="33"/>
  <c r="K29" i="33"/>
  <c r="M24" i="33"/>
  <c r="M20" i="33"/>
  <c r="G60" i="33"/>
  <c r="L44" i="33"/>
  <c r="K41" i="33"/>
  <c r="E53" i="33"/>
  <c r="M50" i="33"/>
  <c r="I50" i="33"/>
  <c r="K40" i="33"/>
  <c r="K52" i="33"/>
  <c r="E26" i="33"/>
  <c r="K44" i="33"/>
  <c r="H51" i="33"/>
  <c r="E23" i="33"/>
  <c r="K42" i="33"/>
  <c r="H50" i="33"/>
  <c r="L53" i="33"/>
  <c r="G45" i="33"/>
  <c r="M45" i="33"/>
  <c r="G46" i="33"/>
  <c r="G39" i="33"/>
  <c r="E51" i="33"/>
  <c r="G49" i="33"/>
  <c r="K47" i="33"/>
  <c r="H70" i="33"/>
  <c r="H34" i="33"/>
  <c r="G30" i="33"/>
  <c r="I25" i="33"/>
  <c r="G21" i="33"/>
  <c r="L73" i="33"/>
  <c r="K65" i="33"/>
  <c r="K28" i="33"/>
  <c r="L23" i="33"/>
  <c r="I55" i="33"/>
  <c r="K46" i="33"/>
  <c r="K39" i="33"/>
  <c r="K49" i="33"/>
  <c r="K56" i="33"/>
  <c r="L60" i="33"/>
  <c r="M54" i="32"/>
  <c r="L24" i="33"/>
  <c r="L20" i="33"/>
  <c r="J48" i="33"/>
  <c r="M49" i="33"/>
  <c r="G55" i="33"/>
  <c r="L46" i="33"/>
  <c r="L42" i="33"/>
  <c r="J16" i="32"/>
  <c r="K21" i="32"/>
  <c r="H55" i="33"/>
  <c r="E71" i="33"/>
  <c r="M71" i="33"/>
  <c r="E70" i="33"/>
  <c r="O70" i="33"/>
  <c r="M70" i="33"/>
  <c r="L35" i="33"/>
  <c r="E64" i="32"/>
  <c r="L64" i="32"/>
  <c r="N64" i="33"/>
  <c r="I64" i="32"/>
  <c r="H65" i="33"/>
  <c r="H64" i="32"/>
  <c r="I59" i="33"/>
  <c r="H59" i="33"/>
  <c r="L71" i="33"/>
  <c r="E59" i="33"/>
  <c r="E55" i="33"/>
  <c r="L55" i="33"/>
  <c r="K73" i="33"/>
  <c r="E54" i="32"/>
  <c r="I54" i="32"/>
  <c r="L54" i="32"/>
  <c r="H54" i="32"/>
  <c r="K21" i="33"/>
  <c r="K35" i="33"/>
  <c r="K24" i="33"/>
  <c r="K20" i="33"/>
  <c r="L25" i="33"/>
  <c r="I21" i="33"/>
  <c r="H20" i="33"/>
  <c r="H33" i="33"/>
  <c r="M35" i="33"/>
  <c r="K71" i="33"/>
  <c r="M65" i="33"/>
  <c r="G25" i="33"/>
  <c r="M46" i="33"/>
  <c r="E42" i="33"/>
  <c r="M25" i="33"/>
  <c r="M40" i="33"/>
  <c r="L43" i="33"/>
  <c r="H25" i="33"/>
  <c r="M42" i="33"/>
  <c r="H43" i="33"/>
  <c r="O40" i="33"/>
  <c r="O43" i="33"/>
  <c r="I43" i="33"/>
  <c r="D38" i="33"/>
  <c r="D37" i="33" s="1"/>
  <c r="I20" i="33"/>
  <c r="M43" i="33"/>
  <c r="M21" i="33"/>
  <c r="G70" i="33"/>
  <c r="M42" i="32"/>
  <c r="D40" i="32"/>
  <c r="E39" i="33"/>
  <c r="I39" i="33"/>
  <c r="M39" i="33"/>
  <c r="E42" i="32"/>
  <c r="H42" i="32"/>
  <c r="K22" i="33"/>
  <c r="M55" i="33"/>
  <c r="I27" i="32"/>
  <c r="E27" i="32"/>
  <c r="M22" i="33"/>
  <c r="H29" i="33"/>
  <c r="H27" i="33"/>
  <c r="I29" i="33"/>
  <c r="H35" i="33"/>
  <c r="I35" i="33"/>
  <c r="K55" i="33"/>
  <c r="K18" i="33"/>
  <c r="L27" i="32"/>
  <c r="M27" i="32"/>
  <c r="N32" i="33"/>
  <c r="M32" i="33"/>
  <c r="M33" i="33"/>
  <c r="G19" i="33"/>
  <c r="I65" i="33"/>
  <c r="O29" i="33"/>
  <c r="H19" i="33"/>
  <c r="H73" i="33"/>
  <c r="L70" i="33"/>
  <c r="G65" i="33"/>
  <c r="G32" i="33"/>
  <c r="K70" i="33"/>
  <c r="H67" i="33"/>
  <c r="G71" i="33"/>
  <c r="I23" i="33"/>
  <c r="I73" i="33"/>
  <c r="I60" i="33"/>
  <c r="K34" i="33"/>
  <c r="I71" i="33"/>
  <c r="I28" i="33"/>
  <c r="L67" i="33"/>
  <c r="H60" i="33"/>
  <c r="H23" i="33"/>
  <c r="E30" i="33"/>
  <c r="K23" i="33"/>
  <c r="H28" i="33"/>
  <c r="L21" i="32"/>
  <c r="J17" i="33"/>
  <c r="M66" i="33"/>
  <c r="L66" i="33"/>
  <c r="M67" i="33"/>
  <c r="I21" i="32"/>
  <c r="J26" i="33"/>
  <c r="L27" i="33"/>
  <c r="I70" i="33"/>
  <c r="E27" i="33"/>
  <c r="L33" i="33"/>
  <c r="I27" i="33"/>
  <c r="H66" i="33"/>
  <c r="L29" i="33"/>
  <c r="L28" i="33"/>
  <c r="I67" i="33"/>
  <c r="G66" i="33"/>
  <c r="M21" i="32"/>
  <c r="G64" i="33"/>
  <c r="F26" i="33"/>
  <c r="G26" i="33" s="1"/>
  <c r="F17" i="33"/>
  <c r="E67" i="33"/>
  <c r="G34" i="33"/>
  <c r="D16" i="32"/>
  <c r="H18" i="33"/>
  <c r="H22" i="33"/>
  <c r="M27" i="33"/>
  <c r="H21" i="33"/>
  <c r="I34" i="33"/>
  <c r="I18" i="33"/>
  <c r="M29" i="33"/>
  <c r="I33" i="33"/>
  <c r="K32" i="33"/>
  <c r="E21" i="32"/>
  <c r="L65" i="33"/>
  <c r="L18" i="33"/>
  <c r="E28" i="33"/>
  <c r="D17" i="33"/>
  <c r="M60" i="33"/>
  <c r="M34" i="33"/>
  <c r="M73" i="33"/>
  <c r="L19" i="33"/>
  <c r="M23" i="33"/>
  <c r="I30" i="33"/>
  <c r="L30" i="33"/>
  <c r="G22" i="33"/>
  <c r="K31" i="33"/>
  <c r="O28" i="33"/>
  <c r="J64" i="33"/>
  <c r="H24" i="33"/>
  <c r="I24" i="33"/>
  <c r="M19" i="33"/>
  <c r="H30" i="33"/>
  <c r="M30" i="33"/>
  <c r="M28" i="33"/>
  <c r="K19" i="33"/>
  <c r="J61" i="32" l="1"/>
  <c r="J62" i="32" s="1"/>
  <c r="O48" i="33"/>
  <c r="F73" i="32"/>
  <c r="F74" i="33" s="1"/>
  <c r="F69" i="33" s="1"/>
  <c r="J16" i="33"/>
  <c r="I35" i="10"/>
  <c r="H35" i="10"/>
  <c r="H16" i="10"/>
  <c r="I16" i="10"/>
  <c r="F16" i="33"/>
  <c r="E48" i="33"/>
  <c r="N64" i="10"/>
  <c r="N70" i="10" s="1"/>
  <c r="N75" i="10" s="1"/>
  <c r="N71" i="10" s="1"/>
  <c r="E68" i="36"/>
  <c r="F8" i="36"/>
  <c r="I8" i="36"/>
  <c r="G4" i="30"/>
  <c r="E10" i="30"/>
  <c r="C79" i="36"/>
  <c r="D74" i="36"/>
  <c r="E38" i="33"/>
  <c r="J8" i="36"/>
  <c r="H68" i="36"/>
  <c r="G69" i="36"/>
  <c r="I42" i="36"/>
  <c r="E32" i="33"/>
  <c r="I32" i="33"/>
  <c r="L32" i="33"/>
  <c r="O32" i="33"/>
  <c r="J36" i="33"/>
  <c r="O64" i="33"/>
  <c r="M54" i="33"/>
  <c r="O16" i="10"/>
  <c r="P16" i="10"/>
  <c r="K9" i="10"/>
  <c r="K8" i="10"/>
  <c r="Q16" i="10"/>
  <c r="M16" i="10"/>
  <c r="L16" i="10"/>
  <c r="J63" i="10"/>
  <c r="K16" i="10"/>
  <c r="D36" i="10"/>
  <c r="L35" i="10"/>
  <c r="M35" i="10"/>
  <c r="Q35" i="10"/>
  <c r="E35" i="10"/>
  <c r="P35" i="10"/>
  <c r="D63" i="10"/>
  <c r="M38" i="33"/>
  <c r="F36" i="33"/>
  <c r="H54" i="33"/>
  <c r="J41" i="32"/>
  <c r="K41" i="32" s="1"/>
  <c r="L38" i="33"/>
  <c r="L54" i="33"/>
  <c r="I54" i="33"/>
  <c r="E54" i="33"/>
  <c r="I48" i="33"/>
  <c r="I38" i="33"/>
  <c r="K54" i="33"/>
  <c r="H48" i="33"/>
  <c r="I26" i="33"/>
  <c r="I64" i="33"/>
  <c r="K48" i="33"/>
  <c r="L48" i="33"/>
  <c r="M48" i="33"/>
  <c r="K16" i="32"/>
  <c r="H38" i="33"/>
  <c r="M40" i="32"/>
  <c r="I40" i="32"/>
  <c r="H40" i="32"/>
  <c r="N36" i="33"/>
  <c r="L40" i="32"/>
  <c r="E40" i="32"/>
  <c r="D41" i="32"/>
  <c r="K17" i="33"/>
  <c r="H26" i="33"/>
  <c r="H64" i="33"/>
  <c r="I31" i="33"/>
  <c r="E31" i="33"/>
  <c r="K26" i="33"/>
  <c r="L26" i="33"/>
  <c r="M26" i="33"/>
  <c r="G17" i="33"/>
  <c r="L31" i="33"/>
  <c r="H31" i="33"/>
  <c r="M16" i="32"/>
  <c r="E16" i="32"/>
  <c r="N16" i="33"/>
  <c r="L16" i="32"/>
  <c r="D61" i="32"/>
  <c r="D68" i="32" s="1"/>
  <c r="D73" i="32" s="1"/>
  <c r="D69" i="32" s="1"/>
  <c r="I16" i="32"/>
  <c r="H16" i="32"/>
  <c r="O31" i="33"/>
  <c r="L64" i="33"/>
  <c r="K64" i="33"/>
  <c r="M64" i="33"/>
  <c r="H17" i="33"/>
  <c r="D16" i="33"/>
  <c r="M17" i="33"/>
  <c r="L17" i="33"/>
  <c r="I17" i="33"/>
  <c r="E17" i="33"/>
  <c r="O17" i="33"/>
  <c r="J63" i="32" l="1"/>
  <c r="J68" i="32"/>
  <c r="J73" i="32" s="1"/>
  <c r="J69" i="32" s="1"/>
  <c r="K69" i="32" s="1"/>
  <c r="K62" i="32"/>
  <c r="F69" i="32"/>
  <c r="G69" i="32" s="1"/>
  <c r="O64" i="10"/>
  <c r="H36" i="10"/>
  <c r="I36" i="10"/>
  <c r="D70" i="10"/>
  <c r="H63" i="10"/>
  <c r="I63" i="10"/>
  <c r="E36" i="33"/>
  <c r="D61" i="33"/>
  <c r="D68" i="33" s="1"/>
  <c r="O36" i="33"/>
  <c r="H69" i="36"/>
  <c r="I69" i="36"/>
  <c r="E17" i="30"/>
  <c r="G10" i="30"/>
  <c r="E69" i="36"/>
  <c r="F69" i="36" s="1"/>
  <c r="F68" i="36"/>
  <c r="E74" i="36"/>
  <c r="J68" i="36"/>
  <c r="C75" i="36"/>
  <c r="D75" i="36" s="1"/>
  <c r="D79" i="36"/>
  <c r="I68" i="36"/>
  <c r="J61" i="33"/>
  <c r="J62" i="33" s="1"/>
  <c r="J68" i="33" s="1"/>
  <c r="J74" i="33" s="1"/>
  <c r="J69" i="33" s="1"/>
  <c r="L36" i="33"/>
  <c r="M63" i="10"/>
  <c r="E63" i="10"/>
  <c r="P63" i="10"/>
  <c r="N65" i="10"/>
  <c r="O65" i="10" s="1"/>
  <c r="O63" i="10"/>
  <c r="J70" i="10"/>
  <c r="M70" i="10" s="1"/>
  <c r="K63" i="10"/>
  <c r="J65" i="10"/>
  <c r="K65" i="10" s="1"/>
  <c r="L63" i="10"/>
  <c r="Q63" i="10" s="1"/>
  <c r="D65" i="10"/>
  <c r="P36" i="10"/>
  <c r="Q36" i="10"/>
  <c r="E36" i="10"/>
  <c r="M36" i="10"/>
  <c r="L36" i="10"/>
  <c r="G36" i="33"/>
  <c r="H36" i="33"/>
  <c r="F37" i="33"/>
  <c r="G37" i="33" s="1"/>
  <c r="E37" i="33"/>
  <c r="I36" i="33"/>
  <c r="K36" i="33"/>
  <c r="J37" i="33"/>
  <c r="M36" i="33"/>
  <c r="K63" i="32"/>
  <c r="K61" i="32"/>
  <c r="I41" i="32"/>
  <c r="E41" i="32"/>
  <c r="H41" i="32"/>
  <c r="L41" i="32"/>
  <c r="M41" i="32"/>
  <c r="K16" i="33"/>
  <c r="H61" i="32"/>
  <c r="E61" i="32"/>
  <c r="M61" i="32"/>
  <c r="L61" i="32"/>
  <c r="I61" i="32"/>
  <c r="D63" i="32"/>
  <c r="N61" i="33"/>
  <c r="G16" i="33"/>
  <c r="F61" i="33"/>
  <c r="F68" i="33" s="1"/>
  <c r="L16" i="33"/>
  <c r="M16" i="33"/>
  <c r="H16" i="33"/>
  <c r="I16" i="33"/>
  <c r="E16" i="33"/>
  <c r="O16" i="33"/>
  <c r="P70" i="10" l="1"/>
  <c r="E70" i="10"/>
  <c r="D75" i="10"/>
  <c r="D74" i="33" s="1"/>
  <c r="D69" i="33" s="1"/>
  <c r="E65" i="10"/>
  <c r="I65" i="10"/>
  <c r="H65" i="10"/>
  <c r="I70" i="10"/>
  <c r="H70" i="10"/>
  <c r="F63" i="33"/>
  <c r="G63" i="33" s="1"/>
  <c r="L37" i="33"/>
  <c r="F74" i="36"/>
  <c r="J74" i="36"/>
  <c r="E79" i="36"/>
  <c r="I74" i="36"/>
  <c r="K62" i="33"/>
  <c r="J63" i="33"/>
  <c r="K63" i="33" s="1"/>
  <c r="G17" i="30"/>
  <c r="E23" i="30"/>
  <c r="G23" i="30" s="1"/>
  <c r="J69" i="36"/>
  <c r="L70" i="10"/>
  <c r="Q70" i="10" s="1"/>
  <c r="P65" i="10"/>
  <c r="O70" i="10"/>
  <c r="M65" i="10"/>
  <c r="J75" i="10"/>
  <c r="M75" i="10" s="1"/>
  <c r="K70" i="10"/>
  <c r="H37" i="33"/>
  <c r="L65" i="10"/>
  <c r="Q65" i="10" s="1"/>
  <c r="E75" i="10"/>
  <c r="I37" i="33"/>
  <c r="M37" i="33"/>
  <c r="K37" i="33"/>
  <c r="K61" i="33"/>
  <c r="G61" i="33"/>
  <c r="H63" i="32"/>
  <c r="L63" i="32"/>
  <c r="I63" i="32"/>
  <c r="E63" i="32"/>
  <c r="M63" i="32"/>
  <c r="N63" i="33"/>
  <c r="M61" i="33"/>
  <c r="I61" i="33"/>
  <c r="H61" i="33"/>
  <c r="D63" i="33"/>
  <c r="E61" i="33"/>
  <c r="L61" i="33"/>
  <c r="O61" i="33"/>
  <c r="P75" i="10" l="1"/>
  <c r="P71" i="10" s="1"/>
  <c r="H75" i="10"/>
  <c r="H71" i="10"/>
  <c r="I75" i="10"/>
  <c r="F79" i="36"/>
  <c r="E75" i="36"/>
  <c r="I79" i="36"/>
  <c r="J79" i="36"/>
  <c r="O71" i="10"/>
  <c r="O75" i="10"/>
  <c r="L75" i="10"/>
  <c r="Q75" i="10" s="1"/>
  <c r="K75" i="10"/>
  <c r="J71" i="10"/>
  <c r="K71" i="10" s="1"/>
  <c r="E63" i="33"/>
  <c r="H63" i="33"/>
  <c r="L63" i="33"/>
  <c r="M63" i="33"/>
  <c r="I63" i="33"/>
  <c r="O63" i="33"/>
  <c r="E68" i="33"/>
  <c r="E71" i="10" l="1"/>
  <c r="I71" i="10"/>
  <c r="F75" i="36"/>
  <c r="J75" i="36"/>
  <c r="I75" i="36"/>
  <c r="M71" i="10"/>
  <c r="L71" i="10"/>
  <c r="Q71" i="10" s="1"/>
  <c r="K69" i="33" l="1"/>
  <c r="E68" i="32"/>
  <c r="N68" i="33"/>
  <c r="O68" i="33" s="1"/>
  <c r="E73" i="32" l="1"/>
  <c r="N74" i="33"/>
  <c r="O74" i="33" l="1"/>
  <c r="E74" i="33"/>
  <c r="L69" i="32"/>
  <c r="H69" i="32"/>
  <c r="N69" i="33"/>
  <c r="I69" i="32"/>
  <c r="M69" i="32"/>
  <c r="E69" i="32"/>
  <c r="O69" i="33" l="1"/>
  <c r="E69" i="33"/>
  <c r="L69" i="33"/>
  <c r="M69" i="33"/>
  <c r="G68" i="33"/>
  <c r="I68" i="33"/>
  <c r="H68" i="33"/>
  <c r="G74" i="33"/>
  <c r="I74" i="33" l="1"/>
  <c r="H74" i="33"/>
  <c r="H69" i="33" l="1"/>
  <c r="I69" i="33"/>
  <c r="G69" i="33"/>
  <c r="G68" i="32"/>
  <c r="H68" i="32"/>
  <c r="I68" i="32"/>
  <c r="I73" i="32"/>
  <c r="H73" i="32"/>
  <c r="G73" i="32"/>
  <c r="K68" i="32" l="1"/>
  <c r="M68" i="32"/>
  <c r="L68" i="32"/>
  <c r="M73" i="32"/>
  <c r="K73" i="32" l="1"/>
  <c r="L73" i="32"/>
  <c r="L68" i="33" l="1"/>
  <c r="M68" i="33"/>
  <c r="K68" i="33"/>
  <c r="K74" i="33"/>
  <c r="M74" i="33" l="1"/>
  <c r="L74" i="33"/>
</calcChain>
</file>

<file path=xl/sharedStrings.xml><?xml version="1.0" encoding="utf-8"?>
<sst xmlns="http://schemas.openxmlformats.org/spreadsheetml/2006/main" count="1263" uniqueCount="484">
  <si>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</si>
  <si>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</si>
  <si>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</si>
  <si>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</si>
  <si>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</si>
  <si>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</si>
  <si>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</si>
  <si>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</si>
  <si>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</si>
  <si>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</si>
  <si>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</si>
  <si>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</si>
  <si>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</si>
  <si>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</si>
  <si>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</si>
  <si>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</si>
  <si>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</si>
  <si>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</si>
  <si>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</si>
  <si>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</si>
  <si>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</si>
  <si>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</si>
  <si>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</si>
  <si>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</si>
  <si>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</si>
  <si>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</si>
  <si>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</si>
  <si>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</si>
  <si>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</si>
  <si>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</si>
  <si>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</si>
  <si>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</si>
  <si>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</si>
  <si>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</si>
  <si>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</si>
  <si>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</si>
  <si>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</si>
  <si>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</si>
  <si>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</si>
  <si>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</si>
  <si>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</si>
  <si>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</si>
  <si>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</si>
  <si>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</si>
  <si>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</si>
  <si>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</si>
  <si>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</si>
  <si>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</si>
  <si>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</si>
  <si>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</si>
  <si>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</si>
  <si>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</si>
  <si>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</si>
  <si>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</si>
  <si>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</si>
  <si>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</si>
  <si>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</si>
  <si>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</si>
  <si>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</si>
  <si>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</si>
  <si>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</si>
  <si>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</si>
  <si>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</si>
  <si>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</si>
  <si>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</si>
  <si>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</si>
  <si>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</si>
  <si>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</si>
  <si>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</si>
  <si>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</si>
  <si>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</si>
  <si>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</si>
  <si>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</si>
  <si>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</si>
  <si>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</si>
  <si>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</si>
  <si>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</si>
  <si>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</si>
  <si>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</si>
  <si>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</si>
  <si>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</si>
  <si>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</si>
  <si>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</si>
  <si>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</si>
  <si>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</si>
  <si>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</si>
  <si>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</si>
  <si>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</si>
  <si>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</si>
  <si>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</si>
  <si>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</si>
  <si>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</si>
  <si>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</si>
  <si>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</si>
  <si>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</si>
  <si>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</si>
  <si>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</si>
  <si>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</si>
  <si>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</si>
  <si>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</si>
  <si>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</si>
  <si>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</si>
  <si>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</si>
  <si>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</si>
  <si>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</si>
  <si>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</si>
  <si>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</si>
  <si>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</si>
  <si>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</si>
  <si>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</si>
  <si>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</si>
  <si>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</si>
  <si>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</si>
  <si>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</si>
  <si>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</si>
  <si>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</si>
  <si>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</si>
  <si>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</si>
  <si>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</si>
  <si>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</si>
  <si>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</si>
  <si>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</si>
  <si>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</si>
  <si>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</si>
  <si>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</si>
  <si>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</si>
  <si>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</si>
  <si>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</si>
  <si>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</si>
  <si>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</si>
  <si>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</si>
  <si>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</si>
  <si>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</si>
  <si>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</si>
  <si>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</si>
  <si>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</si>
  <si>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</si>
  <si>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</si>
  <si>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</si>
  <si>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</si>
  <si>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</si>
  <si>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</si>
  <si>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</si>
  <si>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</si>
  <si>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</si>
  <si>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</si>
  <si>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</si>
  <si>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</si>
  <si>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</si>
  <si>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</si>
  <si>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</si>
  <si>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</si>
  <si>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</si>
  <si>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</si>
  <si>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</si>
  <si>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</si>
  <si>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</si>
  <si>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</si>
  <si>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</si>
  <si>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</si>
  <si>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</si>
  <si>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</si>
  <si>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</si>
  <si>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</si>
  <si>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</si>
  <si>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</si>
  <si>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</si>
  <si>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</si>
  <si>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</si>
  <si>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</si>
  <si>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</si>
  <si>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</si>
  <si>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</si>
  <si>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</si>
  <si>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</si>
  <si>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</si>
  <si>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</si>
  <si>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</si>
  <si>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</si>
  <si>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</si>
  <si>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</si>
  <si>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</si>
  <si>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</si>
  <si>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</si>
  <si>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</si>
  <si>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</si>
  <si>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</si>
  <si>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</si>
  <si>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</si>
  <si>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</si>
  <si>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</si>
  <si>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</si>
  <si>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</si>
  <si>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</si>
  <si>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</si>
  <si>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</si>
  <si>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</si>
  <si>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</si>
  <si>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</si>
  <si>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</si>
  <si>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</si>
  <si>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</si>
  <si>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</si>
  <si>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</si>
  <si>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</si>
  <si>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</si>
  <si>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</si>
  <si>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</si>
  <si>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</si>
  <si>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</si>
  <si>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</si>
  <si>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</si>
  <si>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</si>
  <si>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</si>
  <si>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</si>
  <si>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</si>
  <si>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</si>
  <si>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</si>
  <si>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</si>
  <si>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</si>
  <si>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</si>
  <si>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</si>
  <si>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</si>
  <si>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</si>
  <si>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</si>
  <si>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</si>
  <si>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</si>
  <si>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</si>
  <si>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</si>
  <si>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</si>
  <si>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</si>
  <si>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</si>
  <si>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</si>
  <si>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</si>
  <si>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</si>
  <si>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</si>
  <si>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</si>
  <si>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</si>
  <si>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</si>
  <si>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</si>
  <si>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</si>
  <si>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</si>
  <si>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</si>
  <si>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</si>
  <si>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</si>
  <si>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</si>
  <si>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</si>
  <si>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</si>
  <si>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</si>
  <si>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</si>
  <si>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</si>
  <si>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</si>
  <si>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</si>
  <si>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</si>
  <si>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</si>
  <si>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</si>
  <si>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</si>
  <si>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</si>
  <si>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</si>
  <si>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</si>
  <si>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</si>
  <si>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</si>
  <si>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</si>
  <si>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</si>
  <si>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</si>
  <si>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</si>
  <si>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</si>
  <si>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</si>
  <si>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</si>
  <si>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</si>
  <si>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</si>
  <si>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</si>
  <si>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</si>
  <si>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</si>
  <si>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</si>
  <si>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</si>
  <si>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</si>
  <si>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</si>
  <si>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</si>
  <si>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</si>
  <si>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</si>
  <si>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</si>
  <si>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</si>
  <si>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</si>
  <si>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</si>
  <si>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</si>
  <si>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</si>
  <si>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</si>
  <si>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</si>
  <si>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</si>
  <si>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</si>
  <si>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</si>
  <si>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</si>
  <si>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</si>
  <si>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</si>
  <si>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</si>
  <si>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</si>
  <si>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</si>
  <si>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</si>
  <si>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</si>
  <si>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</si>
  <si>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</si>
  <si>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</si>
  <si>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</si>
  <si>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</si>
  <si>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</si>
  <si>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</si>
  <si>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</si>
  <si>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</si>
  <si>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</si>
  <si>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</si>
  <si>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</si>
  <si>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</si>
  <si>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</si>
  <si>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</si>
  <si>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</si>
  <si>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</si>
  <si>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</si>
  <si>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</si>
  <si>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</si>
  <si>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</si>
  <si>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</si>
  <si>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</si>
  <si>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</si>
  <si>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</si>
  <si>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</si>
  <si>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</si>
  <si>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</si>
  <si>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</si>
  <si>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</si>
  <si>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</si>
  <si>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</si>
  <si>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</si>
  <si>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</si>
  <si>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</si>
  <si>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</si>
  <si>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</si>
  <si>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</si>
  <si>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</si>
  <si>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</si>
  <si>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</si>
  <si>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</si>
  <si>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</si>
  <si>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</si>
  <si>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</si>
  <si>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</si>
  <si>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</si>
  <si>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</si>
  <si>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</si>
  <si>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</si>
  <si>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</si>
  <si>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</si>
  <si>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</si>
  <si>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</si>
  <si>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</si>
  <si>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</si>
  <si>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</si>
  <si>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</si>
  <si>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</si>
  <si>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</si>
  <si>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</si>
  <si>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</si>
  <si>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</si>
  <si>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</si>
  <si>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</si>
  <si>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</si>
  <si>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</si>
  <si>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</si>
  <si>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</si>
  <si>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</si>
  <si>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</si>
  <si>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</si>
  <si>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</si>
  <si>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</si>
  <si>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</si>
  <si>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</si>
  <si>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</si>
  <si>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</si>
  <si>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</si>
  <si>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</si>
  <si>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</si>
  <si>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</si>
  <si>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</si>
  <si>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</si>
  <si>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</si>
  <si>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</si>
  <si>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</si>
  <si>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</si>
  <si>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</si>
  <si>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</si>
  <si>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</si>
  <si>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</si>
  <si>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</si>
  <si>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</si>
  <si>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</si>
  <si>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</si>
  <si>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</si>
  <si>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</si>
  <si>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</si>
  <si>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</si>
  <si>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</si>
  <si>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</si>
  <si>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</si>
  <si>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</si>
  <si>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</si>
  <si>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</si>
  <si>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</si>
  <si>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</si>
  <si>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</si>
  <si>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</si>
  <si>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</si>
  <si>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</si>
  <si>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</si>
  <si>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</si>
  <si>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</si>
  <si>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</si>
  <si>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</si>
  <si>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</si>
  <si>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</si>
  <si>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</si>
  <si>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</si>
  <si>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</si>
  <si>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</si>
  <si>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</si>
  <si>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</si>
  <si>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</si>
  <si>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</si>
  <si>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</si>
  <si>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</si>
  <si>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</si>
  <si>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</si>
  <si>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</si>
  <si>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</si>
  <si>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</si>
  <si>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</si>
  <si>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</si>
  <si>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</si>
  <si>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</si>
  <si>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</si>
  <si>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</si>
  <si>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</si>
  <si>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</si>
  <si>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</si>
  <si>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</si>
  <si>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</si>
  <si>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Naknada za komunalno opremanje građevinskog zemljišta</t>
  </si>
  <si>
    <t>Suficit / deficit</t>
  </si>
  <si>
    <t>PDV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</si>
  <si>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</si>
  <si>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</si>
  <si>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</si>
  <si>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</si>
  <si>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</si>
  <si>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</si>
  <si>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</si>
  <si>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</si>
  <si>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</si>
  <si>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</si>
  <si>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</si>
  <si>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</si>
  <si>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</si>
  <si>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</si>
  <si>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2016 - ostvarenje</t>
  </si>
  <si>
    <t>2016 - plan</t>
  </si>
  <si>
    <t>Ostali državni prihodi</t>
  </si>
  <si>
    <t>Other State revenues</t>
  </si>
  <si>
    <t>Ostali transferi</t>
  </si>
  <si>
    <t>Ostvarenje 2016</t>
  </si>
  <si>
    <t xml:space="preserve">Receipts from repayment of loans </t>
  </si>
  <si>
    <t>Receipts from repayment of loans</t>
  </si>
  <si>
    <t>Primici od otplate kredita</t>
  </si>
  <si>
    <t>Neto povećanje obaveza *</t>
  </si>
  <si>
    <t>Transferi</t>
  </si>
  <si>
    <t xml:space="preserve">     </t>
  </si>
  <si>
    <t>Korigovani suficit/deficit</t>
  </si>
  <si>
    <t>Korigovani suficit/dficit</t>
  </si>
  <si>
    <t xml:space="preserve">Korigovani suficit/deficit </t>
  </si>
  <si>
    <t>mil.€</t>
  </si>
  <si>
    <t>Plan 2017- Zakon o izmjenama i dopunama Zakona o budžetu za 2017. godinu</t>
  </si>
  <si>
    <t>Ostvarenje 2017</t>
  </si>
  <si>
    <t>Plan 2017 - Zakon o budžetu za 2017. godinu</t>
  </si>
  <si>
    <t xml:space="preserve"> Ostvarenje 2017</t>
  </si>
  <si>
    <t>Plan 2017</t>
  </si>
  <si>
    <t>* Podaci o neto povećanju obaveza biće sastavni dio Zakona o završnom računu budžetu za 2017.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</si>
</sst>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  <numFmt numFmtId="177" formatCode="[$-409]General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  <xf numFmtId="177" fontId="47" fillId="0" borderId="0"/>
  </cellStyleXfs>
  <cellXfs count="380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164" fontId="27" fillId="2" borderId="0" xfId="22" applyNumberFormat="1" applyFont="1" applyFill="1" applyBorder="1" applyAlignment="1">
      <alignment vertical="center"/>
    </xf>
    <xf numFmtId="0" fontId="27" fillId="2" borderId="0" xfId="22" applyFont="1" applyFill="1" applyBorder="1" applyAlignment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6" fontId="27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65" fontId="27" fillId="2" borderId="0" xfId="22" applyNumberFormat="1" applyFont="1" applyFill="1" applyBorder="1"/>
    <xf numFmtId="165" fontId="27" fillId="2" borderId="0" xfId="22" applyNumberFormat="1" applyFont="1" applyFill="1" applyBorder="1" applyAlignment="1"/>
    <xf numFmtId="165" fontId="27" fillId="2" borderId="0" xfId="22" applyNumberFormat="1" applyFont="1" applyFill="1" applyBorder="1" applyAlignment="1">
      <alignment wrapText="1"/>
    </xf>
    <xf numFmtId="2" fontId="27" fillId="2" borderId="0" xfId="22" applyNumberFormat="1" applyFont="1" applyFill="1" applyBorder="1"/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7" fillId="2" borderId="30" xfId="0" applyNumberFormat="1" applyFont="1" applyFill="1" applyBorder="1" applyAlignment="1">
      <alignment vertical="center"/>
    </xf>
    <xf numFmtId="165" fontId="27" fillId="14" borderId="30" xfId="0" applyNumberFormat="1" applyFont="1" applyFill="1" applyBorder="1" applyAlignment="1">
      <alignment vertical="center"/>
    </xf>
    <xf numFmtId="165" fontId="27" fillId="2" borderId="30" xfId="22" applyNumberFormat="1" applyFont="1" applyFill="1" applyBorder="1" applyAlignment="1">
      <alignment vertical="center"/>
    </xf>
    <xf numFmtId="165" fontId="27" fillId="14" borderId="30" xfId="22" applyNumberFormat="1" applyFont="1" applyFill="1" applyBorder="1" applyAlignment="1">
      <alignment vertical="center"/>
    </xf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9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2" fontId="16" fillId="2" borderId="16" xfId="22" applyNumberFormat="1" applyFont="1" applyFill="1" applyBorder="1" applyAlignment="1">
      <alignment vertical="center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7" fillId="2" borderId="12" xfId="0" applyNumberFormat="1" applyFont="1" applyFill="1" applyBorder="1" applyAlignment="1">
      <alignment vertical="center"/>
    </xf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7" fillId="14" borderId="12" xfId="0" applyNumberFormat="1" applyFont="1" applyFill="1" applyBorder="1" applyAlignment="1">
      <alignment vertical="center"/>
    </xf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9" fillId="14" borderId="13" xfId="0" applyNumberFormat="1" applyFont="1" applyFill="1" applyBorder="1"/>
    <xf numFmtId="167" fontId="27" fillId="14" borderId="34" xfId="0" applyNumberFormat="1" applyFont="1" applyFill="1" applyBorder="1"/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7" fillId="2" borderId="12" xfId="36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2" fontId="42" fillId="2" borderId="0" xfId="22" applyNumberFormat="1" applyFont="1" applyFill="1"/>
    <xf numFmtId="165" fontId="16" fillId="2" borderId="30" xfId="36" applyNumberFormat="1" applyFont="1" applyFill="1" applyBorder="1" applyAlignment="1">
      <alignment vertical="center"/>
    </xf>
    <xf numFmtId="165" fontId="29" fillId="15" borderId="5" xfId="36" applyNumberFormat="1" applyFont="1" applyFill="1" applyBorder="1" applyAlignment="1">
      <alignment vertical="center"/>
    </xf>
    <xf numFmtId="2" fontId="27" fillId="2" borderId="54" xfId="22" applyNumberFormat="1" applyFont="1" applyFill="1" applyBorder="1"/>
    <xf numFmtId="0" fontId="38" fillId="2" borderId="0" xfId="22" applyFont="1" applyFill="1" applyBorder="1"/>
    <xf numFmtId="0" fontId="27" fillId="0" borderId="0" xfId="22" applyFont="1" applyFill="1"/>
    <xf numFmtId="2" fontId="27" fillId="16" borderId="0" xfId="22" applyNumberFormat="1" applyFont="1" applyFill="1" applyBorder="1"/>
    <xf numFmtId="4" fontId="27" fillId="17" borderId="0" xfId="22" applyNumberFormat="1" applyFont="1" applyFill="1" applyBorder="1"/>
    <xf numFmtId="0" fontId="27" fillId="2" borderId="0" xfId="22" applyFont="1" applyFill="1" applyAlignment="1">
      <alignment horizontal="right"/>
    </xf>
    <xf numFmtId="165" fontId="16" fillId="2" borderId="30" xfId="0" applyNumberFormat="1" applyFont="1" applyFill="1" applyBorder="1"/>
    <xf numFmtId="49" fontId="43" fillId="2" borderId="0" xfId="22" applyNumberFormat="1" applyFont="1" applyFill="1" applyBorder="1" applyAlignment="1">
      <alignment wrapText="1"/>
    </xf>
    <xf numFmtId="0" fontId="44" fillId="2" borderId="0" xfId="39" applyFont="1" applyFill="1" applyBorder="1"/>
    <xf numFmtId="49" fontId="27" fillId="2" borderId="0" xfId="22" applyNumberFormat="1" applyFont="1" applyFill="1"/>
    <xf numFmtId="165" fontId="29" fillId="2" borderId="0" xfId="36" applyNumberFormat="1" applyFont="1" applyFill="1" applyBorder="1" applyAlignment="1">
      <alignment vertical="center"/>
    </xf>
    <xf numFmtId="165" fontId="29" fillId="2" borderId="21" xfId="36" applyNumberFormat="1" applyFont="1" applyFill="1" applyBorder="1" applyAlignment="1">
      <alignment vertical="center"/>
    </xf>
    <xf numFmtId="2" fontId="27" fillId="2" borderId="0" xfId="22" applyNumberFormat="1" applyFont="1" applyFill="1" applyAlignment="1">
      <alignment wrapText="1"/>
    </xf>
    <xf numFmtId="1" fontId="27" fillId="2" borderId="0" xfId="22" applyNumberFormat="1" applyFont="1" applyFill="1"/>
    <xf numFmtId="165" fontId="27" fillId="18" borderId="0" xfId="39" applyNumberFormat="1" applyFont="1" applyFill="1" applyBorder="1"/>
    <xf numFmtId="0" fontId="45" fillId="18" borderId="0" xfId="39" applyFont="1" applyFill="1"/>
    <xf numFmtId="165" fontId="45" fillId="18" borderId="0" xfId="36" applyNumberFormat="1" applyFont="1" applyFill="1" applyBorder="1" applyAlignment="1">
      <alignment vertical="center"/>
    </xf>
    <xf numFmtId="0" fontId="45" fillId="18" borderId="0" xfId="39" applyFont="1" applyFill="1" applyBorder="1"/>
    <xf numFmtId="165" fontId="45" fillId="18" borderId="0" xfId="39" applyNumberFormat="1" applyFont="1" applyFill="1" applyBorder="1"/>
    <xf numFmtId="0" fontId="27" fillId="18" borderId="16" xfId="22" applyFont="1" applyFill="1" applyBorder="1"/>
    <xf numFmtId="165" fontId="27" fillId="2" borderId="29" xfId="0" applyNumberFormat="1" applyFont="1" applyFill="1" applyBorder="1"/>
    <xf numFmtId="166" fontId="46" fillId="2" borderId="30" xfId="36" applyNumberFormat="1" applyFont="1" applyFill="1" applyBorder="1" applyAlignment="1">
      <alignment vertical="center"/>
    </xf>
    <xf numFmtId="166" fontId="29" fillId="8" borderId="5" xfId="0" applyNumberFormat="1" applyFont="1" applyFill="1" applyBorder="1"/>
    <xf numFmtId="49" fontId="29" fillId="6" borderId="10" xfId="0" applyNumberFormat="1" applyFont="1" applyFill="1" applyBorder="1" applyAlignment="1">
      <alignment horizontal="left" vertical="center" wrapText="1"/>
    </xf>
    <xf numFmtId="49" fontId="29" fillId="8" borderId="10" xfId="0" applyNumberFormat="1" applyFont="1" applyFill="1" applyBorder="1" applyAlignment="1">
      <alignment vertical="center" wrapText="1"/>
    </xf>
    <xf numFmtId="2" fontId="29" fillId="5" borderId="6" xfId="36" applyNumberFormat="1" applyFont="1" applyFill="1" applyBorder="1" applyAlignment="1">
      <alignment vertical="center"/>
    </xf>
    <xf numFmtId="165" fontId="38" fillId="2" borderId="22" xfId="36" applyNumberFormat="1" applyFont="1" applyFill="1" applyBorder="1" applyAlignment="1">
      <alignment horizontal="center" wrapText="1"/>
    </xf>
    <xf numFmtId="167" fontId="17" fillId="2" borderId="12" xfId="22" applyNumberFormat="1" applyFont="1" applyFill="1" applyBorder="1" applyAlignment="1">
      <alignment vertical="center"/>
    </xf>
    <xf numFmtId="165" fontId="17" fillId="2" borderId="5" xfId="36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5" borderId="26" xfId="36" applyFont="1" applyFill="1" applyBorder="1" applyAlignment="1">
      <alignment horizontal="center" vertical="center" wrapText="1"/>
    </xf>
    <xf numFmtId="0" fontId="29" fillId="5" borderId="27" xfId="36" applyFont="1" applyFill="1" applyBorder="1" applyAlignment="1">
      <alignment horizontal="center" vertical="center" wrapText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5" fontId="38" fillId="2" borderId="22" xfId="36" applyNumberFormat="1" applyFont="1" applyFill="1" applyBorder="1" applyAlignment="1">
      <alignment horizontal="center" wrapText="1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</cellXfs>
  <cellStyles count="41">
    <cellStyle name="1 indent" xfId="1"/>
    <cellStyle name="2 indents" xfId="2"/>
    <cellStyle name="3 indents" xfId="3"/>
    <cellStyle name="4 indents" xfId="4"/>
    <cellStyle name="Date" xfId="5"/>
    <cellStyle name="Excel Built-in Normal" xfId="40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CCFFFF"/>
      <color rgb="FF7E0000"/>
      <color rgb="FFCCEC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 sz="1100"/>
              <a:t>Izvorni prihodi budžeta - II</a:t>
            </a:r>
            <a:r>
              <a:rPr lang="sr-Latn-RS" sz="1100"/>
              <a:t>I</a:t>
            </a:r>
            <a:r>
              <a:rPr lang="x-none" sz="1100"/>
              <a:t> kvartal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3"/>
          <c:y val="0.17171296296296396"/>
          <c:w val="0.85862729658793013"/>
          <c:h val="0.74403579760863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'Central Budget'!$S$20</c:f>
              <c:strCache>
                <c:ptCount val="1"/>
                <c:pt idx="0">
                  <c:v>2016 -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'Central Budget'!$T$19:$V$19</c:f>
            </c:multiLvlStrRef>
          </c:cat>
          <c:val>
            <c:numRef>
              <c:f>'Central Budget'!$T$20:$V$20</c:f>
            </c:numRef>
          </c:val>
          <c:extLst>
            <c:ext xmlns:c16="http://schemas.microsoft.com/office/drawing/2014/chart" uri="{C3380CC4-5D6E-409C-BE32-E72D297353CC}">
              <c16:uniqueId val="{00000000-4B3B-4F76-B7DE-188FD72B4B9B}"/>
            </c:ext>
          </c:extLst>
        </c:ser>
        <c:ser>
          <c:idx val="1"/>
          <c:order val="1"/>
          <c:tx>
            <c:strRef>
              <c:f>'Central Budget'!$S$21</c:f>
              <c:strCache>
                <c:ptCount val="1"/>
                <c:pt idx="0">
                  <c:v>2016 -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'Central Budget'!$T$19:$V$19</c:f>
            </c:multiLvlStrRef>
          </c:cat>
          <c:val>
            <c:numRef>
              <c:f>'Central Budget'!$T$21:$V$21</c:f>
            </c:numRef>
          </c:val>
          <c:extLst>
            <c:ext xmlns:c16="http://schemas.microsoft.com/office/drawing/2014/chart" uri="{C3380CC4-5D6E-409C-BE32-E72D297353CC}">
              <c16:uniqueId val="{00000001-4B3B-4F76-B7DE-188FD72B4B9B}"/>
            </c:ext>
          </c:extLst>
        </c:ser>
        <c:ser>
          <c:idx val="2"/>
          <c:order val="2"/>
          <c:tx>
            <c:strRef>
              <c:f>'Central Budget'!$S$22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'Central Budget'!$T$19:$V$19</c:f>
            </c:multiLvlStrRef>
          </c:cat>
          <c:val>
            <c:numRef>
              <c:f>'Central Budget'!$T$22:$V$22</c:f>
            </c:numRef>
          </c:val>
          <c:extLst>
            <c:ext xmlns:c16="http://schemas.microsoft.com/office/drawing/2014/chart" uri="{C3380CC4-5D6E-409C-BE32-E72D297353CC}">
              <c16:uniqueId val="{00000002-4B3B-4F76-B7DE-188FD72B4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200032"/>
        <c:axId val="-64619280"/>
      </c:barChart>
      <c:catAx>
        <c:axId val="-6420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64619280"/>
        <c:crosses val="autoZero"/>
        <c:auto val="1"/>
        <c:lblAlgn val="ctr"/>
        <c:lblOffset val="100"/>
        <c:noMultiLvlLbl val="0"/>
      </c:catAx>
      <c:valAx>
        <c:axId val="-6461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642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12428310195333"/>
          <c:y val="0.14983542567045735"/>
          <c:w val="0.5083499562554686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Pregled javne potrošnje - II</a:t>
            </a:r>
            <a:r>
              <a:rPr lang="sr-Latn-RS"/>
              <a:t>I</a:t>
            </a:r>
            <a:r>
              <a:rPr lang="x-none"/>
              <a:t> kvartal 2016.</a:t>
            </a:r>
          </a:p>
        </c:rich>
      </c:tx>
      <c:layout>
        <c:manualLayout>
          <c:xMode val="edge"/>
          <c:yMode val="edge"/>
          <c:x val="0.26083476479109635"/>
          <c:y val="2.86835169153700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'Public Expenditure'!$R$17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'Public Expenditure'!$S$16:$U$16</c:f>
            </c:multiLvlStrRef>
          </c:cat>
          <c:val>
            <c:numRef>
              <c:f>'Public Expenditure'!$S$17:$U$17</c:f>
            </c:numRef>
          </c:val>
          <c:extLst>
            <c:ext xmlns:c16="http://schemas.microsoft.com/office/drawing/2014/chart" uri="{C3380CC4-5D6E-409C-BE32-E72D297353CC}">
              <c16:uniqueId val="{00000000-99CB-4AFE-95D8-A618022A8DC0}"/>
            </c:ext>
          </c:extLst>
        </c:ser>
        <c:ser>
          <c:idx val="1"/>
          <c:order val="1"/>
          <c:tx>
            <c:strRef>
              <c:f>'Public Expenditure'!$R$18</c:f>
              <c:strCache>
                <c:ptCount val="1"/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multiLvlStrRef>
              <c:f>'Public Expenditure'!$S$16:$U$16</c:f>
            </c:multiLvlStrRef>
          </c:cat>
          <c:val>
            <c:numRef>
              <c:f>'Public Expenditure'!$S$18:$U$18</c:f>
            </c:numRef>
          </c:val>
          <c:extLst>
            <c:ext xmlns:c16="http://schemas.microsoft.com/office/drawing/2014/chart" uri="{C3380CC4-5D6E-409C-BE32-E72D297353CC}">
              <c16:uniqueId val="{00000001-99CB-4AFE-95D8-A618022A8DC0}"/>
            </c:ext>
          </c:extLst>
        </c:ser>
        <c:ser>
          <c:idx val="2"/>
          <c:order val="2"/>
          <c:tx>
            <c:strRef>
              <c:f>'Public Expenditure'!$R$19</c:f>
              <c:strCache>
                <c:ptCount val="1"/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multiLvlStrRef>
              <c:f>'Public Expenditure'!$S$16:$U$16</c:f>
            </c:multiLvlStrRef>
          </c:cat>
          <c:val>
            <c:numRef>
              <c:f>'Public Expenditure'!$S$19:$U$19</c:f>
            </c:numRef>
          </c:val>
          <c:extLst>
            <c:ext xmlns:c16="http://schemas.microsoft.com/office/drawing/2014/chart" uri="{C3380CC4-5D6E-409C-BE32-E72D297353CC}">
              <c16:uniqueId val="{00000002-99CB-4AFE-95D8-A618022A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615472"/>
        <c:axId val="-64618736"/>
      </c:barChart>
      <c:catAx>
        <c:axId val="-6461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64618736"/>
        <c:crosses val="autoZero"/>
        <c:auto val="1"/>
        <c:lblAlgn val="ctr"/>
        <c:lblOffset val="100"/>
        <c:noMultiLvlLbl val="0"/>
      </c:catAx>
      <c:valAx>
        <c:axId val="-6461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6461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311E-2"/>
          <c:w val="0.91423489152463533"/>
          <c:h val="0.80647637795275007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7A-409B-913D-69C80085FFC7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7A-409B-913D-69C80085FFC7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7A-409B-913D-69C80085FFC7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B7A-409B-913D-69C80085FFC7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B7A-409B-913D-69C80085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4425536"/>
        <c:axId val="-64419008"/>
      </c:lineChart>
      <c:catAx>
        <c:axId val="-6442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64419008"/>
        <c:crosses val="autoZero"/>
        <c:auto val="1"/>
        <c:lblAlgn val="ctr"/>
        <c:lblOffset val="100"/>
        <c:noMultiLvlLbl val="0"/>
      </c:catAx>
      <c:valAx>
        <c:axId val="-6441900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6442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81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D01-48EC-9E8A-97ECFE81E0B5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1-48EC-9E8A-97ECFE81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5136848"/>
        <c:axId val="-65135760"/>
      </c:lineChart>
      <c:catAx>
        <c:axId val="-651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65135760"/>
        <c:crosses val="autoZero"/>
        <c:auto val="1"/>
        <c:lblAlgn val="ctr"/>
        <c:lblOffset val="100"/>
        <c:noMultiLvlLbl val="0"/>
      </c:catAx>
      <c:valAx>
        <c:axId val="-65135760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sr-Latn-RS"/>
          </a:p>
        </c:txPr>
        <c:crossAx val="-651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43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347381</xdr:colOff>
      <xdr:row>23</xdr:row>
      <xdr:rowOff>100853</xdr:rowOff>
    </xdr:from>
    <xdr:to>
      <xdr:col>27</xdr:col>
      <xdr:colOff>493058</xdr:colOff>
      <xdr:row>35</xdr:row>
      <xdr:rowOff>156882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482956</xdr:colOff>
      <xdr:row>22</xdr:row>
      <xdr:rowOff>87419</xdr:rowOff>
    </xdr:from>
    <xdr:to>
      <xdr:col>33</xdr:col>
      <xdr:colOff>131601</xdr:colOff>
      <xdr:row>42</xdr:row>
      <xdr:rowOff>129235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x-none" sz="800" i="1"/>
            <a:t>Ostvarenje</a:t>
          </a:r>
          <a:r>
            <a:rPr lang="x-none" sz="800" i="1" baseline="0"/>
            <a:t> prihoda </a:t>
          </a:r>
        </a:p>
        <a:p xmlns:a="http://schemas.openxmlformats.org/drawingml/2006/main">
          <a:pPr algn="r"/>
          <a:r>
            <a:rPr lang="x-non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G83"/>
  <sheetViews>
    <sheetView topLeftCell="B47" zoomScaleNormal="100" workbookViewId="0">
      <selection activeCell="D75" sqref="D75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4" width="8.85546875" style="80" customWidth="1"/>
    <col min="5" max="5" width="7.7109375" style="80" customWidth="1"/>
    <col min="6" max="6" width="9.85546875" style="80" customWidth="1"/>
    <col min="7" max="9" width="7.7109375" style="80" customWidth="1"/>
    <col min="10" max="10" width="7.85546875" style="80" customWidth="1"/>
    <col min="11" max="11" width="8.140625" style="80" customWidth="1"/>
    <col min="12" max="13" width="7.7109375" style="80" customWidth="1"/>
    <col min="14" max="14" width="9.42578125" style="80" customWidth="1"/>
    <col min="15" max="17" width="7.7109375" style="80" customWidth="1"/>
    <col min="18" max="18" width="13.85546875" style="80" customWidth="1"/>
    <col min="19" max="28" width="9.140625" style="80" hidden="1" customWidth="1"/>
    <col min="29" max="77" width="9.140625" style="80" customWidth="1"/>
    <col min="78" max="78" width="9.140625" style="80"/>
    <col min="79" max="79" width="15.42578125" style="80" customWidth="1"/>
    <col min="80" max="80" width="12.7109375" style="80" customWidth="1"/>
    <col min="81" max="81" width="11.85546875" style="80" customWidth="1"/>
    <col min="82" max="16384" width="9.140625" style="80"/>
  </cols>
  <sheetData>
    <row r="1" spans="2:77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</row>
    <row r="2" spans="2:77" ht="15" hidden="1" customHeight="1">
      <c r="C2" s="81"/>
      <c r="D2" s="116"/>
      <c r="E2" s="116"/>
      <c r="F2" s="116"/>
      <c r="G2" s="116"/>
      <c r="H2" s="116"/>
      <c r="I2" s="116"/>
      <c r="J2" s="116"/>
      <c r="K2" s="123">
        <v>2014</v>
      </c>
      <c r="L2" s="123"/>
      <c r="M2" s="123"/>
      <c r="N2" s="124">
        <v>2017</v>
      </c>
      <c r="P2" s="123"/>
      <c r="Q2" s="123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</row>
    <row r="3" spans="2:77" ht="15" hidden="1" customHeight="1">
      <c r="C3" s="81"/>
      <c r="D3" s="117"/>
      <c r="E3" s="117"/>
      <c r="F3" s="117"/>
      <c r="G3" s="117"/>
      <c r="H3" s="117"/>
      <c r="I3" s="117"/>
      <c r="J3" s="117"/>
      <c r="K3" s="118">
        <v>5.4037200000000007</v>
      </c>
      <c r="L3" s="118"/>
      <c r="M3" s="118"/>
      <c r="N3" s="119">
        <v>6.0799999999999965</v>
      </c>
      <c r="P3" s="118"/>
      <c r="Q3" s="118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</row>
    <row r="4" spans="2:77" ht="15" hidden="1" customHeight="1">
      <c r="C4" s="81"/>
      <c r="D4" s="112"/>
      <c r="E4" s="112"/>
      <c r="F4" s="112"/>
      <c r="G4" s="112"/>
      <c r="H4" s="112"/>
      <c r="I4" s="112"/>
      <c r="J4" s="112"/>
      <c r="K4" s="110">
        <v>3.54</v>
      </c>
      <c r="L4" s="110"/>
      <c r="M4" s="110"/>
      <c r="N4" s="111">
        <v>4</v>
      </c>
      <c r="P4" s="110"/>
      <c r="Q4" s="110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</row>
    <row r="5" spans="2:77" ht="15" hidden="1" customHeight="1">
      <c r="C5" s="81"/>
      <c r="D5" s="120"/>
      <c r="E5" s="120"/>
      <c r="F5" s="120"/>
      <c r="G5" s="120"/>
      <c r="H5" s="120"/>
      <c r="I5" s="120"/>
      <c r="J5" s="120"/>
      <c r="K5" s="121">
        <v>1.8</v>
      </c>
      <c r="L5" s="121"/>
      <c r="M5" s="121"/>
      <c r="N5" s="131">
        <v>2</v>
      </c>
      <c r="P5" s="121"/>
      <c r="Q5" s="12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</row>
    <row r="6" spans="2:77" ht="15" hidden="1" customHeight="1">
      <c r="C6" s="81"/>
      <c r="D6" s="122"/>
      <c r="E6" s="122"/>
      <c r="F6" s="122"/>
      <c r="G6" s="122"/>
      <c r="H6" s="122"/>
      <c r="I6" s="122"/>
      <c r="J6" s="122"/>
      <c r="K6" s="130">
        <v>2.3E-2</v>
      </c>
      <c r="L6" s="130"/>
      <c r="M6" s="130"/>
      <c r="N6" s="130">
        <v>5.1999999999999998E-2</v>
      </c>
      <c r="P6" s="130"/>
      <c r="Q6" s="130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</row>
    <row r="7" spans="2:77" ht="15" hidden="1" customHeight="1">
      <c r="C7" s="81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P7" s="113"/>
      <c r="Q7" s="113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</row>
    <row r="8" spans="2:77" ht="15" hidden="1" customHeight="1">
      <c r="C8" s="81"/>
      <c r="D8" s="109"/>
      <c r="E8" s="109"/>
      <c r="F8" s="109"/>
      <c r="G8" s="109"/>
      <c r="H8" s="109"/>
      <c r="I8" s="109"/>
      <c r="J8" s="109"/>
      <c r="K8" s="125">
        <f>+N16/J16*100-100</f>
        <v>-4.1611716181391927</v>
      </c>
      <c r="L8" s="125"/>
      <c r="M8" s="125"/>
      <c r="N8" s="127" t="e">
        <f>+#REF!/#REF!*100-100</f>
        <v>#REF!</v>
      </c>
      <c r="P8" s="125"/>
      <c r="Q8" s="125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</row>
    <row r="9" spans="2:77" ht="15" hidden="1" customHeight="1">
      <c r="C9" s="81"/>
      <c r="D9" s="115"/>
      <c r="E9" s="115"/>
      <c r="F9" s="115"/>
      <c r="G9" s="115"/>
      <c r="H9" s="115"/>
      <c r="I9" s="115"/>
      <c r="J9" s="115"/>
      <c r="K9" s="126" t="e">
        <f>+N16/#REF!*100-100</f>
        <v>#REF!</v>
      </c>
      <c r="L9" s="126"/>
      <c r="M9" s="126"/>
      <c r="N9" s="128" t="e">
        <f>+#REF!/#REF!*100-100</f>
        <v>#REF!</v>
      </c>
      <c r="P9" s="126"/>
      <c r="Q9" s="126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</row>
    <row r="10" spans="2:77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</row>
    <row r="11" spans="2:77" ht="18.75" customHeight="1" thickTop="1" thickBot="1">
      <c r="C11" s="180" t="str">
        <f>IF(MasterSheet!$A$1=1,MasterSheet!B67,MasterSheet!B66)</f>
        <v>BDP (u mil. €)</v>
      </c>
      <c r="D11" s="334">
        <v>4202100000</v>
      </c>
      <c r="E11" s="335"/>
      <c r="F11" s="335"/>
      <c r="G11" s="335"/>
      <c r="H11" s="335"/>
      <c r="I11" s="335"/>
      <c r="J11" s="335"/>
      <c r="K11" s="336"/>
      <c r="L11" s="339"/>
      <c r="M11" s="345"/>
      <c r="N11" s="334">
        <v>3954200000</v>
      </c>
      <c r="O11" s="336"/>
      <c r="P11" s="339"/>
      <c r="Q11" s="340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</row>
    <row r="12" spans="2:77" ht="19.5" customHeight="1" thickTop="1">
      <c r="C12" s="81"/>
      <c r="D12" s="242"/>
      <c r="E12" s="242"/>
      <c r="F12" s="242"/>
      <c r="G12" s="242"/>
      <c r="H12" s="242"/>
      <c r="I12" s="242"/>
      <c r="J12" s="83"/>
      <c r="K12" s="83"/>
      <c r="L12" s="82"/>
      <c r="M12" s="82"/>
      <c r="N12" s="82"/>
      <c r="O12" s="82"/>
      <c r="P12" s="82"/>
      <c r="Q12" s="82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</row>
    <row r="13" spans="2:77" ht="17.25" customHeight="1" thickBot="1">
      <c r="B13" s="85"/>
      <c r="C13" s="86"/>
      <c r="D13" s="347"/>
      <c r="E13" s="347"/>
      <c r="F13" s="329"/>
      <c r="G13" s="329"/>
      <c r="H13" s="329"/>
      <c r="I13" s="329"/>
      <c r="J13" s="241"/>
      <c r="K13" s="241"/>
      <c r="L13" s="241"/>
      <c r="M13" s="241"/>
      <c r="N13" s="346"/>
      <c r="O13" s="346"/>
      <c r="P13" s="164"/>
      <c r="Q13" s="164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</row>
    <row r="14" spans="2:77" ht="63.75" customHeight="1" thickTop="1">
      <c r="B14" s="87"/>
      <c r="C14" s="337" t="str">
        <f>IF(MasterSheet!$A$1=1,MasterSheet!B71,MasterSheet!B70)</f>
        <v>Budžet Crne Gore</v>
      </c>
      <c r="D14" s="332" t="s">
        <v>479</v>
      </c>
      <c r="E14" s="333"/>
      <c r="F14" s="341" t="s">
        <v>478</v>
      </c>
      <c r="G14" s="342"/>
      <c r="H14" s="332" t="s">
        <v>448</v>
      </c>
      <c r="I14" s="333"/>
      <c r="J14" s="341" t="s">
        <v>480</v>
      </c>
      <c r="K14" s="342"/>
      <c r="L14" s="332" t="s">
        <v>448</v>
      </c>
      <c r="M14" s="333"/>
      <c r="N14" s="332" t="s">
        <v>467</v>
      </c>
      <c r="O14" s="333"/>
      <c r="P14" s="343" t="str">
        <f>+L14</f>
        <v>Odstupanje</v>
      </c>
      <c r="Q14" s="344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</row>
    <row r="15" spans="2:77" ht="15" customHeight="1" thickBot="1">
      <c r="C15" s="338" t="str">
        <f>IF(MasterSheet!$A$1=1,MasterSheet!B71,MasterSheet!B70)</f>
        <v>Budžet Crne Gore</v>
      </c>
      <c r="D15" s="88" t="str">
        <f>+J15</f>
        <v>mil. €</v>
      </c>
      <c r="E15" s="201" t="str">
        <f>+K15</f>
        <v>% BDP</v>
      </c>
      <c r="F15" s="88" t="s">
        <v>477</v>
      </c>
      <c r="G15" s="89" t="s">
        <v>149</v>
      </c>
      <c r="H15" s="88" t="s">
        <v>477</v>
      </c>
      <c r="I15" s="200" t="s">
        <v>149</v>
      </c>
      <c r="J15" s="88" t="s">
        <v>262</v>
      </c>
      <c r="K15" s="89" t="s">
        <v>149</v>
      </c>
      <c r="L15" s="88" t="s">
        <v>262</v>
      </c>
      <c r="M15" s="200" t="s">
        <v>441</v>
      </c>
      <c r="N15" s="88" t="s">
        <v>262</v>
      </c>
      <c r="O15" s="89" t="s">
        <v>149</v>
      </c>
      <c r="P15" s="202" t="s">
        <v>262</v>
      </c>
      <c r="Q15" s="129" t="s">
        <v>441</v>
      </c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</row>
    <row r="16" spans="2:77" ht="15" customHeight="1" thickTop="1" thickBot="1">
      <c r="B16" s="80">
        <v>7</v>
      </c>
      <c r="C16" s="90" t="str">
        <f>IF(MasterSheet!$A$1=1,MasterSheet!C72,MasterSheet!B72)</f>
        <v>Izvorni prihodi</v>
      </c>
      <c r="D16" s="165">
        <f>+D17+D25+SUM(D30:D34)</f>
        <v>1565919550.3700001</v>
      </c>
      <c r="E16" s="244">
        <f>+D16/$D$11*100</f>
        <v>37.26516623521573</v>
      </c>
      <c r="F16" s="165">
        <f>+F17+F25+SUM(F30:F34)</f>
        <v>1580022265.095793</v>
      </c>
      <c r="G16" s="244">
        <f>+F16/$D$11*100</f>
        <v>37.600777351700174</v>
      </c>
      <c r="H16" s="165">
        <f>D16-F16</f>
        <v>-14102714.725792885</v>
      </c>
      <c r="I16" s="247">
        <f>D16/F16*100-100</f>
        <v>-0.89256430351238691</v>
      </c>
      <c r="J16" s="165">
        <f>+J17+J25+SUM(J30:J34)</f>
        <v>1551616663.462312</v>
      </c>
      <c r="K16" s="244">
        <f>+J16/$D$11*100</f>
        <v>36.924791496211704</v>
      </c>
      <c r="L16" s="165">
        <f>+D16-J16</f>
        <v>14302886.907688141</v>
      </c>
      <c r="M16" s="247">
        <f>+IF(ISNUMBER(D16/J16*100-100),D16/J16*100-100,"...")</f>
        <v>0.92180544618361182</v>
      </c>
      <c r="N16" s="165">
        <f>+N17+N25+SUM(N30:N34)</f>
        <v>1487051231.24</v>
      </c>
      <c r="O16" s="244">
        <f>+N16/$N$11*100</f>
        <v>37.6068795518689</v>
      </c>
      <c r="P16" s="165">
        <f>+D16-N16</f>
        <v>78868319.130000114</v>
      </c>
      <c r="Q16" s="244">
        <f t="shared" ref="Q16:Q59" si="0">+IF(ISNUMBER(D16/N16*100-100),D16/N16*100-100,"...")</f>
        <v>5.3036719564957053</v>
      </c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4">
        <f>+SUM(D18:D24)</f>
        <v>971155574.28000009</v>
      </c>
      <c r="E17" s="245">
        <f t="shared" ref="E17:G75" si="1">+D17/$D$11*100</f>
        <v>23.111196170486188</v>
      </c>
      <c r="F17" s="154">
        <f>+SUM(F18:F24)</f>
        <v>979100310.26397955</v>
      </c>
      <c r="G17" s="245">
        <f t="shared" si="1"/>
        <v>23.300262018133303</v>
      </c>
      <c r="H17" s="207">
        <f>D17-F17</f>
        <v>-7944735.9839794636</v>
      </c>
      <c r="I17" s="258">
        <f>D17/F17*100-100</f>
        <v>-0.81143228131931266</v>
      </c>
      <c r="J17" s="154">
        <f>+SUM(J18:J24)</f>
        <v>944276594.26457405</v>
      </c>
      <c r="K17" s="245">
        <f t="shared" ref="K17:K75" si="2">+J17/$D$11*100</f>
        <v>22.471540283776541</v>
      </c>
      <c r="L17" s="207">
        <f t="shared" ref="L17:L69" si="3">+D17-J17</f>
        <v>26878980.01542604</v>
      </c>
      <c r="M17" s="258">
        <f t="shared" ref="M17:M69" si="4">+IF(ISNUMBER(D17/J17*100-100),D17/J17*100-100,"...")</f>
        <v>2.8465155420229564</v>
      </c>
      <c r="N17" s="154">
        <f>+SUM(N18:N24)</f>
        <v>886526735.73000002</v>
      </c>
      <c r="O17" s="245">
        <f t="shared" ref="O17:O69" si="5">+N17/$N$11*100</f>
        <v>22.419875973142481</v>
      </c>
      <c r="P17" s="207">
        <f t="shared" ref="P17:P35" si="6">+D17-N17</f>
        <v>84628838.550000072</v>
      </c>
      <c r="Q17" s="258">
        <f t="shared" si="0"/>
        <v>9.5461123888512418</v>
      </c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55">
        <v>111982440.54000001</v>
      </c>
      <c r="E18" s="246">
        <f t="shared" si="1"/>
        <v>2.6649161262226029</v>
      </c>
      <c r="F18" s="155">
        <v>117734110.65000001</v>
      </c>
      <c r="G18" s="246">
        <f t="shared" si="1"/>
        <v>2.8017922146069822</v>
      </c>
      <c r="H18" s="208">
        <f>D18-F18</f>
        <v>-5751670.1099999994</v>
      </c>
      <c r="I18" s="259">
        <f>(D18/F18)*100-100</f>
        <v>-4.885304758532186</v>
      </c>
      <c r="J18" s="155">
        <v>125583391.53741376</v>
      </c>
      <c r="K18" s="246">
        <f t="shared" si="2"/>
        <v>2.988586457661973</v>
      </c>
      <c r="L18" s="208">
        <f t="shared" si="3"/>
        <v>-13600950.997413754</v>
      </c>
      <c r="M18" s="259">
        <f t="shared" si="4"/>
        <v>-10.830214752849514</v>
      </c>
      <c r="N18" s="156">
        <v>123131602.47000001</v>
      </c>
      <c r="O18" s="246">
        <f t="shared" si="5"/>
        <v>3.1139447288958579</v>
      </c>
      <c r="P18" s="208">
        <f t="shared" si="6"/>
        <v>-11149161.930000007</v>
      </c>
      <c r="Q18" s="259">
        <f t="shared" si="0"/>
        <v>-9.0546713486624242</v>
      </c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56">
        <v>49228502.210000001</v>
      </c>
      <c r="E19" s="246">
        <f t="shared" si="1"/>
        <v>1.171521434758811</v>
      </c>
      <c r="F19" s="156">
        <v>48749246.08178103</v>
      </c>
      <c r="G19" s="246">
        <f t="shared" si="1"/>
        <v>1.1601162771419298</v>
      </c>
      <c r="H19" s="208">
        <f t="shared" ref="H19:H75" si="7">D19-F19</f>
        <v>479256.12821897119</v>
      </c>
      <c r="I19" s="259">
        <f t="shared" ref="I19:I75" si="8">(D19/F19)*100-100</f>
        <v>0.98310469748594187</v>
      </c>
      <c r="J19" s="156">
        <v>46922688.056049608</v>
      </c>
      <c r="K19" s="246">
        <f t="shared" si="2"/>
        <v>1.1166485342102663</v>
      </c>
      <c r="L19" s="208">
        <f t="shared" si="3"/>
        <v>2305814.1539503932</v>
      </c>
      <c r="M19" s="259">
        <f t="shared" si="4"/>
        <v>4.9140708886841225</v>
      </c>
      <c r="N19" s="156">
        <v>45254590.029999994</v>
      </c>
      <c r="O19" s="246">
        <f t="shared" si="5"/>
        <v>1.1444689198826563</v>
      </c>
      <c r="P19" s="208">
        <f t="shared" si="6"/>
        <v>3973912.1800000072</v>
      </c>
      <c r="Q19" s="259">
        <f t="shared" si="0"/>
        <v>8.7812356213273262</v>
      </c>
      <c r="R19" s="138"/>
      <c r="S19" s="81"/>
      <c r="T19" s="81" t="s">
        <v>447</v>
      </c>
      <c r="U19" s="81" t="s">
        <v>12</v>
      </c>
      <c r="V19" s="81" t="s">
        <v>19</v>
      </c>
      <c r="W19" s="138"/>
      <c r="X19" s="138"/>
      <c r="Y19" s="138"/>
      <c r="Z19" s="138"/>
      <c r="AA19" s="138"/>
      <c r="AB19" s="138"/>
      <c r="AC19" s="139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CA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56">
        <v>1524664.7</v>
      </c>
      <c r="E20" s="246">
        <f t="shared" si="1"/>
        <v>3.6283398776802075E-2</v>
      </c>
      <c r="F20" s="156">
        <v>1529916.0976644694</v>
      </c>
      <c r="G20" s="246">
        <f t="shared" si="1"/>
        <v>3.640836956913137E-2</v>
      </c>
      <c r="H20" s="208">
        <f t="shared" si="7"/>
        <v>-5251.3976644694339</v>
      </c>
      <c r="I20" s="259">
        <f t="shared" si="8"/>
        <v>-0.34324742856722423</v>
      </c>
      <c r="J20" s="156">
        <v>2459394.3990422501</v>
      </c>
      <c r="K20" s="246">
        <f t="shared" si="2"/>
        <v>5.8527745628191866E-2</v>
      </c>
      <c r="L20" s="208">
        <f t="shared" si="3"/>
        <v>-934729.69904225017</v>
      </c>
      <c r="M20" s="259">
        <f t="shared" si="4"/>
        <v>-38.006498648864827</v>
      </c>
      <c r="N20" s="156">
        <v>1330049.99</v>
      </c>
      <c r="O20" s="246">
        <f t="shared" si="5"/>
        <v>3.3636386373982093E-2</v>
      </c>
      <c r="P20" s="208">
        <f t="shared" si="6"/>
        <v>194614.70999999996</v>
      </c>
      <c r="Q20" s="259">
        <f t="shared" si="0"/>
        <v>14.632134992159209</v>
      </c>
      <c r="R20" s="138"/>
      <c r="S20" s="81" t="s">
        <v>462</v>
      </c>
      <c r="T20" s="210">
        <f>+D21</f>
        <v>548710516.46000004</v>
      </c>
      <c r="U20" s="210">
        <f>+D22</f>
        <v>225084910.21999997</v>
      </c>
      <c r="V20" s="210">
        <f>+D25</f>
        <v>494952632.42000002</v>
      </c>
      <c r="W20" s="138"/>
      <c r="X20" s="138"/>
      <c r="Y20" s="138"/>
      <c r="Z20" s="138"/>
      <c r="AA20" s="138"/>
      <c r="AB20" s="138"/>
      <c r="AC20" s="139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55">
        <v>548710516.46000004</v>
      </c>
      <c r="E21" s="246">
        <f t="shared" si="1"/>
        <v>13.058007102639158</v>
      </c>
      <c r="F21" s="155">
        <v>550461561.20703423</v>
      </c>
      <c r="G21" s="246">
        <f t="shared" si="1"/>
        <v>13.099677808882088</v>
      </c>
      <c r="H21" s="208">
        <f t="shared" si="7"/>
        <v>-1751044.7470341921</v>
      </c>
      <c r="I21" s="259">
        <f t="shared" si="8"/>
        <v>-0.31810481792670942</v>
      </c>
      <c r="J21" s="155">
        <v>524745437.38105094</v>
      </c>
      <c r="K21" s="246">
        <f t="shared" si="2"/>
        <v>12.487695137694271</v>
      </c>
      <c r="L21" s="208">
        <f t="shared" si="3"/>
        <v>23965079.078949094</v>
      </c>
      <c r="M21" s="259">
        <f t="shared" si="4"/>
        <v>4.5669914156007252</v>
      </c>
      <c r="N21" s="156">
        <v>500656533.33000004</v>
      </c>
      <c r="O21" s="246">
        <f t="shared" si="5"/>
        <v>12.661386205300696</v>
      </c>
      <c r="P21" s="208">
        <f t="shared" si="6"/>
        <v>48053983.129999995</v>
      </c>
      <c r="Q21" s="259">
        <f t="shared" si="0"/>
        <v>9.5981935580426949</v>
      </c>
      <c r="S21" s="81" t="s">
        <v>463</v>
      </c>
      <c r="T21" s="210">
        <f>+J21</f>
        <v>524745437.38105094</v>
      </c>
      <c r="U21" s="210">
        <f>+J22</f>
        <v>210481296.69963041</v>
      </c>
      <c r="V21" s="210">
        <f>+J25</f>
        <v>492156792.05347615</v>
      </c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56">
        <v>225084910.21999997</v>
      </c>
      <c r="E22" s="246">
        <f t="shared" si="1"/>
        <v>5.3564862859046656</v>
      </c>
      <c r="F22" s="156">
        <v>225623515.02582744</v>
      </c>
      <c r="G22" s="246">
        <f t="shared" si="1"/>
        <v>5.3693038010953442</v>
      </c>
      <c r="H22" s="208">
        <f t="shared" si="7"/>
        <v>-538604.80582746863</v>
      </c>
      <c r="I22" s="259">
        <f t="shared" si="8"/>
        <v>-0.23871838259668721</v>
      </c>
      <c r="J22" s="156">
        <v>210481296.69963041</v>
      </c>
      <c r="K22" s="246">
        <f t="shared" si="2"/>
        <v>5.0089549677454226</v>
      </c>
      <c r="L22" s="208">
        <f t="shared" si="3"/>
        <v>14603613.52036956</v>
      </c>
      <c r="M22" s="259">
        <f t="shared" si="4"/>
        <v>6.9382000915785937</v>
      </c>
      <c r="N22" s="156">
        <v>182670922.38</v>
      </c>
      <c r="O22" s="246">
        <f t="shared" si="5"/>
        <v>4.6196682610894744</v>
      </c>
      <c r="P22" s="208">
        <f t="shared" si="6"/>
        <v>42413987.839999974</v>
      </c>
      <c r="Q22" s="259">
        <f t="shared" si="0"/>
        <v>23.218795464211084</v>
      </c>
      <c r="S22" s="137">
        <v>2015</v>
      </c>
      <c r="T22" s="211">
        <f>+N21</f>
        <v>500656533.33000004</v>
      </c>
      <c r="U22" s="212">
        <f>+N22</f>
        <v>182670922.38</v>
      </c>
      <c r="V22" s="212">
        <f>+N25</f>
        <v>462885204.29000008</v>
      </c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v>25424800.799999997</v>
      </c>
      <c r="E23" s="246">
        <f t="shared" si="1"/>
        <v>0.60504987506246866</v>
      </c>
      <c r="F23" s="156">
        <v>25789097.528659306</v>
      </c>
      <c r="G23" s="246">
        <f t="shared" si="1"/>
        <v>0.61371927199874599</v>
      </c>
      <c r="H23" s="208">
        <f t="shared" si="7"/>
        <v>-364296.72865930945</v>
      </c>
      <c r="I23" s="259">
        <f t="shared" si="8"/>
        <v>-1.4125997555923391</v>
      </c>
      <c r="J23" s="156">
        <v>24426743.525325805</v>
      </c>
      <c r="K23" s="246">
        <f t="shared" si="2"/>
        <v>0.58129848231421921</v>
      </c>
      <c r="L23" s="208">
        <f t="shared" si="3"/>
        <v>998057.27467419207</v>
      </c>
      <c r="M23" s="259">
        <f t="shared" si="4"/>
        <v>4.0859203095959202</v>
      </c>
      <c r="N23" s="156">
        <v>24283642.720000003</v>
      </c>
      <c r="O23" s="246">
        <f t="shared" si="5"/>
        <v>0.61412277375954694</v>
      </c>
      <c r="P23" s="208">
        <f t="shared" si="6"/>
        <v>1141158.0799999945</v>
      </c>
      <c r="Q23" s="259">
        <f t="shared" si="0"/>
        <v>4.6992870598451759</v>
      </c>
      <c r="AI23" s="80" t="s">
        <v>473</v>
      </c>
      <c r="CB23" s="140"/>
      <c r="CC23" s="140"/>
      <c r="CD23" s="81"/>
    </row>
    <row r="24" spans="2:84" ht="15" customHeight="1">
      <c r="B24" s="80">
        <v>7118</v>
      </c>
      <c r="C24" s="97" t="s">
        <v>464</v>
      </c>
      <c r="D24" s="156">
        <v>9199739.3499999996</v>
      </c>
      <c r="E24" s="246">
        <f t="shared" si="1"/>
        <v>0.21893194712167724</v>
      </c>
      <c r="F24" s="156">
        <v>9212863.6730131265</v>
      </c>
      <c r="G24" s="246">
        <f t="shared" si="1"/>
        <v>0.21924427483908349</v>
      </c>
      <c r="H24" s="208">
        <f t="shared" si="7"/>
        <v>-13124.32301312685</v>
      </c>
      <c r="I24" s="259">
        <f t="shared" si="8"/>
        <v>-0.14245649864082566</v>
      </c>
      <c r="J24" s="156">
        <v>9657642.6660613157</v>
      </c>
      <c r="K24" s="246">
        <f t="shared" si="2"/>
        <v>0.22982895852219878</v>
      </c>
      <c r="L24" s="208">
        <f t="shared" si="3"/>
        <v>-457903.31606131606</v>
      </c>
      <c r="M24" s="259">
        <f t="shared" si="4"/>
        <v>-4.7413569946056242</v>
      </c>
      <c r="N24" s="156">
        <v>9199394.8100000005</v>
      </c>
      <c r="O24" s="246">
        <f t="shared" si="5"/>
        <v>0.23264869784027112</v>
      </c>
      <c r="P24" s="208">
        <f t="shared" si="6"/>
        <v>344.53999999910593</v>
      </c>
      <c r="Q24" s="259">
        <f t="shared" si="0"/>
        <v>3.7452463679983339E-3</v>
      </c>
      <c r="CB24" s="140"/>
      <c r="CC24" s="140"/>
      <c r="CD24" s="81"/>
    </row>
    <row r="25" spans="2:84" ht="15" customHeight="1">
      <c r="B25" s="80">
        <v>712</v>
      </c>
      <c r="C25" s="93" t="str">
        <f>IF(MasterSheet!$A$1=1,MasterSheet!C81,MasterSheet!B81)</f>
        <v>Doprinosi</v>
      </c>
      <c r="D25" s="154">
        <f>+SUM(D26:D29)</f>
        <v>494952632.42000002</v>
      </c>
      <c r="E25" s="245">
        <f t="shared" si="1"/>
        <v>11.778697137621666</v>
      </c>
      <c r="F25" s="154">
        <f>+SUM(F26:F29)</f>
        <v>500463503.15384978</v>
      </c>
      <c r="G25" s="330">
        <f t="shared" si="1"/>
        <v>11.909842772752905</v>
      </c>
      <c r="H25" s="208">
        <f t="shared" si="7"/>
        <v>-5510870.7338497639</v>
      </c>
      <c r="I25" s="259">
        <f t="shared" si="8"/>
        <v>-1.1011533706496266</v>
      </c>
      <c r="J25" s="154">
        <f>+SUM(J26:J29)</f>
        <v>492156792.05347615</v>
      </c>
      <c r="K25" s="245">
        <f t="shared" si="2"/>
        <v>11.712162777027585</v>
      </c>
      <c r="L25" s="207">
        <f t="shared" si="3"/>
        <v>2795840.3665238619</v>
      </c>
      <c r="M25" s="258">
        <f t="shared" si="4"/>
        <v>0.56807919989449829</v>
      </c>
      <c r="N25" s="154">
        <f>+SUM(N26:N29)</f>
        <v>462885204.29000008</v>
      </c>
      <c r="O25" s="245">
        <f t="shared" si="5"/>
        <v>11.706165704567297</v>
      </c>
      <c r="P25" s="207">
        <f t="shared" si="6"/>
        <v>32067428.129999936</v>
      </c>
      <c r="Q25" s="258">
        <f t="shared" si="0"/>
        <v>6.927728048509735</v>
      </c>
      <c r="CB25" s="140"/>
      <c r="CC25" s="140"/>
      <c r="CD25" s="81"/>
    </row>
    <row r="26" spans="2:84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6">
        <v>303042063.35000002</v>
      </c>
      <c r="E26" s="246">
        <f t="shared" si="1"/>
        <v>7.2116813819280843</v>
      </c>
      <c r="F26" s="156">
        <v>304735852.44600284</v>
      </c>
      <c r="G26" s="246">
        <f t="shared" si="1"/>
        <v>7.2519895396588101</v>
      </c>
      <c r="H26" s="208">
        <f t="shared" si="7"/>
        <v>-1693789.0960028172</v>
      </c>
      <c r="I26" s="259">
        <f t="shared" si="8"/>
        <v>-0.55582206110878474</v>
      </c>
      <c r="J26" s="156">
        <v>293612813.84136897</v>
      </c>
      <c r="K26" s="246">
        <f t="shared" si="2"/>
        <v>6.9872876381182971</v>
      </c>
      <c r="L26" s="208">
        <f t="shared" si="3"/>
        <v>9429249.5086310506</v>
      </c>
      <c r="M26" s="259">
        <f t="shared" si="4"/>
        <v>3.2114570836562422</v>
      </c>
      <c r="N26" s="156">
        <v>273553324.41000003</v>
      </c>
      <c r="O26" s="246">
        <f t="shared" si="5"/>
        <v>6.9180447223205714</v>
      </c>
      <c r="P26" s="208">
        <f t="shared" si="6"/>
        <v>29488738.939999998</v>
      </c>
      <c r="Q26" s="259">
        <f t="shared" si="0"/>
        <v>10.779886884431519</v>
      </c>
      <c r="CB26" s="140"/>
      <c r="CC26" s="140"/>
      <c r="CD26" s="81"/>
    </row>
    <row r="27" spans="2:84" ht="15" customHeight="1">
      <c r="B27" s="80">
        <v>7122</v>
      </c>
      <c r="C27" s="97" t="str">
        <f>IF(MasterSheet!$A$1=1,MasterSheet!C83,MasterSheet!B83)</f>
        <v>Doprinosi za zdravstveno osiguranje</v>
      </c>
      <c r="D27" s="156">
        <v>167400672.64999998</v>
      </c>
      <c r="E27" s="246">
        <f t="shared" si="1"/>
        <v>3.9837384319744888</v>
      </c>
      <c r="F27" s="156">
        <v>171280873.00583869</v>
      </c>
      <c r="G27" s="246">
        <f t="shared" si="1"/>
        <v>4.0760779849560622</v>
      </c>
      <c r="H27" s="208">
        <f t="shared" si="7"/>
        <v>-3880200.355838716</v>
      </c>
      <c r="I27" s="259">
        <f t="shared" si="8"/>
        <v>-2.2654020193524076</v>
      </c>
      <c r="J27" s="156">
        <v>172372932.77823201</v>
      </c>
      <c r="K27" s="246">
        <f t="shared" si="2"/>
        <v>4.102066413893815</v>
      </c>
      <c r="L27" s="208">
        <f t="shared" si="3"/>
        <v>-4972260.1282320321</v>
      </c>
      <c r="M27" s="259">
        <f t="shared" si="4"/>
        <v>-2.884594494095623</v>
      </c>
      <c r="N27" s="156">
        <v>164379366.90000004</v>
      </c>
      <c r="O27" s="246">
        <f t="shared" si="5"/>
        <v>4.1570827702190085</v>
      </c>
      <c r="P27" s="208">
        <f t="shared" si="6"/>
        <v>3021305.7499999404</v>
      </c>
      <c r="Q27" s="259">
        <f t="shared" si="0"/>
        <v>1.8380079002481722</v>
      </c>
      <c r="CB27" s="140"/>
      <c r="CC27" s="140"/>
      <c r="CD27" s="81"/>
    </row>
    <row r="28" spans="2:84" ht="15" customHeight="1">
      <c r="B28" s="80">
        <v>7123</v>
      </c>
      <c r="C28" s="97" t="str">
        <f>IF(MasterSheet!$A$1=1,MasterSheet!C84,MasterSheet!B84)</f>
        <v>Doprinosi za osiguranje od nezaposlenosti</v>
      </c>
      <c r="D28" s="156">
        <v>12595344.189999998</v>
      </c>
      <c r="E28" s="246">
        <f t="shared" si="1"/>
        <v>0.29973927774208126</v>
      </c>
      <c r="F28" s="156">
        <v>12796289.599999998</v>
      </c>
      <c r="G28" s="246">
        <f t="shared" si="1"/>
        <v>0.30452130125413479</v>
      </c>
      <c r="H28" s="208">
        <f t="shared" si="7"/>
        <v>-200945.41000000015</v>
      </c>
      <c r="I28" s="259">
        <f t="shared" si="8"/>
        <v>-1.5703412182856482</v>
      </c>
      <c r="J28" s="156">
        <v>13897899.7574651</v>
      </c>
      <c r="K28" s="246">
        <f t="shared" si="2"/>
        <v>0.33073700667440326</v>
      </c>
      <c r="L28" s="208">
        <f t="shared" si="3"/>
        <v>-1302555.5674651023</v>
      </c>
      <c r="M28" s="259">
        <f t="shared" si="4"/>
        <v>-9.3723194885288308</v>
      </c>
      <c r="N28" s="156">
        <v>12989910.719999999</v>
      </c>
      <c r="O28" s="246">
        <f t="shared" si="5"/>
        <v>0.32850919832077285</v>
      </c>
      <c r="P28" s="208">
        <f t="shared" si="6"/>
        <v>-394566.53000000119</v>
      </c>
      <c r="Q28" s="259">
        <f t="shared" si="0"/>
        <v>-3.0374845409253197</v>
      </c>
      <c r="CB28" s="140"/>
      <c r="CC28" s="140"/>
      <c r="CD28" s="81"/>
    </row>
    <row r="29" spans="2:84" ht="15" customHeight="1">
      <c r="B29" s="80">
        <v>7124</v>
      </c>
      <c r="C29" s="97" t="str">
        <f>IF(MasterSheet!$A$1=1,MasterSheet!C85,MasterSheet!B85)</f>
        <v>Ostali doprinosi</v>
      </c>
      <c r="D29" s="155">
        <v>11914552.229999999</v>
      </c>
      <c r="E29" s="246">
        <f t="shared" si="1"/>
        <v>0.28353804597701143</v>
      </c>
      <c r="F29" s="155">
        <v>11650488.102008229</v>
      </c>
      <c r="G29" s="246">
        <f t="shared" si="1"/>
        <v>0.27725394688389687</v>
      </c>
      <c r="H29" s="208">
        <f t="shared" si="7"/>
        <v>264064.12799176946</v>
      </c>
      <c r="I29" s="259">
        <f t="shared" si="8"/>
        <v>2.2665499134431286</v>
      </c>
      <c r="J29" s="155">
        <v>12273145.676410003</v>
      </c>
      <c r="K29" s="246">
        <f t="shared" si="2"/>
        <v>0.2920717183410676</v>
      </c>
      <c r="L29" s="208">
        <f t="shared" si="3"/>
        <v>-358593.44641000405</v>
      </c>
      <c r="M29" s="259">
        <f t="shared" si="4"/>
        <v>-2.9217729167775701</v>
      </c>
      <c r="N29" s="156">
        <v>11962602.260000002</v>
      </c>
      <c r="O29" s="246">
        <f t="shared" si="5"/>
        <v>0.30252901370694457</v>
      </c>
      <c r="P29" s="208">
        <f t="shared" si="6"/>
        <v>-48050.030000003055</v>
      </c>
      <c r="Q29" s="259">
        <f t="shared" si="0"/>
        <v>-0.40166870849390079</v>
      </c>
      <c r="CB29" s="81"/>
      <c r="CC29" s="81"/>
      <c r="CD29" s="81"/>
    </row>
    <row r="30" spans="2:84" ht="15" customHeight="1">
      <c r="B30" s="80">
        <v>713</v>
      </c>
      <c r="C30" s="93" t="str">
        <f>IF(MasterSheet!$A$1=1,MasterSheet!C86,MasterSheet!B86)</f>
        <v>Takse</v>
      </c>
      <c r="D30" s="154">
        <v>13588393.370000001</v>
      </c>
      <c r="E30" s="245">
        <f t="shared" si="1"/>
        <v>0.32337148973132485</v>
      </c>
      <c r="F30" s="154">
        <v>13428059.488738885</v>
      </c>
      <c r="G30" s="330">
        <f t="shared" si="1"/>
        <v>0.31955592415075523</v>
      </c>
      <c r="H30" s="208">
        <f t="shared" si="7"/>
        <v>160333.88126111589</v>
      </c>
      <c r="I30" s="259">
        <f t="shared" si="8"/>
        <v>1.1940212314041077</v>
      </c>
      <c r="J30" s="154">
        <v>13832275.892059395</v>
      </c>
      <c r="K30" s="245">
        <f t="shared" si="2"/>
        <v>0.32917531453462306</v>
      </c>
      <c r="L30" s="207">
        <f t="shared" si="3"/>
        <v>-243882.52205939405</v>
      </c>
      <c r="M30" s="258">
        <f t="shared" si="4"/>
        <v>-1.7631409607684105</v>
      </c>
      <c r="N30" s="154">
        <v>12985556.879999999</v>
      </c>
      <c r="O30" s="245">
        <f t="shared" si="5"/>
        <v>0.32839909159880631</v>
      </c>
      <c r="P30" s="207">
        <f t="shared" si="6"/>
        <v>602836.49000000209</v>
      </c>
      <c r="Q30" s="258">
        <f t="shared" si="0"/>
        <v>4.6423614756828471</v>
      </c>
      <c r="CB30" s="81"/>
      <c r="CC30" s="81"/>
      <c r="CD30" s="81"/>
    </row>
    <row r="31" spans="2:84" ht="15" customHeight="1">
      <c r="B31" s="80">
        <v>714</v>
      </c>
      <c r="C31" s="93" t="str">
        <f>IF(MasterSheet!$A$1=1,MasterSheet!C91,MasterSheet!B91)</f>
        <v>Naknade</v>
      </c>
      <c r="D31" s="154">
        <v>18967775.129999999</v>
      </c>
      <c r="E31" s="245">
        <f t="shared" si="1"/>
        <v>0.45138799957164272</v>
      </c>
      <c r="F31" s="154">
        <v>18062763.465059899</v>
      </c>
      <c r="G31" s="330">
        <f t="shared" si="1"/>
        <v>0.42985087135146471</v>
      </c>
      <c r="H31" s="208">
        <f t="shared" si="7"/>
        <v>905011.66494010016</v>
      </c>
      <c r="I31" s="259">
        <f t="shared" si="8"/>
        <v>5.0103721210252843</v>
      </c>
      <c r="J31" s="154">
        <v>23449281.372267835</v>
      </c>
      <c r="K31" s="245">
        <f t="shared" si="2"/>
        <v>0.5580372045469606</v>
      </c>
      <c r="L31" s="207">
        <f t="shared" si="3"/>
        <v>-4481506.2422678359</v>
      </c>
      <c r="M31" s="258">
        <f t="shared" si="4"/>
        <v>-19.111486493432011</v>
      </c>
      <c r="N31" s="154">
        <v>73964486.599999994</v>
      </c>
      <c r="O31" s="245">
        <f t="shared" si="5"/>
        <v>1.8705297304132311</v>
      </c>
      <c r="P31" s="207">
        <f t="shared" si="6"/>
        <v>-54996711.469999999</v>
      </c>
      <c r="Q31" s="258">
        <f t="shared" si="0"/>
        <v>-74.355564404066314</v>
      </c>
      <c r="CB31" s="140"/>
      <c r="CC31" s="140"/>
      <c r="CD31" s="140"/>
    </row>
    <row r="32" spans="2:84" ht="15" customHeight="1">
      <c r="B32" s="80">
        <v>715</v>
      </c>
      <c r="C32" s="93" t="str">
        <f>IF(MasterSheet!$A$1=1,MasterSheet!C98,MasterSheet!B98)</f>
        <v>Ostali prihodi</v>
      </c>
      <c r="D32" s="154">
        <v>35699194.829999998</v>
      </c>
      <c r="E32" s="245">
        <f t="shared" si="1"/>
        <v>0.84955605126008416</v>
      </c>
      <c r="F32" s="154">
        <v>35600982.576524861</v>
      </c>
      <c r="G32" s="330">
        <f t="shared" si="1"/>
        <v>0.84721883288177002</v>
      </c>
      <c r="H32" s="208">
        <f t="shared" si="7"/>
        <v>98212.253475137055</v>
      </c>
      <c r="I32" s="259">
        <f t="shared" si="8"/>
        <v>0.27586950237687802</v>
      </c>
      <c r="J32" s="154">
        <v>37391136.21111349</v>
      </c>
      <c r="K32" s="245">
        <f t="shared" si="2"/>
        <v>0.88982023776477215</v>
      </c>
      <c r="L32" s="207">
        <f t="shared" si="3"/>
        <v>-1691941.381113492</v>
      </c>
      <c r="M32" s="258">
        <f t="shared" si="4"/>
        <v>-4.5249798550133704</v>
      </c>
      <c r="N32" s="154">
        <v>34446855.609999999</v>
      </c>
      <c r="O32" s="245">
        <f t="shared" si="5"/>
        <v>0.87114601208841225</v>
      </c>
      <c r="P32" s="207">
        <f t="shared" si="6"/>
        <v>1252339.2199999988</v>
      </c>
      <c r="Q32" s="258">
        <f t="shared" si="0"/>
        <v>3.6355690463556982</v>
      </c>
      <c r="CB32" s="81"/>
      <c r="CC32" s="81"/>
      <c r="CD32" s="81"/>
      <c r="CE32" s="81"/>
      <c r="CF32" s="81"/>
    </row>
    <row r="33" spans="1:85">
      <c r="B33" s="80">
        <v>73</v>
      </c>
      <c r="C33" s="101" t="str">
        <f>IF(MasterSheet!$A$1=1,MasterSheet!C103,MasterSheet!B103)</f>
        <v xml:space="preserve">Primici od otplate kredita </v>
      </c>
      <c r="D33" s="154">
        <v>6274510.5800000001</v>
      </c>
      <c r="E33" s="245">
        <f t="shared" si="1"/>
        <v>0.1493184498227077</v>
      </c>
      <c r="F33" s="154">
        <v>6728562.2178598447</v>
      </c>
      <c r="G33" s="330">
        <f t="shared" si="1"/>
        <v>0.16012380042978142</v>
      </c>
      <c r="H33" s="208">
        <f t="shared" si="7"/>
        <v>-454051.6378598446</v>
      </c>
      <c r="I33" s="259">
        <f t="shared" si="8"/>
        <v>-6.7481227513158757</v>
      </c>
      <c r="J33" s="154">
        <v>5310583.6688210517</v>
      </c>
      <c r="K33" s="245">
        <f t="shared" si="2"/>
        <v>0.12637927866593016</v>
      </c>
      <c r="L33" s="207">
        <f t="shared" si="3"/>
        <v>963926.91117894836</v>
      </c>
      <c r="M33" s="258">
        <f t="shared" si="4"/>
        <v>18.151054032690524</v>
      </c>
      <c r="N33" s="154">
        <v>4662620.91</v>
      </c>
      <c r="O33" s="245">
        <f t="shared" si="5"/>
        <v>0.11791565702291235</v>
      </c>
      <c r="P33" s="207">
        <f t="shared" si="6"/>
        <v>1611889.67</v>
      </c>
      <c r="Q33" s="258">
        <f t="shared" si="0"/>
        <v>34.570463718012206</v>
      </c>
      <c r="CA33" s="100"/>
      <c r="CB33" s="100"/>
      <c r="CC33" s="99"/>
      <c r="CD33" s="145"/>
      <c r="CE33" s="145"/>
      <c r="CF33" s="145"/>
      <c r="CG33" s="142"/>
    </row>
    <row r="34" spans="1:85" ht="13.5" customHeight="1" thickBot="1">
      <c r="B34" s="80">
        <v>74</v>
      </c>
      <c r="C34" s="93" t="s">
        <v>122</v>
      </c>
      <c r="D34" s="154">
        <v>25281469.760000002</v>
      </c>
      <c r="E34" s="245">
        <f t="shared" si="1"/>
        <v>0.6016389367221151</v>
      </c>
      <c r="F34" s="154">
        <v>26638083.929780353</v>
      </c>
      <c r="G34" s="330">
        <f t="shared" si="1"/>
        <v>0.63392313200019879</v>
      </c>
      <c r="H34" s="208">
        <f t="shared" si="7"/>
        <v>-1356614.1697803512</v>
      </c>
      <c r="I34" s="259">
        <f t="shared" si="8"/>
        <v>-5.0927618268508752</v>
      </c>
      <c r="J34" s="154">
        <v>35200000</v>
      </c>
      <c r="K34" s="245">
        <f t="shared" si="2"/>
        <v>0.83767639989529041</v>
      </c>
      <c r="L34" s="207">
        <f t="shared" si="3"/>
        <v>-9918530.2399999984</v>
      </c>
      <c r="M34" s="258">
        <f t="shared" si="4"/>
        <v>-28.177642727272726</v>
      </c>
      <c r="N34" s="154">
        <v>11579771.220000001</v>
      </c>
      <c r="O34" s="245">
        <f t="shared" si="5"/>
        <v>0.29284738303575947</v>
      </c>
      <c r="P34" s="207">
        <f t="shared" si="6"/>
        <v>13701698.540000001</v>
      </c>
      <c r="Q34" s="258">
        <f t="shared" si="0"/>
        <v>118.32443214711455</v>
      </c>
      <c r="CB34" s="161"/>
      <c r="CC34" s="161"/>
      <c r="CD34" s="145"/>
      <c r="CE34" s="145"/>
      <c r="CF34" s="145"/>
      <c r="CG34" s="142"/>
    </row>
    <row r="35" spans="1:85" ht="15" customHeight="1" thickTop="1" thickBot="1">
      <c r="B35" s="102"/>
      <c r="C35" s="90" t="s">
        <v>461</v>
      </c>
      <c r="D35" s="91">
        <f>+D37+D48+D54+SUM(D57:D62)</f>
        <v>1803549859.9400001</v>
      </c>
      <c r="E35" s="247">
        <f t="shared" si="1"/>
        <v>42.920203230289616</v>
      </c>
      <c r="F35" s="91">
        <f>+F37+F48+F54+SUM(F57:F62)</f>
        <v>1752020983.9499998</v>
      </c>
      <c r="G35" s="252">
        <f t="shared" si="1"/>
        <v>41.693938362961376</v>
      </c>
      <c r="H35" s="91">
        <f t="shared" si="7"/>
        <v>51528875.990000248</v>
      </c>
      <c r="I35" s="247">
        <f t="shared" si="8"/>
        <v>2.9411106637448086</v>
      </c>
      <c r="J35" s="91">
        <f>+J37+J48+J54+SUM(J57:J62)</f>
        <v>1786079675.6199999</v>
      </c>
      <c r="K35" s="252">
        <f t="shared" si="2"/>
        <v>42.504454335213346</v>
      </c>
      <c r="L35" s="91">
        <f t="shared" si="3"/>
        <v>17470184.320000172</v>
      </c>
      <c r="M35" s="247">
        <f t="shared" si="4"/>
        <v>0.9781301785395442</v>
      </c>
      <c r="N35" s="91">
        <f>+N37+N48+N54+SUM(N57:N61)</f>
        <v>1622008657.8200002</v>
      </c>
      <c r="O35" s="247">
        <f t="shared" si="5"/>
        <v>41.019894234484852</v>
      </c>
      <c r="P35" s="91">
        <f t="shared" si="6"/>
        <v>181541202.11999989</v>
      </c>
      <c r="Q35" s="247">
        <f t="shared" si="0"/>
        <v>11.192369488581733</v>
      </c>
      <c r="CB35" s="81"/>
      <c r="CC35" s="81"/>
      <c r="CD35" s="145"/>
      <c r="CE35" s="145"/>
      <c r="CF35" s="145"/>
      <c r="CG35" s="142"/>
    </row>
    <row r="36" spans="1:85" ht="13.5" customHeight="1" thickTop="1" thickBot="1">
      <c r="C36" s="299" t="s">
        <v>449</v>
      </c>
      <c r="D36" s="91">
        <f>+D35-D57</f>
        <v>1548043509.3900001</v>
      </c>
      <c r="E36" s="247">
        <f t="shared" si="1"/>
        <v>36.839758915542234</v>
      </c>
      <c r="F36" s="91">
        <f>+F35-F57</f>
        <v>1493442383.9499998</v>
      </c>
      <c r="G36" s="252">
        <f t="shared" si="1"/>
        <v>35.540381807905568</v>
      </c>
      <c r="H36" s="91">
        <f t="shared" si="7"/>
        <v>54601125.440000296</v>
      </c>
      <c r="I36" s="247">
        <f t="shared" si="8"/>
        <v>3.656058380744895</v>
      </c>
      <c r="J36" s="91">
        <f>+J35-J57</f>
        <v>1503001075.5999999</v>
      </c>
      <c r="K36" s="252">
        <f t="shared" si="2"/>
        <v>35.767855967254462</v>
      </c>
      <c r="L36" s="91">
        <f t="shared" si="3"/>
        <v>45042433.7900002</v>
      </c>
      <c r="M36" s="247">
        <f t="shared" si="4"/>
        <v>2.9968331041958294</v>
      </c>
      <c r="N36" s="162">
        <f>+N35-N57</f>
        <v>1557189212.8200002</v>
      </c>
      <c r="O36" s="247">
        <f t="shared" si="5"/>
        <v>39.380638632846093</v>
      </c>
      <c r="P36" s="91">
        <f t="shared" ref="P36:P75" si="9">+D36-N36</f>
        <v>-9145703.4300000668</v>
      </c>
      <c r="Q36" s="247">
        <f t="shared" si="0"/>
        <v>-0.58732126800683204</v>
      </c>
      <c r="R36" s="218"/>
      <c r="CB36" s="161"/>
      <c r="CC36" s="161"/>
      <c r="CD36" s="145"/>
      <c r="CE36" s="145"/>
      <c r="CF36" s="145"/>
      <c r="CG36" s="142"/>
    </row>
    <row r="37" spans="1:85" ht="13.5" customHeight="1" thickTop="1">
      <c r="A37" s="80">
        <v>41</v>
      </c>
      <c r="B37" s="80">
        <v>41</v>
      </c>
      <c r="C37" s="93" t="s">
        <v>62</v>
      </c>
      <c r="D37" s="94">
        <f>+SUM(D38:D47)</f>
        <v>778609423.11000013</v>
      </c>
      <c r="E37" s="245">
        <f t="shared" si="1"/>
        <v>18.529055070321984</v>
      </c>
      <c r="F37" s="94">
        <f>+SUM(F38:F47)</f>
        <v>738051705.26999998</v>
      </c>
      <c r="G37" s="253">
        <f t="shared" si="1"/>
        <v>17.563877710430496</v>
      </c>
      <c r="H37" s="205">
        <f t="shared" si="7"/>
        <v>40557717.840000153</v>
      </c>
      <c r="I37" s="258">
        <f t="shared" si="8"/>
        <v>5.4952407196407762</v>
      </c>
      <c r="J37" s="94">
        <f>+SUM(J38:J47)</f>
        <v>750959296.71999979</v>
      </c>
      <c r="K37" s="253">
        <f t="shared" si="2"/>
        <v>17.871047731372407</v>
      </c>
      <c r="L37" s="205">
        <f t="shared" si="3"/>
        <v>27650126.390000343</v>
      </c>
      <c r="M37" s="258">
        <f t="shared" si="4"/>
        <v>3.6819740445013736</v>
      </c>
      <c r="N37" s="94">
        <f>+SUM(N38:N47)</f>
        <v>739361964.83000004</v>
      </c>
      <c r="O37" s="245">
        <f t="shared" si="5"/>
        <v>18.698142856456425</v>
      </c>
      <c r="P37" s="205">
        <f t="shared" si="9"/>
        <v>39247458.280000091</v>
      </c>
      <c r="Q37" s="258">
        <f t="shared" si="0"/>
        <v>5.3082874352380571</v>
      </c>
      <c r="CB37" s="161"/>
      <c r="CC37" s="161"/>
      <c r="CD37" s="145"/>
      <c r="CE37" s="145"/>
      <c r="CF37" s="145"/>
      <c r="CG37" s="142"/>
    </row>
    <row r="38" spans="1:85" ht="13.5" customHeight="1">
      <c r="B38" s="80">
        <v>411</v>
      </c>
      <c r="C38" s="93" t="s">
        <v>63</v>
      </c>
      <c r="D38" s="154">
        <v>445373306.70000005</v>
      </c>
      <c r="E38" s="245">
        <f t="shared" si="1"/>
        <v>10.598826936531736</v>
      </c>
      <c r="F38" s="154">
        <v>439137191.45000005</v>
      </c>
      <c r="G38" s="253">
        <f t="shared" si="1"/>
        <v>10.450422204374005</v>
      </c>
      <c r="H38" s="207">
        <f t="shared" si="7"/>
        <v>6236115.25</v>
      </c>
      <c r="I38" s="258">
        <f t="shared" si="8"/>
        <v>1.4200836028961135</v>
      </c>
      <c r="J38" s="154">
        <v>438246239.97999996</v>
      </c>
      <c r="K38" s="253">
        <f t="shared" si="2"/>
        <v>10.429219675400395</v>
      </c>
      <c r="L38" s="207">
        <f t="shared" si="3"/>
        <v>7127066.7200000882</v>
      </c>
      <c r="M38" s="258">
        <f t="shared" si="4"/>
        <v>1.6262699071474884</v>
      </c>
      <c r="N38" s="154">
        <v>422490767.01999998</v>
      </c>
      <c r="O38" s="245">
        <f t="shared" si="5"/>
        <v>10.684607936371453</v>
      </c>
      <c r="P38" s="207">
        <f t="shared" si="9"/>
        <v>22882539.680000067</v>
      </c>
      <c r="Q38" s="258">
        <f t="shared" si="0"/>
        <v>5.4161040823211408</v>
      </c>
      <c r="CB38" s="161"/>
      <c r="CC38" s="161"/>
      <c r="CD38" s="145"/>
      <c r="CE38" s="145"/>
      <c r="CF38" s="145"/>
      <c r="CG38" s="142"/>
    </row>
    <row r="39" spans="1:85" ht="13.5" customHeight="1">
      <c r="B39" s="80">
        <v>412</v>
      </c>
      <c r="C39" s="93" t="s">
        <v>74</v>
      </c>
      <c r="D39" s="154">
        <v>10648738.729999999</v>
      </c>
      <c r="E39" s="245">
        <f t="shared" si="1"/>
        <v>0.25341469098783936</v>
      </c>
      <c r="F39" s="154">
        <v>10083960.970000001</v>
      </c>
      <c r="G39" s="253">
        <f t="shared" si="1"/>
        <v>0.23997432164869947</v>
      </c>
      <c r="H39" s="207">
        <f t="shared" si="7"/>
        <v>564777.75999999791</v>
      </c>
      <c r="I39" s="258">
        <f t="shared" si="8"/>
        <v>5.600753133418749</v>
      </c>
      <c r="J39" s="154">
        <v>10188146.970000004</v>
      </c>
      <c r="K39" s="253">
        <f t="shared" si="2"/>
        <v>0.24245370100663965</v>
      </c>
      <c r="L39" s="207">
        <f t="shared" si="3"/>
        <v>460591.75999999419</v>
      </c>
      <c r="M39" s="258">
        <f t="shared" si="4"/>
        <v>4.5208590075923638</v>
      </c>
      <c r="N39" s="154">
        <v>10906112.039999999</v>
      </c>
      <c r="O39" s="245">
        <f t="shared" si="5"/>
        <v>0.2758108350614536</v>
      </c>
      <c r="P39" s="207">
        <f t="shared" si="9"/>
        <v>-257373.31000000052</v>
      </c>
      <c r="Q39" s="258">
        <f t="shared" si="0"/>
        <v>-2.3598997429701853</v>
      </c>
      <c r="R39" s="218"/>
      <c r="CB39" s="161"/>
      <c r="CC39" s="161"/>
      <c r="CD39" s="145"/>
      <c r="CE39" s="145"/>
      <c r="CF39" s="145"/>
      <c r="CG39" s="142"/>
    </row>
    <row r="40" spans="1:85" ht="13.5" customHeight="1">
      <c r="B40" s="80">
        <v>413</v>
      </c>
      <c r="C40" s="93" t="s">
        <v>428</v>
      </c>
      <c r="D40" s="154">
        <v>29263150.719999999</v>
      </c>
      <c r="E40" s="245">
        <f t="shared" si="1"/>
        <v>0.6963934870659908</v>
      </c>
      <c r="F40" s="154">
        <v>29226302.879999999</v>
      </c>
      <c r="G40" s="253">
        <f t="shared" si="1"/>
        <v>0.69551659598772042</v>
      </c>
      <c r="H40" s="207">
        <f t="shared" si="7"/>
        <v>36847.839999999851</v>
      </c>
      <c r="I40" s="258">
        <f t="shared" si="8"/>
        <v>0.12607766418932442</v>
      </c>
      <c r="J40" s="154">
        <v>29597112.899999995</v>
      </c>
      <c r="K40" s="253">
        <f t="shared" si="2"/>
        <v>0.70434099378881976</v>
      </c>
      <c r="L40" s="207">
        <f t="shared" si="3"/>
        <v>-333962.17999999598</v>
      </c>
      <c r="M40" s="258">
        <f t="shared" si="4"/>
        <v>-1.1283606652052782</v>
      </c>
      <c r="N40" s="154">
        <v>31295356.900000002</v>
      </c>
      <c r="O40" s="245">
        <f t="shared" si="5"/>
        <v>0.79144597895908153</v>
      </c>
      <c r="P40" s="207">
        <f t="shared" si="9"/>
        <v>-2032206.1800000034</v>
      </c>
      <c r="Q40" s="258">
        <f t="shared" si="0"/>
        <v>-6.4936347794135685</v>
      </c>
      <c r="CB40" s="161"/>
      <c r="CC40" s="161"/>
      <c r="CD40" s="145"/>
      <c r="CE40" s="145"/>
      <c r="CF40" s="145"/>
      <c r="CG40" s="142"/>
    </row>
    <row r="41" spans="1:85" ht="13.5" customHeight="1">
      <c r="B41" s="80">
        <v>414</v>
      </c>
      <c r="C41" s="93" t="s">
        <v>429</v>
      </c>
      <c r="D41" s="154">
        <v>66738764.819999993</v>
      </c>
      <c r="E41" s="245">
        <f t="shared" si="1"/>
        <v>1.5882240979510243</v>
      </c>
      <c r="F41" s="154">
        <v>49907266.939999998</v>
      </c>
      <c r="G41" s="253">
        <f t="shared" si="1"/>
        <v>1.1876744232645582</v>
      </c>
      <c r="H41" s="207">
        <f t="shared" si="7"/>
        <v>16831497.879999995</v>
      </c>
      <c r="I41" s="258">
        <f t="shared" si="8"/>
        <v>33.725545220168698</v>
      </c>
      <c r="J41" s="154">
        <v>53024750.940000013</v>
      </c>
      <c r="K41" s="253">
        <f t="shared" si="2"/>
        <v>1.261863138430785</v>
      </c>
      <c r="L41" s="207">
        <f t="shared" si="3"/>
        <v>13714013.87999998</v>
      </c>
      <c r="M41" s="258">
        <f t="shared" si="4"/>
        <v>25.863419699072281</v>
      </c>
      <c r="N41" s="154">
        <v>59827010.189999998</v>
      </c>
      <c r="O41" s="245">
        <f t="shared" si="5"/>
        <v>1.5129990943806584</v>
      </c>
      <c r="P41" s="207">
        <f t="shared" si="9"/>
        <v>6911754.6299999952</v>
      </c>
      <c r="Q41" s="258">
        <f t="shared" si="0"/>
        <v>11.552899949453405</v>
      </c>
      <c r="CB41" s="161"/>
      <c r="CC41" s="161"/>
      <c r="CD41" s="145"/>
      <c r="CE41" s="145"/>
      <c r="CF41" s="145"/>
      <c r="CG41" s="142"/>
    </row>
    <row r="42" spans="1:85" ht="13.5" customHeight="1">
      <c r="B42" s="80">
        <v>415</v>
      </c>
      <c r="C42" s="93" t="s">
        <v>430</v>
      </c>
      <c r="D42" s="154">
        <v>20224989.950000003</v>
      </c>
      <c r="E42" s="245">
        <f t="shared" si="1"/>
        <v>0.48130672639870553</v>
      </c>
      <c r="F42" s="154">
        <v>20636969.719999999</v>
      </c>
      <c r="G42" s="253">
        <f t="shared" si="1"/>
        <v>0.49111086647152613</v>
      </c>
      <c r="H42" s="207">
        <f t="shared" si="7"/>
        <v>-411979.76999999583</v>
      </c>
      <c r="I42" s="258">
        <f t="shared" si="8"/>
        <v>-1.9963191088114627</v>
      </c>
      <c r="J42" s="154">
        <v>21226969.68</v>
      </c>
      <c r="K42" s="253">
        <f t="shared" si="2"/>
        <v>0.50515146426786606</v>
      </c>
      <c r="L42" s="207">
        <f t="shared" si="3"/>
        <v>-1001979.7299999967</v>
      </c>
      <c r="M42" s="258">
        <f t="shared" si="4"/>
        <v>-4.7203145107615541</v>
      </c>
      <c r="N42" s="154">
        <v>20452287.48</v>
      </c>
      <c r="O42" s="245">
        <f t="shared" si="5"/>
        <v>0.51722946436700223</v>
      </c>
      <c r="P42" s="207">
        <f t="shared" si="9"/>
        <v>-227297.52999999747</v>
      </c>
      <c r="Q42" s="258">
        <f t="shared" si="0"/>
        <v>-1.1113550512248054</v>
      </c>
      <c r="CB42" s="161"/>
      <c r="CC42" s="161"/>
      <c r="CD42" s="145"/>
      <c r="CE42" s="145"/>
      <c r="CF42" s="145"/>
      <c r="CG42" s="142"/>
    </row>
    <row r="43" spans="1:85" ht="15" customHeight="1">
      <c r="B43" s="80">
        <v>416</v>
      </c>
      <c r="C43" s="93" t="s">
        <v>79</v>
      </c>
      <c r="D43" s="154">
        <v>98705378.580000013</v>
      </c>
      <c r="E43" s="245">
        <f t="shared" si="1"/>
        <v>2.3489535846362535</v>
      </c>
      <c r="F43" s="154">
        <v>95363625.909999996</v>
      </c>
      <c r="G43" s="253">
        <f t="shared" si="1"/>
        <v>2.269427807762785</v>
      </c>
      <c r="H43" s="207">
        <f t="shared" si="7"/>
        <v>3341752.6700000167</v>
      </c>
      <c r="I43" s="258">
        <f t="shared" si="8"/>
        <v>3.5042214870833561</v>
      </c>
      <c r="J43" s="154">
        <v>95363625.910000011</v>
      </c>
      <c r="K43" s="253">
        <f t="shared" si="2"/>
        <v>2.2694278077627854</v>
      </c>
      <c r="L43" s="207">
        <f t="shared" si="3"/>
        <v>3341752.6700000018</v>
      </c>
      <c r="M43" s="258">
        <f t="shared" si="4"/>
        <v>3.5042214870833419</v>
      </c>
      <c r="N43" s="154">
        <v>81576080.650000006</v>
      </c>
      <c r="O43" s="245">
        <f t="shared" si="5"/>
        <v>2.0630236368924182</v>
      </c>
      <c r="P43" s="207">
        <f t="shared" si="9"/>
        <v>17129297.930000007</v>
      </c>
      <c r="Q43" s="258">
        <f t="shared" si="0"/>
        <v>20.997941790673664</v>
      </c>
      <c r="CB43" s="161"/>
      <c r="CC43" s="161"/>
      <c r="CD43" s="145"/>
      <c r="CE43" s="145"/>
      <c r="CF43" s="145"/>
      <c r="CG43" s="142"/>
    </row>
    <row r="44" spans="1:85" ht="13.5" customHeight="1">
      <c r="B44" s="80">
        <v>417</v>
      </c>
      <c r="C44" s="93" t="s">
        <v>81</v>
      </c>
      <c r="D44" s="154">
        <v>9120340.8300000001</v>
      </c>
      <c r="E44" s="245">
        <f t="shared" si="1"/>
        <v>0.21704245091739843</v>
      </c>
      <c r="F44" s="154">
        <v>9103779.5199999996</v>
      </c>
      <c r="G44" s="253">
        <f t="shared" si="1"/>
        <v>0.21664833107255896</v>
      </c>
      <c r="H44" s="207">
        <f t="shared" si="7"/>
        <v>16561.310000000522</v>
      </c>
      <c r="I44" s="258">
        <f t="shared" si="8"/>
        <v>0.18191686171240917</v>
      </c>
      <c r="J44" s="154">
        <v>9323779.5200000014</v>
      </c>
      <c r="K44" s="253">
        <f t="shared" si="2"/>
        <v>0.22188380857190454</v>
      </c>
      <c r="L44" s="207">
        <f t="shared" si="3"/>
        <v>-203438.69000000134</v>
      </c>
      <c r="M44" s="258">
        <f t="shared" si="4"/>
        <v>-2.181933727235986</v>
      </c>
      <c r="N44" s="154">
        <v>9216029.3300000001</v>
      </c>
      <c r="O44" s="245">
        <f t="shared" si="5"/>
        <v>0.23306937762379243</v>
      </c>
      <c r="P44" s="207">
        <f t="shared" si="9"/>
        <v>-95688.5</v>
      </c>
      <c r="Q44" s="258">
        <f t="shared" si="0"/>
        <v>-1.0382833710013841</v>
      </c>
      <c r="CB44" s="161"/>
      <c r="CC44" s="161"/>
      <c r="CD44" s="145"/>
      <c r="CE44" s="145"/>
      <c r="CF44" s="145"/>
      <c r="CG44" s="142"/>
    </row>
    <row r="45" spans="1:85" ht="13.5" customHeight="1">
      <c r="B45" s="80">
        <v>418</v>
      </c>
      <c r="C45" s="93" t="s">
        <v>83</v>
      </c>
      <c r="D45" s="154">
        <v>27803826.270000003</v>
      </c>
      <c r="E45" s="245">
        <f t="shared" si="1"/>
        <v>0.66166503105590069</v>
      </c>
      <c r="F45" s="154">
        <v>27339607.030000001</v>
      </c>
      <c r="G45" s="253">
        <f t="shared" si="1"/>
        <v>0.65061771566597659</v>
      </c>
      <c r="H45" s="207">
        <f t="shared" si="7"/>
        <v>464219.24000000209</v>
      </c>
      <c r="I45" s="258">
        <f t="shared" si="8"/>
        <v>1.6979733450104533</v>
      </c>
      <c r="J45" s="154">
        <v>24921799.98</v>
      </c>
      <c r="K45" s="253">
        <f t="shared" si="2"/>
        <v>0.59307965017491249</v>
      </c>
      <c r="L45" s="207">
        <f t="shared" si="3"/>
        <v>2882026.2900000028</v>
      </c>
      <c r="M45" s="258">
        <f t="shared" si="4"/>
        <v>11.56427823155974</v>
      </c>
      <c r="N45" s="154">
        <v>27120821.130000003</v>
      </c>
      <c r="O45" s="245">
        <f t="shared" si="5"/>
        <v>0.68587378306610691</v>
      </c>
      <c r="P45" s="207">
        <f t="shared" si="9"/>
        <v>683005.1400000006</v>
      </c>
      <c r="Q45" s="258">
        <f t="shared" si="0"/>
        <v>2.5183792803547931</v>
      </c>
      <c r="CB45" s="161"/>
      <c r="CC45" s="161"/>
      <c r="CD45" s="145"/>
      <c r="CE45" s="145"/>
      <c r="CF45" s="145"/>
      <c r="CG45" s="142"/>
    </row>
    <row r="46" spans="1:85" ht="13.5" customHeight="1">
      <c r="B46" s="80">
        <v>419</v>
      </c>
      <c r="C46" s="93" t="s">
        <v>85</v>
      </c>
      <c r="D46" s="154">
        <v>38311275</v>
      </c>
      <c r="E46" s="245">
        <f t="shared" si="1"/>
        <v>0.91171735560791034</v>
      </c>
      <c r="F46" s="154">
        <v>32845247.539999999</v>
      </c>
      <c r="G46" s="253">
        <f t="shared" si="1"/>
        <v>0.78163888389138769</v>
      </c>
      <c r="H46" s="207">
        <f t="shared" si="7"/>
        <v>5466027.4600000009</v>
      </c>
      <c r="I46" s="258">
        <f t="shared" si="8"/>
        <v>16.641760587565372</v>
      </c>
      <c r="J46" s="154">
        <v>32959947.539999999</v>
      </c>
      <c r="K46" s="253">
        <f t="shared" si="2"/>
        <v>0.78436847147854638</v>
      </c>
      <c r="L46" s="207">
        <f t="shared" si="3"/>
        <v>5351327.4600000009</v>
      </c>
      <c r="M46" s="258">
        <f t="shared" si="4"/>
        <v>16.235849445772516</v>
      </c>
      <c r="N46" s="154">
        <v>34388227.020000003</v>
      </c>
      <c r="O46" s="245">
        <f>+N45/$N$11*100</f>
        <v>0.68587378306610691</v>
      </c>
      <c r="P46" s="207">
        <f t="shared" si="9"/>
        <v>3923047.9799999967</v>
      </c>
      <c r="Q46" s="258">
        <f t="shared" si="0"/>
        <v>11.408113531757166</v>
      </c>
      <c r="CB46" s="161"/>
      <c r="CC46" s="161"/>
      <c r="CD46" s="145"/>
      <c r="CE46" s="145"/>
      <c r="CF46" s="145"/>
      <c r="CG46" s="142"/>
    </row>
    <row r="47" spans="1:85" ht="13.5" customHeight="1">
      <c r="B47" s="80">
        <v>441</v>
      </c>
      <c r="C47" s="93" t="s">
        <v>129</v>
      </c>
      <c r="D47" s="166">
        <v>32419651.509999998</v>
      </c>
      <c r="E47" s="248">
        <f t="shared" si="1"/>
        <v>0.77151070916922493</v>
      </c>
      <c r="F47" s="154">
        <v>24407753.310000002</v>
      </c>
      <c r="G47" s="253">
        <f t="shared" si="1"/>
        <v>0.5808465602912829</v>
      </c>
      <c r="H47" s="207">
        <f t="shared" si="7"/>
        <v>8011898.1999999955</v>
      </c>
      <c r="I47" s="260">
        <f t="shared" si="8"/>
        <v>32.825217865166934</v>
      </c>
      <c r="J47" s="154">
        <v>36106923.299999997</v>
      </c>
      <c r="K47" s="253">
        <f t="shared" si="2"/>
        <v>0.85925902048975511</v>
      </c>
      <c r="L47" s="207">
        <f t="shared" si="3"/>
        <v>-3687271.7899999991</v>
      </c>
      <c r="M47" s="260">
        <f t="shared" si="4"/>
        <v>-10.212090793124986</v>
      </c>
      <c r="N47" s="154">
        <v>42089273.07</v>
      </c>
      <c r="O47" s="248">
        <f>+N46/$N$11*100</f>
        <v>0.86966332051995354</v>
      </c>
      <c r="P47" s="207">
        <f t="shared" si="9"/>
        <v>-9669621.5600000024</v>
      </c>
      <c r="Q47" s="260">
        <f t="shared" si="0"/>
        <v>-22.974075945474638</v>
      </c>
      <c r="CB47" s="161"/>
      <c r="CC47" s="161"/>
      <c r="CD47" s="145"/>
      <c r="CE47" s="145"/>
      <c r="CF47" s="145"/>
      <c r="CG47" s="142"/>
    </row>
    <row r="48" spans="1:85" ht="13.5" customHeight="1">
      <c r="A48" s="80">
        <v>42</v>
      </c>
      <c r="B48" s="80">
        <v>42</v>
      </c>
      <c r="C48" s="93" t="s">
        <v>86</v>
      </c>
      <c r="D48" s="154">
        <f>+SUM(D49:D53)</f>
        <v>538050896.17999995</v>
      </c>
      <c r="E48" s="245">
        <f t="shared" si="1"/>
        <v>12.804333456605029</v>
      </c>
      <c r="F48" s="154">
        <f>+SUM(F49:F53)</f>
        <v>562418105</v>
      </c>
      <c r="G48" s="253">
        <f t="shared" si="1"/>
        <v>13.384215154327597</v>
      </c>
      <c r="H48" s="205">
        <f t="shared" si="7"/>
        <v>-24367208.820000052</v>
      </c>
      <c r="I48" s="258">
        <f t="shared" si="8"/>
        <v>-4.3325790196601162</v>
      </c>
      <c r="J48" s="154">
        <f>+SUM(J49:J53)</f>
        <v>570918105</v>
      </c>
      <c r="K48" s="253">
        <f t="shared" si="2"/>
        <v>13.586494966802313</v>
      </c>
      <c r="L48" s="205">
        <f t="shared" si="3"/>
        <v>-32867208.820000052</v>
      </c>
      <c r="M48" s="258">
        <f t="shared" si="4"/>
        <v>-5.7569042796427112</v>
      </c>
      <c r="N48" s="154">
        <f>+SUM(N49:N53)</f>
        <v>554983220.35000002</v>
      </c>
      <c r="O48" s="245">
        <f t="shared" si="5"/>
        <v>14.035284516463509</v>
      </c>
      <c r="P48" s="205">
        <f t="shared" si="9"/>
        <v>-16932324.170000076</v>
      </c>
      <c r="Q48" s="258">
        <f t="shared" si="0"/>
        <v>-3.0509614613792593</v>
      </c>
      <c r="CB48" s="161"/>
      <c r="CC48" s="161"/>
      <c r="CD48" s="145"/>
      <c r="CE48" s="145"/>
      <c r="CF48" s="145"/>
      <c r="CG48" s="142"/>
    </row>
    <row r="49" spans="1:85" ht="13.5" customHeight="1">
      <c r="B49" s="80">
        <v>421</v>
      </c>
      <c r="C49" s="97" t="s">
        <v>88</v>
      </c>
      <c r="D49" s="156">
        <v>98704880.719999999</v>
      </c>
      <c r="E49" s="246">
        <f t="shared" si="1"/>
        <v>2.348941736750672</v>
      </c>
      <c r="F49" s="156">
        <v>112415625</v>
      </c>
      <c r="G49" s="254">
        <f t="shared" si="1"/>
        <v>2.6752248875562219</v>
      </c>
      <c r="H49" s="208">
        <f t="shared" si="7"/>
        <v>-13710744.280000001</v>
      </c>
      <c r="I49" s="259">
        <f t="shared" si="8"/>
        <v>-12.196475605593079</v>
      </c>
      <c r="J49" s="156">
        <v>114715625.00000001</v>
      </c>
      <c r="K49" s="254">
        <f t="shared" si="2"/>
        <v>2.7299594250493802</v>
      </c>
      <c r="L49" s="208">
        <f t="shared" si="3"/>
        <v>-16010744.280000016</v>
      </c>
      <c r="M49" s="259">
        <f t="shared" si="4"/>
        <v>-13.956899315154331</v>
      </c>
      <c r="N49" s="156">
        <v>114054928.72</v>
      </c>
      <c r="O49" s="246">
        <f t="shared" si="5"/>
        <v>2.8843995933437863</v>
      </c>
      <c r="P49" s="208">
        <f t="shared" si="9"/>
        <v>-15350048</v>
      </c>
      <c r="Q49" s="259">
        <f t="shared" si="0"/>
        <v>-13.45846967971346</v>
      </c>
      <c r="CB49" s="161"/>
      <c r="CC49" s="161"/>
      <c r="CD49" s="145"/>
      <c r="CE49" s="145"/>
      <c r="CF49" s="145"/>
      <c r="CG49" s="142"/>
    </row>
    <row r="50" spans="1:85" ht="13.5" customHeight="1">
      <c r="B50" s="80">
        <v>422</v>
      </c>
      <c r="C50" s="97" t="s">
        <v>90</v>
      </c>
      <c r="D50" s="156">
        <v>12968450.790000001</v>
      </c>
      <c r="E50" s="246">
        <f t="shared" si="1"/>
        <v>0.30861832869279648</v>
      </c>
      <c r="F50" s="156">
        <v>15396480</v>
      </c>
      <c r="G50" s="254">
        <f t="shared" si="1"/>
        <v>0.36639965731420004</v>
      </c>
      <c r="H50" s="208">
        <f t="shared" si="7"/>
        <v>-2428029.209999999</v>
      </c>
      <c r="I50" s="259">
        <f t="shared" si="8"/>
        <v>-15.770028019391432</v>
      </c>
      <c r="J50" s="156">
        <v>20596480</v>
      </c>
      <c r="K50" s="254">
        <f t="shared" si="2"/>
        <v>0.49014730729873157</v>
      </c>
      <c r="L50" s="208">
        <f t="shared" si="3"/>
        <v>-7628029.209999999</v>
      </c>
      <c r="M50" s="259">
        <f t="shared" si="4"/>
        <v>-37.035596422301289</v>
      </c>
      <c r="N50" s="156">
        <v>22568289.629999999</v>
      </c>
      <c r="O50" s="246">
        <f t="shared" si="5"/>
        <v>0.57074223939102731</v>
      </c>
      <c r="P50" s="208">
        <f t="shared" si="9"/>
        <v>-9599838.839999998</v>
      </c>
      <c r="Q50" s="259">
        <f t="shared" si="0"/>
        <v>-42.53684704240478</v>
      </c>
      <c r="CB50" s="161"/>
      <c r="CC50" s="161"/>
      <c r="CD50" s="145"/>
      <c r="CE50" s="145"/>
      <c r="CF50" s="145"/>
      <c r="CG50" s="142"/>
    </row>
    <row r="51" spans="1:85" ht="13.5" customHeight="1">
      <c r="B51" s="80">
        <v>423</v>
      </c>
      <c r="C51" s="97" t="s">
        <v>92</v>
      </c>
      <c r="D51" s="156">
        <v>401263898.76999998</v>
      </c>
      <c r="E51" s="246">
        <f t="shared" si="1"/>
        <v>9.5491277877727789</v>
      </c>
      <c r="F51" s="156">
        <v>410150000</v>
      </c>
      <c r="G51" s="254">
        <f t="shared" si="1"/>
        <v>9.7605958925299259</v>
      </c>
      <c r="H51" s="208">
        <f t="shared" si="7"/>
        <v>-8886101.2300000191</v>
      </c>
      <c r="I51" s="259">
        <f t="shared" si="8"/>
        <v>-2.1665491234914072</v>
      </c>
      <c r="J51" s="156">
        <v>411150000</v>
      </c>
      <c r="K51" s="254">
        <f t="shared" si="2"/>
        <v>9.7843935175269507</v>
      </c>
      <c r="L51" s="208">
        <f t="shared" si="3"/>
        <v>-9886101.2300000191</v>
      </c>
      <c r="M51" s="259">
        <f t="shared" si="4"/>
        <v>-2.4044998735254808</v>
      </c>
      <c r="N51" s="156">
        <v>390815475.43000001</v>
      </c>
      <c r="O51" s="246">
        <f t="shared" si="5"/>
        <v>9.8835535741742966</v>
      </c>
      <c r="P51" s="208">
        <f t="shared" si="9"/>
        <v>10448423.339999974</v>
      </c>
      <c r="Q51" s="259">
        <f t="shared" si="0"/>
        <v>2.6734927342638883</v>
      </c>
      <c r="CB51" s="161"/>
      <c r="CC51" s="161"/>
      <c r="CD51" s="145"/>
      <c r="CE51" s="145"/>
      <c r="CF51" s="145"/>
      <c r="CG51" s="142"/>
    </row>
    <row r="52" spans="1:85" ht="13.5" customHeight="1">
      <c r="B52" s="80">
        <v>424</v>
      </c>
      <c r="C52" s="97" t="s">
        <v>94</v>
      </c>
      <c r="D52" s="156">
        <v>16489379.109999999</v>
      </c>
      <c r="E52" s="246">
        <f t="shared" si="1"/>
        <v>0.39240806049356275</v>
      </c>
      <c r="F52" s="156">
        <v>15931000</v>
      </c>
      <c r="G52" s="254">
        <f t="shared" si="1"/>
        <v>0.37911996382761004</v>
      </c>
      <c r="H52" s="208">
        <f t="shared" si="7"/>
        <v>558379.1099999994</v>
      </c>
      <c r="I52" s="259">
        <f t="shared" si="8"/>
        <v>3.5049846839495302</v>
      </c>
      <c r="J52" s="156">
        <v>15931000.000000002</v>
      </c>
      <c r="K52" s="254">
        <f t="shared" si="2"/>
        <v>0.37911996382761004</v>
      </c>
      <c r="L52" s="208">
        <f t="shared" si="3"/>
        <v>558379.10999999754</v>
      </c>
      <c r="M52" s="259">
        <f t="shared" si="4"/>
        <v>3.5049846839495018</v>
      </c>
      <c r="N52" s="156">
        <v>16279749.999999996</v>
      </c>
      <c r="O52" s="246">
        <f t="shared" si="5"/>
        <v>0.41170780435992099</v>
      </c>
      <c r="P52" s="208">
        <f t="shared" si="9"/>
        <v>209629.11000000313</v>
      </c>
      <c r="Q52" s="259">
        <f t="shared" si="0"/>
        <v>1.287667869592596</v>
      </c>
      <c r="CB52" s="161"/>
      <c r="CC52" s="161"/>
      <c r="CD52" s="145"/>
      <c r="CE52" s="145"/>
      <c r="CF52" s="145"/>
      <c r="CG52" s="142"/>
    </row>
    <row r="53" spans="1:85" ht="13.5" customHeight="1">
      <c r="B53" s="80">
        <v>425</v>
      </c>
      <c r="C53" s="97" t="s">
        <v>431</v>
      </c>
      <c r="D53" s="156">
        <v>8624286.790000001</v>
      </c>
      <c r="E53" s="246">
        <f t="shared" si="1"/>
        <v>0.20523754289521909</v>
      </c>
      <c r="F53" s="156">
        <v>8525000</v>
      </c>
      <c r="G53" s="254">
        <f t="shared" si="1"/>
        <v>0.20287475309964065</v>
      </c>
      <c r="H53" s="208">
        <f t="shared" si="7"/>
        <v>99286.790000000969</v>
      </c>
      <c r="I53" s="259">
        <f t="shared" si="8"/>
        <v>1.1646544281525024</v>
      </c>
      <c r="J53" s="156">
        <v>8525000.0000000019</v>
      </c>
      <c r="K53" s="254">
        <f t="shared" si="2"/>
        <v>0.2028747530996407</v>
      </c>
      <c r="L53" s="208">
        <f t="shared" si="3"/>
        <v>99286.789999999106</v>
      </c>
      <c r="M53" s="259">
        <f t="shared" si="4"/>
        <v>1.164654428152474</v>
      </c>
      <c r="N53" s="156">
        <v>11264776.57</v>
      </c>
      <c r="O53" s="246">
        <f t="shared" si="5"/>
        <v>0.28488130519447674</v>
      </c>
      <c r="P53" s="208">
        <f t="shared" si="9"/>
        <v>-2640489.7799999993</v>
      </c>
      <c r="Q53" s="259">
        <f t="shared" si="0"/>
        <v>-23.440232157218887</v>
      </c>
      <c r="CB53" s="161"/>
      <c r="CC53" s="161"/>
      <c r="CD53" s="145"/>
      <c r="CE53" s="145"/>
      <c r="CF53" s="145"/>
      <c r="CG53" s="142"/>
    </row>
    <row r="54" spans="1:85" ht="13.5" customHeight="1" thickBot="1">
      <c r="A54" s="80">
        <v>43</v>
      </c>
      <c r="B54" s="80">
        <v>431</v>
      </c>
      <c r="C54" s="93" t="s">
        <v>432</v>
      </c>
      <c r="D54" s="154">
        <f>SUM(D55:D56)</f>
        <v>166881124.75999999</v>
      </c>
      <c r="E54" s="245">
        <f t="shared" si="1"/>
        <v>3.9713744261202728</v>
      </c>
      <c r="F54" s="154">
        <f>SUM(F55:F56)</f>
        <v>167760308.30000001</v>
      </c>
      <c r="G54" s="253">
        <f t="shared" si="1"/>
        <v>3.9922969063087512</v>
      </c>
      <c r="H54" s="94">
        <f t="shared" si="7"/>
        <v>-879183.54000002146</v>
      </c>
      <c r="I54" s="245">
        <f t="shared" si="8"/>
        <v>-0.52407124719144349</v>
      </c>
      <c r="J54" s="154">
        <f>SUM(J55:J56)</f>
        <v>164400000</v>
      </c>
      <c r="K54" s="253">
        <f t="shared" si="2"/>
        <v>3.9123295495109587</v>
      </c>
      <c r="L54" s="94">
        <f t="shared" si="3"/>
        <v>2481124.7599999905</v>
      </c>
      <c r="M54" s="245">
        <f t="shared" si="4"/>
        <v>1.509199975669091</v>
      </c>
      <c r="N54" s="154">
        <v>171815385.72</v>
      </c>
      <c r="O54" s="245">
        <f t="shared" si="5"/>
        <v>4.3451364554144956</v>
      </c>
      <c r="P54" s="205">
        <f t="shared" si="9"/>
        <v>-4934260.9600000083</v>
      </c>
      <c r="Q54" s="258">
        <f t="shared" si="0"/>
        <v>-2.871838828241593</v>
      </c>
      <c r="CB54" s="161"/>
      <c r="CC54" s="161"/>
      <c r="CD54" s="145"/>
      <c r="CE54" s="145"/>
      <c r="CF54" s="145"/>
      <c r="CG54" s="142"/>
    </row>
    <row r="55" spans="1:85" ht="13.5" hidden="1" customHeight="1">
      <c r="C55" s="243" t="s">
        <v>432</v>
      </c>
      <c r="D55" s="301">
        <v>164834834.72999999</v>
      </c>
      <c r="E55" s="245">
        <f t="shared" si="1"/>
        <v>3.9226775833511813</v>
      </c>
      <c r="F55" s="301">
        <v>165952808.30000001</v>
      </c>
      <c r="G55" s="253">
        <f t="shared" si="1"/>
        <v>3.949282699126627</v>
      </c>
      <c r="H55" s="94">
        <f t="shared" si="7"/>
        <v>-1117973.5700000226</v>
      </c>
      <c r="I55" s="245">
        <f t="shared" si="8"/>
        <v>-0.67366956995329019</v>
      </c>
      <c r="J55" s="301">
        <v>162699999.96000001</v>
      </c>
      <c r="K55" s="253">
        <f t="shared" si="2"/>
        <v>3.8718735860641109</v>
      </c>
      <c r="L55" s="94">
        <f t="shared" si="3"/>
        <v>2134834.7699999809</v>
      </c>
      <c r="M55" s="245">
        <f t="shared" si="4"/>
        <v>1.3121295454977542</v>
      </c>
      <c r="N55" s="301">
        <v>170621786.5</v>
      </c>
      <c r="O55" s="245">
        <f t="shared" si="5"/>
        <v>4.3149508497294011</v>
      </c>
      <c r="P55" s="205">
        <f t="shared" si="9"/>
        <v>-5786951.7700000107</v>
      </c>
      <c r="Q55" s="258">
        <f t="shared" si="0"/>
        <v>-3.3916839629386999</v>
      </c>
      <c r="CB55" s="161"/>
      <c r="CC55" s="161"/>
      <c r="CD55" s="145"/>
      <c r="CE55" s="145"/>
      <c r="CF55" s="145"/>
      <c r="CG55" s="142"/>
    </row>
    <row r="56" spans="1:85" ht="13.5" hidden="1" customHeight="1" thickBot="1">
      <c r="C56" s="243" t="s">
        <v>466</v>
      </c>
      <c r="D56" s="301">
        <v>2046290.03</v>
      </c>
      <c r="E56" s="245">
        <f t="shared" si="1"/>
        <v>4.8696842769091642E-2</v>
      </c>
      <c r="F56" s="301">
        <v>1807500</v>
      </c>
      <c r="G56" s="253">
        <f t="shared" si="1"/>
        <v>4.3014207182123225E-2</v>
      </c>
      <c r="H56" s="94">
        <f t="shared" si="7"/>
        <v>238790.03000000003</v>
      </c>
      <c r="I56" s="245">
        <f t="shared" si="8"/>
        <v>13.211066666666667</v>
      </c>
      <c r="J56" s="301">
        <v>1700000.04</v>
      </c>
      <c r="K56" s="253">
        <f t="shared" si="2"/>
        <v>4.0455963446848008E-2</v>
      </c>
      <c r="L56" s="94">
        <f t="shared" si="3"/>
        <v>346289.99</v>
      </c>
      <c r="M56" s="245">
        <f t="shared" si="4"/>
        <v>20.369998932470622</v>
      </c>
      <c r="N56" s="301">
        <v>1193599.22</v>
      </c>
      <c r="O56" s="245">
        <f t="shared" si="5"/>
        <v>3.0185605685094333E-2</v>
      </c>
      <c r="P56" s="205">
        <f t="shared" si="9"/>
        <v>852690.81</v>
      </c>
      <c r="Q56" s="258">
        <f t="shared" si="0"/>
        <v>71.438619907945309</v>
      </c>
      <c r="CB56" s="161"/>
      <c r="CC56" s="161"/>
      <c r="CD56" s="145"/>
      <c r="CE56" s="145"/>
      <c r="CF56" s="145"/>
      <c r="CG56" s="142"/>
    </row>
    <row r="57" spans="1:85" ht="13.5" customHeight="1" thickTop="1" thickBot="1">
      <c r="B57" s="80">
        <v>44</v>
      </c>
      <c r="C57" s="90" t="s">
        <v>130</v>
      </c>
      <c r="D57" s="302">
        <v>255506350.55000001</v>
      </c>
      <c r="E57" s="247">
        <f t="shared" si="1"/>
        <v>6.080444314747389</v>
      </c>
      <c r="F57" s="162">
        <v>258578600</v>
      </c>
      <c r="G57" s="252">
        <f t="shared" si="1"/>
        <v>6.1535565550558049</v>
      </c>
      <c r="H57" s="162">
        <f t="shared" si="7"/>
        <v>-3072249.4499999881</v>
      </c>
      <c r="I57" s="247">
        <f t="shared" si="8"/>
        <v>-1.188129818167468</v>
      </c>
      <c r="J57" s="162">
        <v>283078600.02000004</v>
      </c>
      <c r="K57" s="252">
        <f t="shared" si="2"/>
        <v>6.7365983679588792</v>
      </c>
      <c r="L57" s="162">
        <f t="shared" si="3"/>
        <v>-27572249.470000029</v>
      </c>
      <c r="M57" s="247">
        <f t="shared" si="4"/>
        <v>-9.740139123215954</v>
      </c>
      <c r="N57" s="162">
        <v>64819445</v>
      </c>
      <c r="O57" s="247">
        <f t="shared" si="5"/>
        <v>1.6392556016387636</v>
      </c>
      <c r="P57" s="162">
        <f>+D57-N57</f>
        <v>190686905.55000001</v>
      </c>
      <c r="Q57" s="247">
        <f t="shared" si="0"/>
        <v>294.18163878138733</v>
      </c>
      <c r="CB57" s="161"/>
      <c r="CC57" s="161"/>
      <c r="CD57" s="145"/>
      <c r="CE57" s="145"/>
      <c r="CF57" s="145"/>
      <c r="CG57" s="142"/>
    </row>
    <row r="58" spans="1:85" ht="13.5" customHeight="1" thickTop="1">
      <c r="B58" s="80">
        <v>451</v>
      </c>
      <c r="C58" s="93" t="s">
        <v>110</v>
      </c>
      <c r="D58" s="154">
        <v>4857410.76</v>
      </c>
      <c r="E58" s="245">
        <f t="shared" si="1"/>
        <v>0.11559483972299564</v>
      </c>
      <c r="F58" s="154">
        <v>2425000</v>
      </c>
      <c r="G58" s="253">
        <f t="shared" si="1"/>
        <v>5.7709240617786345E-2</v>
      </c>
      <c r="H58" s="207">
        <f t="shared" si="7"/>
        <v>2432410.7599999998</v>
      </c>
      <c r="I58" s="258">
        <f t="shared" si="8"/>
        <v>100.30559835051545</v>
      </c>
      <c r="J58" s="154">
        <v>2425000</v>
      </c>
      <c r="K58" s="253">
        <f t="shared" si="2"/>
        <v>5.7709240617786345E-2</v>
      </c>
      <c r="L58" s="207">
        <f t="shared" si="3"/>
        <v>2432410.7599999998</v>
      </c>
      <c r="M58" s="258">
        <f t="shared" si="4"/>
        <v>100.30559835051545</v>
      </c>
      <c r="N58" s="154">
        <v>2868099.3</v>
      </c>
      <c r="O58" s="245">
        <f t="shared" si="5"/>
        <v>7.2532985180314591E-2</v>
      </c>
      <c r="P58" s="154">
        <f t="shared" si="9"/>
        <v>1989311.46</v>
      </c>
      <c r="Q58" s="258">
        <f t="shared" si="0"/>
        <v>69.359922789284184</v>
      </c>
      <c r="CB58" s="161"/>
      <c r="CC58" s="161"/>
      <c r="CD58" s="145"/>
      <c r="CE58" s="145"/>
      <c r="CF58" s="145"/>
      <c r="CG58" s="142"/>
    </row>
    <row r="59" spans="1:85" ht="13.5" customHeight="1" thickBot="1">
      <c r="B59" s="80">
        <v>47</v>
      </c>
      <c r="C59" s="93" t="s">
        <v>117</v>
      </c>
      <c r="D59" s="154">
        <v>19683829.93</v>
      </c>
      <c r="E59" s="245">
        <f t="shared" si="1"/>
        <v>0.46842840317936274</v>
      </c>
      <c r="F59" s="154">
        <v>22787265.379999999</v>
      </c>
      <c r="G59" s="253">
        <f t="shared" si="1"/>
        <v>0.54228279622093711</v>
      </c>
      <c r="H59" s="207">
        <f t="shared" si="7"/>
        <v>-3103435.4499999993</v>
      </c>
      <c r="I59" s="258">
        <f t="shared" si="8"/>
        <v>-13.619165785131173</v>
      </c>
      <c r="J59" s="154">
        <v>14298673.879999997</v>
      </c>
      <c r="K59" s="253">
        <f t="shared" si="2"/>
        <v>0.3402744789510006</v>
      </c>
      <c r="L59" s="207">
        <f t="shared" si="3"/>
        <v>5385156.0500000026</v>
      </c>
      <c r="M59" s="258">
        <f t="shared" si="4"/>
        <v>37.661926519859918</v>
      </c>
      <c r="N59" s="154">
        <v>18898013.969999999</v>
      </c>
      <c r="O59" s="245">
        <f t="shared" si="5"/>
        <v>0.47792256259167459</v>
      </c>
      <c r="P59" s="154">
        <f t="shared" si="9"/>
        <v>785815.96000000089</v>
      </c>
      <c r="Q59" s="258">
        <f t="shared" si="0"/>
        <v>4.1581933490337093</v>
      </c>
      <c r="CB59" s="161"/>
      <c r="CC59" s="161"/>
      <c r="CD59" s="145"/>
      <c r="CE59" s="145"/>
      <c r="CF59" s="145"/>
      <c r="CG59" s="142"/>
    </row>
    <row r="60" spans="1:85" ht="13.5" customHeight="1" thickTop="1" thickBot="1">
      <c r="B60" s="80">
        <v>462</v>
      </c>
      <c r="C60" s="148" t="s">
        <v>112</v>
      </c>
      <c r="D60" s="163">
        <v>0</v>
      </c>
      <c r="E60" s="249">
        <f t="shared" si="1"/>
        <v>0</v>
      </c>
      <c r="F60" s="163">
        <v>0</v>
      </c>
      <c r="G60" s="255">
        <f t="shared" si="1"/>
        <v>0</v>
      </c>
      <c r="H60" s="209">
        <f t="shared" si="7"/>
        <v>0</v>
      </c>
      <c r="I60" s="261" t="e">
        <f t="shared" si="8"/>
        <v>#DIV/0!</v>
      </c>
      <c r="J60" s="163">
        <v>0</v>
      </c>
      <c r="K60" s="255">
        <f t="shared" si="2"/>
        <v>0</v>
      </c>
      <c r="L60" s="209">
        <f t="shared" si="3"/>
        <v>0</v>
      </c>
      <c r="M60" s="261" t="str">
        <f t="shared" si="4"/>
        <v>...</v>
      </c>
      <c r="N60" s="163">
        <v>0</v>
      </c>
      <c r="O60" s="249">
        <f t="shared" si="5"/>
        <v>0</v>
      </c>
      <c r="P60" s="163">
        <f t="shared" si="9"/>
        <v>0</v>
      </c>
      <c r="Q60" s="261" t="str">
        <f>+IF(ISNUMBER(D60/N60*100-100),D60/N60*100-100,"...")</f>
        <v>...</v>
      </c>
      <c r="CB60" s="161"/>
      <c r="CC60" s="161"/>
      <c r="CD60" s="145"/>
      <c r="CE60" s="145"/>
      <c r="CF60" s="145"/>
      <c r="CG60" s="142"/>
    </row>
    <row r="61" spans="1:85" ht="13.5" customHeight="1" thickTop="1" thickBot="1">
      <c r="B61" s="308" t="s">
        <v>451</v>
      </c>
      <c r="C61" s="215" t="s">
        <v>450</v>
      </c>
      <c r="D61" s="331">
        <v>39960824.650000006</v>
      </c>
      <c r="E61" s="250">
        <f t="shared" si="1"/>
        <v>0.95097271959258478</v>
      </c>
      <c r="F61" s="216">
        <v>0</v>
      </c>
      <c r="G61" s="256">
        <f t="shared" si="1"/>
        <v>0</v>
      </c>
      <c r="H61" s="217">
        <f t="shared" si="7"/>
        <v>39960824.650000006</v>
      </c>
      <c r="I61" s="262" t="e">
        <f t="shared" si="8"/>
        <v>#DIV/0!</v>
      </c>
      <c r="J61" s="216">
        <v>0</v>
      </c>
      <c r="K61" s="256">
        <f t="shared" si="2"/>
        <v>0</v>
      </c>
      <c r="L61" s="217">
        <f>+D61-J61</f>
        <v>39960824.650000006</v>
      </c>
      <c r="M61" s="262" t="str">
        <f>+IF(ISNUMBER(D61/J61*100-100),D61/J61*100-100,"...")</f>
        <v>...</v>
      </c>
      <c r="N61" s="216">
        <v>69262528.650000006</v>
      </c>
      <c r="O61" s="250">
        <f>+N61/$N$11*100</f>
        <v>1.7516192567396691</v>
      </c>
      <c r="P61" s="217">
        <f>+D61-N61</f>
        <v>-29301704</v>
      </c>
      <c r="Q61" s="261">
        <f t="shared" ref="Q61:Q75" si="10">+IF(ISNUMBER(L61/N61*100-100),L61/N61*100-100,"...")</f>
        <v>-42.30527612999586</v>
      </c>
      <c r="CB61" s="161"/>
      <c r="CC61" s="161"/>
      <c r="CD61" s="145"/>
      <c r="CE61" s="145"/>
      <c r="CF61" s="145"/>
      <c r="CG61" s="142"/>
    </row>
    <row r="62" spans="1:85" ht="13.5" customHeight="1" thickTop="1" thickBot="1">
      <c r="B62" s="80">
        <v>990</v>
      </c>
      <c r="C62" s="322" t="s">
        <v>471</v>
      </c>
      <c r="D62" s="154">
        <v>0</v>
      </c>
      <c r="E62" s="245">
        <f t="shared" si="1"/>
        <v>0</v>
      </c>
      <c r="F62" s="154">
        <v>0</v>
      </c>
      <c r="G62" s="253">
        <f t="shared" si="1"/>
        <v>0</v>
      </c>
      <c r="H62" s="207">
        <f t="shared" si="7"/>
        <v>0</v>
      </c>
      <c r="I62" s="263" t="e">
        <f t="shared" si="8"/>
        <v>#DIV/0!</v>
      </c>
      <c r="J62" s="154">
        <v>0</v>
      </c>
      <c r="K62" s="253">
        <f t="shared" si="2"/>
        <v>0</v>
      </c>
      <c r="L62" s="207">
        <f t="shared" si="3"/>
        <v>0</v>
      </c>
      <c r="M62" s="263" t="str">
        <f t="shared" si="4"/>
        <v>...</v>
      </c>
      <c r="N62" s="324">
        <v>-12686256.23</v>
      </c>
      <c r="O62" s="245">
        <f t="shared" si="5"/>
        <v>-0.32082990819887719</v>
      </c>
      <c r="P62" s="154">
        <f t="shared" si="9"/>
        <v>12686256.23</v>
      </c>
      <c r="Q62" s="261">
        <f t="shared" si="10"/>
        <v>-100</v>
      </c>
      <c r="CB62" s="161"/>
      <c r="CC62" s="161"/>
      <c r="CD62" s="145"/>
      <c r="CE62" s="145"/>
      <c r="CF62" s="145"/>
      <c r="CG62" s="142"/>
    </row>
    <row r="63" spans="1:85" ht="13.5" customHeight="1" thickTop="1" thickBot="1">
      <c r="C63" s="90" t="s">
        <v>446</v>
      </c>
      <c r="D63" s="91">
        <f>+D16-D35</f>
        <v>-237630309.56999993</v>
      </c>
      <c r="E63" s="247">
        <f>+D63/$D$11*100</f>
        <v>-5.6550369950738899</v>
      </c>
      <c r="F63" s="91">
        <f>+F16-F35</f>
        <v>-171998718.8542068</v>
      </c>
      <c r="G63" s="252">
        <f t="shared" si="1"/>
        <v>-4.0931610112611985</v>
      </c>
      <c r="H63" s="91">
        <f t="shared" si="7"/>
        <v>-65631590.715793133</v>
      </c>
      <c r="I63" s="247">
        <f t="shared" si="8"/>
        <v>38.158185801037945</v>
      </c>
      <c r="J63" s="91">
        <f>+J16-J35</f>
        <v>-234463012.1576879</v>
      </c>
      <c r="K63" s="252">
        <f t="shared" si="2"/>
        <v>-5.5796628390016396</v>
      </c>
      <c r="L63" s="91">
        <f t="shared" si="3"/>
        <v>-3167297.4123120308</v>
      </c>
      <c r="M63" s="247">
        <f t="shared" si="4"/>
        <v>1.3508729514154112</v>
      </c>
      <c r="N63" s="91">
        <f>+N16-N35</f>
        <v>-134957426.58000016</v>
      </c>
      <c r="O63" s="247">
        <f t="shared" si="5"/>
        <v>-3.4130146826159566</v>
      </c>
      <c r="P63" s="91">
        <f t="shared" si="9"/>
        <v>-102672882.98999977</v>
      </c>
      <c r="Q63" s="247">
        <f t="shared" si="10"/>
        <v>-97.653113657710037</v>
      </c>
      <c r="CB63" s="161"/>
      <c r="CC63" s="161"/>
      <c r="CD63" s="145"/>
      <c r="CE63" s="145"/>
      <c r="CF63" s="145"/>
      <c r="CG63" s="142"/>
    </row>
    <row r="64" spans="1:85" ht="13.5" customHeight="1" thickTop="1" thickBot="1">
      <c r="C64" s="328" t="s">
        <v>476</v>
      </c>
      <c r="D64" s="91"/>
      <c r="E64" s="247"/>
      <c r="F64" s="91"/>
      <c r="G64" s="252">
        <f t="shared" si="1"/>
        <v>0</v>
      </c>
      <c r="H64" s="91">
        <f t="shared" si="7"/>
        <v>0</v>
      </c>
      <c r="I64" s="247" t="e">
        <f t="shared" si="8"/>
        <v>#DIV/0!</v>
      </c>
      <c r="J64" s="91"/>
      <c r="K64" s="252"/>
      <c r="L64" s="91"/>
      <c r="M64" s="247"/>
      <c r="N64" s="91">
        <f>N63-N62</f>
        <v>-122271170.35000016</v>
      </c>
      <c r="O64" s="247">
        <f t="shared" si="5"/>
        <v>-3.0921847744170798</v>
      </c>
      <c r="P64" s="91"/>
      <c r="Q64" s="247"/>
      <c r="CB64" s="161"/>
      <c r="CC64" s="161"/>
      <c r="CD64" s="145"/>
      <c r="CE64" s="145"/>
      <c r="CF64" s="145"/>
      <c r="CG64" s="142"/>
    </row>
    <row r="65" spans="2:85" ht="13.5" customHeight="1" thickTop="1" thickBot="1">
      <c r="C65" s="90" t="s">
        <v>453</v>
      </c>
      <c r="D65" s="91">
        <f>+D63+D43</f>
        <v>-138924930.98999992</v>
      </c>
      <c r="E65" s="247">
        <f t="shared" si="1"/>
        <v>-3.3060834104376364</v>
      </c>
      <c r="F65" s="91">
        <f>+F63+F43</f>
        <v>-76635092.944206804</v>
      </c>
      <c r="G65" s="252">
        <f t="shared" si="1"/>
        <v>-1.8237332034984128</v>
      </c>
      <c r="H65" s="91">
        <f t="shared" si="7"/>
        <v>-62289838.045793116</v>
      </c>
      <c r="I65" s="247">
        <f t="shared" si="8"/>
        <v>81.281088927682816</v>
      </c>
      <c r="J65" s="91">
        <f>+J63+J43</f>
        <v>-139099386.24768788</v>
      </c>
      <c r="K65" s="252">
        <f t="shared" si="2"/>
        <v>-3.3102350312388542</v>
      </c>
      <c r="L65" s="91">
        <f t="shared" si="3"/>
        <v>174455.25768795609</v>
      </c>
      <c r="M65" s="247">
        <f t="shared" si="4"/>
        <v>-0.12541770484688186</v>
      </c>
      <c r="N65" s="91">
        <f>+N63+N43</f>
        <v>-53381345.930000156</v>
      </c>
      <c r="O65" s="247">
        <f t="shared" si="5"/>
        <v>-1.3499910457235385</v>
      </c>
      <c r="P65" s="91">
        <f t="shared" si="9"/>
        <v>-85543585.059999764</v>
      </c>
      <c r="Q65" s="247">
        <f t="shared" si="10"/>
        <v>-100.32680940251436</v>
      </c>
      <c r="CB65" s="161"/>
      <c r="CC65" s="161"/>
      <c r="CD65" s="145"/>
      <c r="CE65" s="145"/>
      <c r="CF65" s="145"/>
      <c r="CG65" s="142"/>
    </row>
    <row r="66" spans="2:85" ht="13.5" customHeight="1" thickTop="1" thickBot="1">
      <c r="C66" s="90" t="s">
        <v>454</v>
      </c>
      <c r="D66" s="91">
        <f>+SUM(D67:D68)</f>
        <v>358600568.85000002</v>
      </c>
      <c r="E66" s="247">
        <f t="shared" si="1"/>
        <v>8.5338418612122524</v>
      </c>
      <c r="F66" s="91">
        <f>+SUM(F67:F69)</f>
        <v>220415503.14999998</v>
      </c>
      <c r="G66" s="252">
        <f t="shared" si="1"/>
        <v>5.2453654874943476</v>
      </c>
      <c r="H66" s="91">
        <f t="shared" si="7"/>
        <v>138185065.70000005</v>
      </c>
      <c r="I66" s="247">
        <f t="shared" si="8"/>
        <v>62.692988344817365</v>
      </c>
      <c r="J66" s="91">
        <f>+SUM(J67:J69)</f>
        <v>220415503.15000001</v>
      </c>
      <c r="K66" s="252">
        <f t="shared" si="2"/>
        <v>5.2453654874943485</v>
      </c>
      <c r="L66" s="91">
        <f t="shared" si="3"/>
        <v>138185065.70000002</v>
      </c>
      <c r="M66" s="247">
        <f t="shared" si="4"/>
        <v>62.692988344817365</v>
      </c>
      <c r="N66" s="91">
        <f>+SUM(N67:N68)</f>
        <v>533116186.30999994</v>
      </c>
      <c r="O66" s="247">
        <f t="shared" si="5"/>
        <v>13.482276726265741</v>
      </c>
      <c r="P66" s="91">
        <f t="shared" si="9"/>
        <v>-174515617.45999992</v>
      </c>
      <c r="Q66" s="247">
        <f t="shared" si="10"/>
        <v>-74.079746732798085</v>
      </c>
      <c r="CB66" s="161"/>
      <c r="CC66" s="161"/>
      <c r="CD66" s="145"/>
      <c r="CE66" s="145"/>
      <c r="CF66" s="145"/>
      <c r="CG66" s="142"/>
    </row>
    <row r="67" spans="2:85" ht="13.5" customHeight="1" thickTop="1">
      <c r="B67" s="80">
        <v>4611</v>
      </c>
      <c r="C67" s="97" t="s">
        <v>455</v>
      </c>
      <c r="D67" s="156">
        <v>226012655.83000001</v>
      </c>
      <c r="E67" s="246">
        <f t="shared" si="1"/>
        <v>5.3785644280240836</v>
      </c>
      <c r="F67" s="156">
        <v>51911842.149999999</v>
      </c>
      <c r="G67" s="254">
        <f t="shared" si="1"/>
        <v>1.2353785523904715</v>
      </c>
      <c r="H67" s="208">
        <f t="shared" si="7"/>
        <v>174100813.68000001</v>
      </c>
      <c r="I67" s="259">
        <f t="shared" si="8"/>
        <v>335.37783763660951</v>
      </c>
      <c r="J67" s="156">
        <v>51911842.149999999</v>
      </c>
      <c r="K67" s="254">
        <f t="shared" si="2"/>
        <v>1.2353785523904715</v>
      </c>
      <c r="L67" s="208">
        <f t="shared" si="3"/>
        <v>174100813.68000001</v>
      </c>
      <c r="M67" s="259">
        <f t="shared" si="4"/>
        <v>335.37783763660951</v>
      </c>
      <c r="N67" s="156">
        <v>225446619.97999999</v>
      </c>
      <c r="O67" s="246">
        <f t="shared" si="5"/>
        <v>5.7014470684335645</v>
      </c>
      <c r="P67" s="208">
        <f t="shared" si="9"/>
        <v>566035.85000002384</v>
      </c>
      <c r="Q67" s="259">
        <f t="shared" si="10"/>
        <v>-22.77515019056618</v>
      </c>
      <c r="CB67" s="161"/>
      <c r="CC67" s="161"/>
      <c r="CD67" s="145"/>
      <c r="CE67" s="145"/>
      <c r="CF67" s="145"/>
      <c r="CG67" s="142"/>
    </row>
    <row r="68" spans="2:85" ht="13.5" customHeight="1">
      <c r="B68" s="80">
        <v>4612</v>
      </c>
      <c r="C68" s="97" t="s">
        <v>456</v>
      </c>
      <c r="D68" s="156">
        <v>132587913.02000004</v>
      </c>
      <c r="E68" s="246">
        <f t="shared" si="1"/>
        <v>3.1552774331881688</v>
      </c>
      <c r="F68" s="156">
        <v>134787162.19999999</v>
      </c>
      <c r="G68" s="254">
        <f t="shared" si="1"/>
        <v>3.2076143404488229</v>
      </c>
      <c r="H68" s="208">
        <f t="shared" si="7"/>
        <v>-2199249.1799999475</v>
      </c>
      <c r="I68" s="259">
        <f t="shared" si="8"/>
        <v>-1.6316458808863814</v>
      </c>
      <c r="J68" s="156">
        <v>134787162.19999999</v>
      </c>
      <c r="K68" s="254">
        <f t="shared" si="2"/>
        <v>3.2076143404488229</v>
      </c>
      <c r="L68" s="208">
        <f t="shared" si="3"/>
        <v>-2199249.1799999475</v>
      </c>
      <c r="M68" s="259">
        <f t="shared" si="4"/>
        <v>-1.6316458808863814</v>
      </c>
      <c r="N68" s="156">
        <v>307669566.32999992</v>
      </c>
      <c r="O68" s="246">
        <f t="shared" si="5"/>
        <v>7.7808296578321761</v>
      </c>
      <c r="P68" s="208">
        <f t="shared" si="9"/>
        <v>-175081653.30999988</v>
      </c>
      <c r="Q68" s="259">
        <f t="shared" si="10"/>
        <v>-100.71480881461024</v>
      </c>
      <c r="CB68" s="161"/>
      <c r="CC68" s="161"/>
      <c r="CD68" s="145"/>
      <c r="CE68" s="145"/>
      <c r="CF68" s="145"/>
      <c r="CG68" s="142"/>
    </row>
    <row r="69" spans="2:85" ht="13.5" customHeight="1" thickBot="1">
      <c r="B69" s="80" t="s">
        <v>452</v>
      </c>
      <c r="C69" s="97" t="s">
        <v>450</v>
      </c>
      <c r="D69" s="156">
        <v>0</v>
      </c>
      <c r="E69" s="246">
        <f t="shared" si="1"/>
        <v>0</v>
      </c>
      <c r="F69" s="156">
        <v>33716498.799999997</v>
      </c>
      <c r="G69" s="254">
        <f t="shared" si="1"/>
        <v>0.80237259465505328</v>
      </c>
      <c r="H69" s="208">
        <f t="shared" si="7"/>
        <v>-33716498.799999997</v>
      </c>
      <c r="I69" s="259">
        <f t="shared" si="8"/>
        <v>-100</v>
      </c>
      <c r="J69" s="156">
        <v>33716498.800000004</v>
      </c>
      <c r="K69" s="254">
        <f t="shared" si="2"/>
        <v>0.80237259465505351</v>
      </c>
      <c r="L69" s="208">
        <f t="shared" si="3"/>
        <v>-33716498.800000004</v>
      </c>
      <c r="M69" s="259">
        <f t="shared" si="4"/>
        <v>-100</v>
      </c>
      <c r="N69" s="156">
        <v>0</v>
      </c>
      <c r="O69" s="246">
        <f t="shared" si="5"/>
        <v>0</v>
      </c>
      <c r="P69" s="208">
        <f t="shared" si="9"/>
        <v>0</v>
      </c>
      <c r="Q69" s="259" t="str">
        <f t="shared" si="10"/>
        <v>...</v>
      </c>
      <c r="CB69" s="161"/>
      <c r="CC69" s="161"/>
      <c r="CD69" s="145"/>
      <c r="CE69" s="145"/>
      <c r="CF69" s="145"/>
      <c r="CG69" s="142"/>
    </row>
    <row r="70" spans="2:85" ht="13.5" customHeight="1" thickTop="1" thickBot="1">
      <c r="C70" s="90" t="s">
        <v>140</v>
      </c>
      <c r="D70" s="91">
        <f>+D63-D66</f>
        <v>-596230878.41999996</v>
      </c>
      <c r="E70" s="247">
        <f t="shared" si="1"/>
        <v>-14.188878856286141</v>
      </c>
      <c r="F70" s="91">
        <f>+F63-F66</f>
        <v>-392414222.00420678</v>
      </c>
      <c r="G70" s="252">
        <f t="shared" si="1"/>
        <v>-9.3385264987555452</v>
      </c>
      <c r="H70" s="91">
        <f t="shared" si="7"/>
        <v>-203816656.41579318</v>
      </c>
      <c r="I70" s="247">
        <f t="shared" si="8"/>
        <v>51.939161474531915</v>
      </c>
      <c r="J70" s="91">
        <f>+J63-J66</f>
        <v>-454878515.30768788</v>
      </c>
      <c r="K70" s="252">
        <f t="shared" si="2"/>
        <v>-10.825028326495987</v>
      </c>
      <c r="L70" s="91">
        <f t="shared" ref="L70:L75" si="11">+D70-J70</f>
        <v>-141352363.11231208</v>
      </c>
      <c r="M70" s="247">
        <f t="shared" ref="M70:M75" si="12">+IF(ISNUMBER(D70/J70*100-100),D70/J70*100-100,"...")</f>
        <v>31.074750368611888</v>
      </c>
      <c r="N70" s="91">
        <f>+N64-N66</f>
        <v>-655387356.66000009</v>
      </c>
      <c r="O70" s="247">
        <f t="shared" ref="O70:O75" si="13">+N70/$N$11*100</f>
        <v>-16.574461500682823</v>
      </c>
      <c r="P70" s="91">
        <f t="shared" si="9"/>
        <v>59156478.240000129</v>
      </c>
      <c r="Q70" s="247">
        <f t="shared" si="10"/>
        <v>-78.432241379712423</v>
      </c>
      <c r="CB70" s="161"/>
      <c r="CC70" s="161"/>
      <c r="CD70" s="145"/>
      <c r="CE70" s="145"/>
      <c r="CF70" s="145"/>
      <c r="CG70" s="142"/>
    </row>
    <row r="71" spans="2:85" ht="13.5" customHeight="1" thickTop="1" thickBot="1">
      <c r="C71" s="90" t="s">
        <v>120</v>
      </c>
      <c r="D71" s="91">
        <f>+SUM(D72:D75)</f>
        <v>596230878.41999996</v>
      </c>
      <c r="E71" s="247">
        <f t="shared" si="1"/>
        <v>14.188878856286141</v>
      </c>
      <c r="F71" s="91">
        <f>+SUM(F72:F75)</f>
        <v>392414222.00420702</v>
      </c>
      <c r="G71" s="252">
        <f t="shared" si="1"/>
        <v>9.3385264987555505</v>
      </c>
      <c r="H71" s="91">
        <f t="shared" si="7"/>
        <v>203816656.41579294</v>
      </c>
      <c r="I71" s="247">
        <f t="shared" si="8"/>
        <v>51.939161474531829</v>
      </c>
      <c r="J71" s="91">
        <f>+SUM(J72:J75)</f>
        <v>454878515.30768788</v>
      </c>
      <c r="K71" s="252">
        <f t="shared" si="2"/>
        <v>10.825028326495987</v>
      </c>
      <c r="L71" s="91">
        <f t="shared" si="11"/>
        <v>141352363.11231208</v>
      </c>
      <c r="M71" s="247">
        <f t="shared" si="12"/>
        <v>31.074750368611888</v>
      </c>
      <c r="N71" s="91">
        <f>+SUM(N72:N75)+N62</f>
        <v>655387356.66000009</v>
      </c>
      <c r="O71" s="247">
        <f t="shared" si="13"/>
        <v>16.574461500682823</v>
      </c>
      <c r="P71" s="91">
        <f>+SUM(P72:P75)</f>
        <v>-71842734.470000163</v>
      </c>
      <c r="Q71" s="247">
        <f t="shared" si="10"/>
        <v>-78.432241379712423</v>
      </c>
      <c r="CB71" s="161"/>
      <c r="CC71" s="161"/>
      <c r="CD71" s="145"/>
      <c r="CE71" s="145"/>
      <c r="CF71" s="145"/>
      <c r="CG71" s="142"/>
    </row>
    <row r="72" spans="2:85" ht="13.5" customHeight="1" thickTop="1">
      <c r="B72" s="80">
        <v>7511</v>
      </c>
      <c r="C72" s="97" t="s">
        <v>457</v>
      </c>
      <c r="D72" s="156">
        <v>260070000</v>
      </c>
      <c r="E72" s="246">
        <f t="shared" si="1"/>
        <v>6.1890483329763688</v>
      </c>
      <c r="F72" s="156">
        <v>100000000</v>
      </c>
      <c r="G72" s="254">
        <f t="shared" si="1"/>
        <v>2.3797624997025295</v>
      </c>
      <c r="H72" s="208">
        <f t="shared" si="7"/>
        <v>160070000</v>
      </c>
      <c r="I72" s="259">
        <f t="shared" si="8"/>
        <v>160.07</v>
      </c>
      <c r="J72" s="156">
        <v>99999999.999999985</v>
      </c>
      <c r="K72" s="254">
        <f t="shared" si="2"/>
        <v>2.3797624997025291</v>
      </c>
      <c r="L72" s="208">
        <f t="shared" si="11"/>
        <v>160070000</v>
      </c>
      <c r="M72" s="259">
        <f t="shared" si="12"/>
        <v>160.07000000000005</v>
      </c>
      <c r="N72" s="156">
        <v>317784300</v>
      </c>
      <c r="O72" s="246">
        <f t="shared" si="13"/>
        <v>8.0366268777502405</v>
      </c>
      <c r="P72" s="208">
        <f t="shared" si="9"/>
        <v>-57714300</v>
      </c>
      <c r="Q72" s="259">
        <f t="shared" si="10"/>
        <v>-49.629355509381682</v>
      </c>
      <c r="S72" s="100"/>
      <c r="CB72" s="161"/>
      <c r="CC72" s="161"/>
      <c r="CD72" s="145"/>
      <c r="CE72" s="145"/>
      <c r="CF72" s="145"/>
      <c r="CG72" s="142"/>
    </row>
    <row r="73" spans="2:85" ht="13.5" customHeight="1">
      <c r="B73" s="80">
        <v>7512</v>
      </c>
      <c r="C73" s="97" t="s">
        <v>458</v>
      </c>
      <c r="D73" s="156">
        <v>352766852.38</v>
      </c>
      <c r="E73" s="246">
        <f t="shared" si="1"/>
        <v>8.3950132643202213</v>
      </c>
      <c r="F73" s="156">
        <v>292414222.00420702</v>
      </c>
      <c r="G73" s="254">
        <f t="shared" si="1"/>
        <v>6.9587639990530219</v>
      </c>
      <c r="H73" s="208">
        <f t="shared" si="7"/>
        <v>60352630.37579298</v>
      </c>
      <c r="I73" s="259">
        <f t="shared" si="8"/>
        <v>20.639430586561787</v>
      </c>
      <c r="J73" s="156">
        <v>354173823.63486993</v>
      </c>
      <c r="K73" s="254">
        <f t="shared" si="2"/>
        <v>8.42849583862521</v>
      </c>
      <c r="L73" s="208">
        <f t="shared" si="11"/>
        <v>-1406971.2548699379</v>
      </c>
      <c r="M73" s="259">
        <f t="shared" si="12"/>
        <v>-0.39725444428113121</v>
      </c>
      <c r="N73" s="156">
        <v>331776196.05999994</v>
      </c>
      <c r="O73" s="246">
        <f t="shared" si="13"/>
        <v>8.3904758499822965</v>
      </c>
      <c r="P73" s="208">
        <f t="shared" si="9"/>
        <v>20990656.320000052</v>
      </c>
      <c r="Q73" s="259">
        <f t="shared" si="10"/>
        <v>-100.42407239325135</v>
      </c>
      <c r="S73" s="100"/>
      <c r="CB73" s="161"/>
      <c r="CC73" s="161"/>
      <c r="CD73" s="145"/>
      <c r="CE73" s="145"/>
      <c r="CF73" s="145"/>
      <c r="CG73" s="142"/>
    </row>
    <row r="74" spans="2:85" ht="13.5" customHeight="1" thickBot="1">
      <c r="B74" s="80">
        <v>72</v>
      </c>
      <c r="C74" s="103" t="s">
        <v>401</v>
      </c>
      <c r="D74" s="156">
        <v>6191115.2299999995</v>
      </c>
      <c r="E74" s="251">
        <f t="shared" si="1"/>
        <v>0.14733383855691201</v>
      </c>
      <c r="F74" s="156">
        <v>0</v>
      </c>
      <c r="G74" s="257">
        <f t="shared" si="1"/>
        <v>0</v>
      </c>
      <c r="H74" s="208">
        <f t="shared" si="7"/>
        <v>6191115.2299999995</v>
      </c>
      <c r="I74" s="259" t="e">
        <f t="shared" si="8"/>
        <v>#DIV/0!</v>
      </c>
      <c r="J74" s="156">
        <v>0</v>
      </c>
      <c r="K74" s="257">
        <f t="shared" si="2"/>
        <v>0</v>
      </c>
      <c r="L74" s="208">
        <f t="shared" si="11"/>
        <v>6191115.2299999995</v>
      </c>
      <c r="M74" s="259" t="str">
        <f t="shared" si="12"/>
        <v>...</v>
      </c>
      <c r="N74" s="156">
        <v>4219567.51</v>
      </c>
      <c r="O74" s="251">
        <f t="shared" si="13"/>
        <v>0.10671102903242122</v>
      </c>
      <c r="P74" s="208">
        <f t="shared" si="9"/>
        <v>1971547.7199999997</v>
      </c>
      <c r="Q74" s="259">
        <f t="shared" si="10"/>
        <v>46.723928822743261</v>
      </c>
      <c r="S74" s="100"/>
      <c r="CB74" s="161"/>
      <c r="CC74" s="161"/>
      <c r="CD74" s="145"/>
      <c r="CE74" s="145"/>
      <c r="CF74" s="145"/>
      <c r="CG74" s="142"/>
    </row>
    <row r="75" spans="2:85" ht="13.5" customHeight="1" thickTop="1" thickBot="1">
      <c r="C75" s="148" t="s">
        <v>459</v>
      </c>
      <c r="D75" s="163">
        <f>-D70-SUM(D72:D74)</f>
        <v>-22797089.190000057</v>
      </c>
      <c r="E75" s="249">
        <f t="shared" si="1"/>
        <v>-0.54251657956736055</v>
      </c>
      <c r="F75" s="163">
        <f>-F70-SUM(F72:F74)</f>
        <v>0</v>
      </c>
      <c r="G75" s="255">
        <f t="shared" si="1"/>
        <v>0</v>
      </c>
      <c r="H75" s="206">
        <f t="shared" si="7"/>
        <v>-22797089.190000057</v>
      </c>
      <c r="I75" s="249" t="e">
        <f t="shared" si="8"/>
        <v>#DIV/0!</v>
      </c>
      <c r="J75" s="163">
        <f>-J70-SUM(J72:J74)</f>
        <v>704691.67281794548</v>
      </c>
      <c r="K75" s="255">
        <f t="shared" si="2"/>
        <v>1.6769988168247912E-2</v>
      </c>
      <c r="L75" s="206">
        <f t="shared" si="11"/>
        <v>-23501780.862818003</v>
      </c>
      <c r="M75" s="264">
        <f t="shared" si="12"/>
        <v>-3335.0444980906709</v>
      </c>
      <c r="N75" s="206">
        <f>-N70-SUM(N72:N74)-N62</f>
        <v>14293549.320000153</v>
      </c>
      <c r="O75" s="249">
        <f t="shared" si="13"/>
        <v>0.36147765211674049</v>
      </c>
      <c r="P75" s="217">
        <f t="shared" si="9"/>
        <v>-37090638.510000214</v>
      </c>
      <c r="Q75" s="264">
        <f t="shared" si="10"/>
        <v>-264.42228824112493</v>
      </c>
      <c r="CB75" s="161"/>
      <c r="CC75" s="161"/>
      <c r="CD75" s="145"/>
      <c r="CE75" s="145"/>
      <c r="CF75" s="145"/>
      <c r="CG75" s="142"/>
    </row>
    <row r="76" spans="2:85" s="189" customFormat="1" ht="13.5" thickTop="1">
      <c r="C76" s="190" t="str">
        <f>IF([1]MasterSheet!$A$1=1,[1]MasterSheet!C151,[1]MasterSheet!B151)</f>
        <v>Izvor: Ministarstvo finansija Crne Gore</v>
      </c>
      <c r="D76" s="314"/>
      <c r="E76" s="195"/>
      <c r="F76" s="195"/>
      <c r="G76" s="195"/>
      <c r="H76" s="195"/>
      <c r="I76" s="195"/>
      <c r="J76" s="194"/>
      <c r="K76" s="195"/>
      <c r="L76" s="195"/>
      <c r="M76" s="195"/>
      <c r="N76" s="194"/>
      <c r="O76" s="195"/>
      <c r="P76" s="195"/>
      <c r="Q76" s="195"/>
    </row>
    <row r="77" spans="2:85" s="189" customFormat="1">
      <c r="C77" s="192"/>
      <c r="D77" s="191"/>
      <c r="E77" s="191"/>
      <c r="F77" s="191"/>
      <c r="G77" s="191"/>
      <c r="H77" s="191"/>
      <c r="I77" s="191"/>
      <c r="J77" s="196"/>
      <c r="K77" s="191"/>
      <c r="L77" s="191"/>
      <c r="M77" s="191"/>
      <c r="N77" s="196"/>
      <c r="O77" s="199"/>
      <c r="P77" s="191"/>
      <c r="Q77" s="191"/>
    </row>
    <row r="78" spans="2:85" s="189" customFormat="1" ht="15">
      <c r="C78" s="318" t="s">
        <v>483</v>
      </c>
      <c r="D78" s="319"/>
      <c r="E78" s="320"/>
      <c r="F78" s="320"/>
      <c r="G78" s="320"/>
      <c r="H78" s="320"/>
      <c r="I78" s="320"/>
      <c r="J78" s="321"/>
      <c r="K78" s="320"/>
      <c r="L78" s="320"/>
      <c r="M78" s="320"/>
      <c r="N78" s="317"/>
      <c r="O78" s="311"/>
      <c r="P78" s="191"/>
      <c r="Q78" s="191"/>
    </row>
    <row r="79" spans="2:85" s="189" customFormat="1">
      <c r="J79" s="191"/>
      <c r="K79" s="191"/>
      <c r="L79" s="191"/>
      <c r="M79" s="191"/>
      <c r="N79" s="191"/>
      <c r="O79" s="191"/>
      <c r="P79" s="191"/>
      <c r="Q79" s="191"/>
    </row>
    <row r="80" spans="2:85" s="189" customFormat="1">
      <c r="C80" s="193"/>
    </row>
    <row r="81" spans="3:3">
      <c r="C81" s="193"/>
    </row>
    <row r="82" spans="3:3">
      <c r="C82" s="312"/>
    </row>
    <row r="83" spans="3:3">
      <c r="C83" s="313"/>
    </row>
  </sheetData>
  <sheetProtection formatCells="0" formatColumns="0" formatRows="0" sort="0" autoFilter="0"/>
  <mergeCells count="14">
    <mergeCell ref="D14:E14"/>
    <mergeCell ref="L14:M14"/>
    <mergeCell ref="D11:K11"/>
    <mergeCell ref="C14:C15"/>
    <mergeCell ref="P11:Q11"/>
    <mergeCell ref="N14:O14"/>
    <mergeCell ref="J14:K14"/>
    <mergeCell ref="P14:Q14"/>
    <mergeCell ref="L11:M11"/>
    <mergeCell ref="N13:O13"/>
    <mergeCell ref="D13:E13"/>
    <mergeCell ref="F14:G14"/>
    <mergeCell ref="H14:I14"/>
    <mergeCell ref="N11:O11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91"/>
  <sheetViews>
    <sheetView tabSelected="1" topLeftCell="B44" zoomScaleNormal="100" workbookViewId="0">
      <selection activeCell="D72" sqref="D72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5" width="7.7109375" style="80" customWidth="1"/>
    <col min="6" max="6" width="9.28515625" style="80" customWidth="1"/>
    <col min="7" max="9" width="7.7109375" style="80" customWidth="1"/>
    <col min="10" max="10" width="9.28515625" style="80" customWidth="1"/>
    <col min="11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1" t="str">
        <f>+'Central Budget'!C11</f>
        <v>BDP (u mil. €)</v>
      </c>
      <c r="D11" s="353">
        <f>+'Central Budget'!D11:K11</f>
        <v>4202100000</v>
      </c>
      <c r="E11" s="354"/>
      <c r="F11" s="354"/>
      <c r="G11" s="355"/>
      <c r="H11" s="350"/>
      <c r="I11" s="351"/>
      <c r="J11" s="357">
        <f>+'Central Budget'!N11</f>
        <v>3954200000</v>
      </c>
      <c r="K11" s="358"/>
      <c r="L11" s="350"/>
      <c r="M11" s="352"/>
      <c r="N11" s="203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56"/>
      <c r="E13" s="356"/>
      <c r="F13" s="86"/>
      <c r="G13" s="86"/>
      <c r="H13" s="86"/>
      <c r="I13" s="86"/>
      <c r="J13" s="356"/>
      <c r="K13" s="356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59" t="s">
        <v>258</v>
      </c>
      <c r="D14" s="348" t="s">
        <v>481</v>
      </c>
      <c r="E14" s="349"/>
      <c r="F14" s="348" t="s">
        <v>482</v>
      </c>
      <c r="G14" s="349"/>
      <c r="H14" s="348" t="s">
        <v>448</v>
      </c>
      <c r="I14" s="349"/>
      <c r="J14" s="348" t="s">
        <v>467</v>
      </c>
      <c r="K14" s="349"/>
      <c r="L14" s="348" t="str">
        <f>+H14</f>
        <v>Odstupanje</v>
      </c>
      <c r="M14" s="349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60"/>
      <c r="D15" s="152" t="str">
        <f>IF(MasterSheet!$A$1=1,MasterSheet!C71,MasterSheet!C70)</f>
        <v>mil. €</v>
      </c>
      <c r="E15" s="159" t="str">
        <f>IF(MasterSheet!$A$1=1,MasterSheet!D71,MasterSheet!D70)</f>
        <v>% BDP</v>
      </c>
      <c r="F15" s="152" t="str">
        <f>IF(MasterSheet!$A$1=1,MasterSheet!E71,MasterSheet!E70)</f>
        <v>mil. €</v>
      </c>
      <c r="G15" s="159" t="str">
        <f>IF(MasterSheet!$A$1=1,MasterSheet!F71,MasterSheet!F70)</f>
        <v>% BDP</v>
      </c>
      <c r="H15" s="152" t="str">
        <f>IF(MasterSheet!$A$1=1,MasterSheet!G71,MasterSheet!G70)</f>
        <v>mil. €</v>
      </c>
      <c r="I15" s="159" t="s">
        <v>441</v>
      </c>
      <c r="J15" s="152" t="str">
        <f>IF(MasterSheet!$A$1=1,MasterSheet!I71,MasterSheet!I70)</f>
        <v>mil. €</v>
      </c>
      <c r="K15" s="159" t="str">
        <f>IF(MasterSheet!$A$1=1,MasterSheet!J71,MasterSheet!J70)</f>
        <v>% BDP</v>
      </c>
      <c r="L15" s="152" t="str">
        <f>IF(MasterSheet!$A$1=1,MasterSheet!K71,MasterSheet!K70)</f>
        <v>mil. €</v>
      </c>
      <c r="M15" s="159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53" t="str">
        <f>IF(MasterSheet!$A$1=1,MasterSheet!C72,MasterSheet!B72)</f>
        <v>Izvorni prihodi</v>
      </c>
      <c r="D16" s="219">
        <f>+D17+D21+D27+D33+D38+D39</f>
        <v>219122420.69000003</v>
      </c>
      <c r="E16" s="265">
        <f>+D16/$D$11*100</f>
        <v>5.2145931960210374</v>
      </c>
      <c r="F16" s="219">
        <f>+F17+F21+F27+F33+F38+F39</f>
        <v>206414753.87031811</v>
      </c>
      <c r="G16" s="265">
        <f t="shared" ref="G16:G73" si="0">+F16/$D$11*100</f>
        <v>4.9121809064591062</v>
      </c>
      <c r="H16" s="219">
        <f>+D16-F16</f>
        <v>12707666.819681913</v>
      </c>
      <c r="I16" s="265">
        <f>+D16/F16*100-100</f>
        <v>6.1563752500296545</v>
      </c>
      <c r="J16" s="219">
        <f>+J17+J21+J27+J33+J38+J39</f>
        <v>197197453.69</v>
      </c>
      <c r="K16" s="265">
        <f>+J16/$J$11*100</f>
        <v>4.9870379265085223</v>
      </c>
      <c r="L16" s="219">
        <f>+D16-J16</f>
        <v>21924967.00000003</v>
      </c>
      <c r="M16" s="265">
        <f>+D16/J16*100-100</f>
        <v>11.118280986765015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2:81" ht="15" customHeight="1" thickTop="1">
      <c r="B17" s="80">
        <v>711</v>
      </c>
      <c r="C17" s="93" t="str">
        <f>IF(MasterSheet!$A$1=1,MasterSheet!C73,MasterSheet!B73)</f>
        <v>Porezi</v>
      </c>
      <c r="D17" s="220">
        <f>+SUM(D18:D20)</f>
        <v>133196468.59</v>
      </c>
      <c r="E17" s="266">
        <f t="shared" ref="E17:E74" si="1">+D17/$D$11*100</f>
        <v>3.1697596104328789</v>
      </c>
      <c r="F17" s="220">
        <f>+SUM(F18:F20)</f>
        <v>125495999.29787783</v>
      </c>
      <c r="G17" s="266">
        <f t="shared" si="0"/>
        <v>2.9865067299178465</v>
      </c>
      <c r="H17" s="221">
        <f t="shared" ref="H17:H74" si="2">+D17-F17</f>
        <v>7700469.2921221703</v>
      </c>
      <c r="I17" s="275">
        <f t="shared" ref="I17:I74" si="3">+D17/F17*100-100</f>
        <v>6.1360277102095608</v>
      </c>
      <c r="J17" s="220">
        <f>+SUM(J18:J20)</f>
        <v>126225514.57000001</v>
      </c>
      <c r="K17" s="266">
        <f t="shared" ref="K17:K74" si="4">+J17/$J$11*100</f>
        <v>3.1921884216782157</v>
      </c>
      <c r="L17" s="221">
        <f t="shared" ref="L17:L74" si="5">+D17-J17</f>
        <v>6970954.0199999958</v>
      </c>
      <c r="M17" s="275">
        <f t="shared" ref="M17:M74" si="6">+D17/J17*100-100</f>
        <v>5.5226188173977704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2:81" ht="15" customHeight="1">
      <c r="B18" s="80">
        <v>7111</v>
      </c>
      <c r="C18" s="97" t="str">
        <f>IF(MasterSheet!$A$1=1,MasterSheet!C74,MasterSheet!B74)</f>
        <v>Porez na dohodak fizičkih lica</v>
      </c>
      <c r="D18" s="222">
        <v>33638773.960000001</v>
      </c>
      <c r="E18" s="267">
        <f>+D18/$D$11*100</f>
        <v>0.80052292805977954</v>
      </c>
      <c r="F18" s="222">
        <v>35588124.425239906</v>
      </c>
      <c r="G18" s="267">
        <f t="shared" si="0"/>
        <v>0.84691283941933582</v>
      </c>
      <c r="H18" s="223">
        <f>+D18-F18</f>
        <v>-1949350.4652399048</v>
      </c>
      <c r="I18" s="276">
        <f>+D18/F18*100-100</f>
        <v>-5.4775307682620706</v>
      </c>
      <c r="J18" s="222">
        <v>36916505.5</v>
      </c>
      <c r="K18" s="267">
        <f t="shared" si="4"/>
        <v>0.93360238480602908</v>
      </c>
      <c r="L18" s="223">
        <f>+D18-J18</f>
        <v>-3277731.5399999991</v>
      </c>
      <c r="M18" s="276">
        <f>+D18/J18*100-100</f>
        <v>-8.8787697958031231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2:81" ht="15" customHeight="1">
      <c r="B19" s="80">
        <v>7113</v>
      </c>
      <c r="C19" s="97" t="str">
        <f>IF(MasterSheet!$A$1=1,MasterSheet!C76,MasterSheet!B76)</f>
        <v>Porez na promet nepokretnosti</v>
      </c>
      <c r="D19" s="222">
        <v>13649749.639999997</v>
      </c>
      <c r="E19" s="267">
        <f>+D19/$D$11*100</f>
        <v>0.32483162323600101</v>
      </c>
      <c r="F19" s="222">
        <v>12242015.821212919</v>
      </c>
      <c r="G19" s="267">
        <f t="shared" si="0"/>
        <v>0.29133090172087572</v>
      </c>
      <c r="H19" s="223">
        <f>+D19-F19</f>
        <v>1407733.8187870774</v>
      </c>
      <c r="I19" s="276">
        <f>+D19/F19*100-100</f>
        <v>11.49919947291491</v>
      </c>
      <c r="J19" s="222">
        <v>11897399.580000002</v>
      </c>
      <c r="K19" s="267">
        <f t="shared" si="4"/>
        <v>0.30088006625866176</v>
      </c>
      <c r="L19" s="223">
        <f>+D19-J19</f>
        <v>1752350.0599999949</v>
      </c>
      <c r="M19" s="276">
        <f>+D19/J19*100-100</f>
        <v>14.728849344068124</v>
      </c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9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</row>
    <row r="20" spans="2:81" ht="15" customHeight="1">
      <c r="B20" s="80">
        <v>7117</v>
      </c>
      <c r="C20" s="97" t="s">
        <v>11</v>
      </c>
      <c r="D20" s="222">
        <v>85907944.99000001</v>
      </c>
      <c r="E20" s="267">
        <f>+D20/$D$11*100</f>
        <v>2.0444050591370981</v>
      </c>
      <c r="F20" s="222">
        <v>77665859.05142501</v>
      </c>
      <c r="G20" s="267">
        <f t="shared" si="0"/>
        <v>1.8482629887776354</v>
      </c>
      <c r="H20" s="223">
        <f>+D20-F20</f>
        <v>8242085.9385749996</v>
      </c>
      <c r="I20" s="276">
        <f>+D20/F20*100-100</f>
        <v>10.612238169048837</v>
      </c>
      <c r="J20" s="222">
        <v>77411609.49000001</v>
      </c>
      <c r="K20" s="267">
        <f t="shared" si="4"/>
        <v>1.9577059706135251</v>
      </c>
      <c r="L20" s="223">
        <f>+D20-J20</f>
        <v>8496335.5</v>
      </c>
      <c r="M20" s="276">
        <f>+D20/J20*100-100</f>
        <v>10.97553139118952</v>
      </c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9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</row>
    <row r="21" spans="2:81" ht="15" customHeight="1">
      <c r="B21" s="80">
        <v>713</v>
      </c>
      <c r="C21" s="93" t="str">
        <f>IF(MasterSheet!$A$1=1,MasterSheet!C86,MasterSheet!B86)</f>
        <v>Takse</v>
      </c>
      <c r="D21" s="94">
        <f>+D22+D23+D24+D25+D26</f>
        <v>6557602.5800000001</v>
      </c>
      <c r="E21" s="245">
        <f t="shared" si="1"/>
        <v>0.15605536707836556</v>
      </c>
      <c r="F21" s="228">
        <v>5998605.0022170115</v>
      </c>
      <c r="G21" s="245">
        <f t="shared" si="0"/>
        <v>0.14275255234804052</v>
      </c>
      <c r="H21" s="205">
        <f t="shared" si="2"/>
        <v>558997.57778298855</v>
      </c>
      <c r="I21" s="258">
        <f t="shared" si="3"/>
        <v>9.31879291229194</v>
      </c>
      <c r="J21" s="94">
        <f>+J22+J23+J24+J25+J26</f>
        <v>5940652.6299999999</v>
      </c>
      <c r="K21" s="248">
        <f t="shared" si="4"/>
        <v>0.15023652394921855</v>
      </c>
      <c r="L21" s="205">
        <f t="shared" si="5"/>
        <v>616949.95000000019</v>
      </c>
      <c r="M21" s="258">
        <f t="shared" si="6"/>
        <v>10.38522176645094</v>
      </c>
      <c r="BY21" s="81"/>
      <c r="BZ21" s="81"/>
      <c r="CA21" s="81"/>
    </row>
    <row r="22" spans="2:81" ht="15" hidden="1" customHeight="1">
      <c r="B22" s="80">
        <v>7131</v>
      </c>
      <c r="C22" s="97" t="str">
        <f>IF(MasterSheet!$A$1=1,MasterSheet!C87,MasterSheet!B87)</f>
        <v>Administrativne takse</v>
      </c>
      <c r="D22" s="222">
        <v>1182529.4999999998</v>
      </c>
      <c r="E22" s="267">
        <f t="shared" si="1"/>
        <v>2.8141393588919823E-2</v>
      </c>
      <c r="F22" s="222">
        <v>1513336.1</v>
      </c>
      <c r="G22" s="267">
        <f t="shared" si="0"/>
        <v>3.6013805002260778E-2</v>
      </c>
      <c r="H22" s="223">
        <f t="shared" si="2"/>
        <v>-330806.60000000033</v>
      </c>
      <c r="I22" s="276">
        <f t="shared" si="3"/>
        <v>-21.859426997082821</v>
      </c>
      <c r="J22" s="222">
        <v>1192377.3399999999</v>
      </c>
      <c r="K22" s="267">
        <f t="shared" si="4"/>
        <v>3.0154704870770318E-2</v>
      </c>
      <c r="L22" s="223">
        <f t="shared" si="5"/>
        <v>-9847.8400000000838</v>
      </c>
      <c r="M22" s="276">
        <f t="shared" si="6"/>
        <v>-0.82589962670709838</v>
      </c>
      <c r="BY22" s="81"/>
      <c r="BZ22" s="81"/>
      <c r="CA22" s="81"/>
    </row>
    <row r="23" spans="2:81" ht="15" hidden="1" customHeight="1">
      <c r="B23" s="80">
        <v>7133</v>
      </c>
      <c r="C23" s="97" t="str">
        <f>IF(MasterSheet!$A$1=1,MasterSheet!C89,MasterSheet!B89)</f>
        <v>Boravišne takse</v>
      </c>
      <c r="D23" s="222">
        <v>0</v>
      </c>
      <c r="E23" s="267">
        <f t="shared" si="1"/>
        <v>0</v>
      </c>
      <c r="F23" s="222">
        <v>0</v>
      </c>
      <c r="G23" s="267">
        <f t="shared" si="0"/>
        <v>0</v>
      </c>
      <c r="H23" s="223">
        <f t="shared" si="2"/>
        <v>0</v>
      </c>
      <c r="I23" s="276" t="e">
        <f t="shared" si="3"/>
        <v>#DIV/0!</v>
      </c>
      <c r="J23" s="222">
        <v>0</v>
      </c>
      <c r="K23" s="267">
        <f t="shared" si="4"/>
        <v>0</v>
      </c>
      <c r="L23" s="223">
        <f t="shared" si="5"/>
        <v>0</v>
      </c>
      <c r="M23" s="276" t="e">
        <f t="shared" si="6"/>
        <v>#DIV/0!</v>
      </c>
      <c r="BY23" s="140"/>
      <c r="BZ23" s="140"/>
      <c r="CA23" s="140"/>
    </row>
    <row r="24" spans="2:81" ht="15" hidden="1" customHeight="1">
      <c r="B24" s="80">
        <v>7134</v>
      </c>
      <c r="C24" s="97" t="s">
        <v>434</v>
      </c>
      <c r="D24" s="222">
        <v>0</v>
      </c>
      <c r="E24" s="267">
        <f t="shared" si="1"/>
        <v>0</v>
      </c>
      <c r="F24" s="222">
        <v>0</v>
      </c>
      <c r="G24" s="267">
        <f t="shared" si="0"/>
        <v>0</v>
      </c>
      <c r="H24" s="223">
        <f t="shared" si="2"/>
        <v>0</v>
      </c>
      <c r="I24" s="276" t="e">
        <f t="shared" si="3"/>
        <v>#DIV/0!</v>
      </c>
      <c r="J24" s="222">
        <v>0</v>
      </c>
      <c r="K24" s="267">
        <f t="shared" si="4"/>
        <v>0</v>
      </c>
      <c r="L24" s="223">
        <f t="shared" si="5"/>
        <v>0</v>
      </c>
      <c r="M24" s="276" t="e">
        <f t="shared" si="6"/>
        <v>#DIV/0!</v>
      </c>
      <c r="BY24" s="140"/>
      <c r="BZ24" s="140"/>
      <c r="CA24" s="140"/>
    </row>
    <row r="25" spans="2:81" ht="15" hidden="1" customHeight="1">
      <c r="B25" s="80">
        <v>7135</v>
      </c>
      <c r="C25" s="97" t="s">
        <v>36</v>
      </c>
      <c r="D25" s="222">
        <v>4838031.2300000004</v>
      </c>
      <c r="E25" s="267">
        <f t="shared" si="1"/>
        <v>0.11513365293543704</v>
      </c>
      <c r="F25" s="222">
        <v>4306483.08</v>
      </c>
      <c r="G25" s="267">
        <f t="shared" si="0"/>
        <v>0.1024840693938745</v>
      </c>
      <c r="H25" s="223">
        <f t="shared" si="2"/>
        <v>531548.15000000037</v>
      </c>
      <c r="I25" s="276">
        <f t="shared" si="3"/>
        <v>12.342975465725047</v>
      </c>
      <c r="J25" s="222">
        <v>3679695.01</v>
      </c>
      <c r="K25" s="267">
        <f t="shared" si="4"/>
        <v>9.3057888068382985E-2</v>
      </c>
      <c r="L25" s="223">
        <f t="shared" si="5"/>
        <v>1158336.2200000007</v>
      </c>
      <c r="M25" s="276">
        <f t="shared" si="6"/>
        <v>31.479136636381213</v>
      </c>
      <c r="BY25" s="140"/>
      <c r="BZ25" s="140"/>
      <c r="CA25" s="140"/>
    </row>
    <row r="26" spans="2:81" ht="15" hidden="1" customHeight="1">
      <c r="B26" s="80">
        <v>7136</v>
      </c>
      <c r="C26" s="97" t="s">
        <v>37</v>
      </c>
      <c r="D26" s="222">
        <v>537041.85</v>
      </c>
      <c r="E26" s="267">
        <f t="shared" si="1"/>
        <v>1.278032055400871E-2</v>
      </c>
      <c r="F26" s="222">
        <v>277107.12</v>
      </c>
      <c r="G26" s="267">
        <f t="shared" si="0"/>
        <v>6.5944913257656879E-3</v>
      </c>
      <c r="H26" s="223">
        <f t="shared" si="2"/>
        <v>259934.72999999998</v>
      </c>
      <c r="I26" s="276">
        <f t="shared" si="3"/>
        <v>93.802977707682146</v>
      </c>
      <c r="J26" s="222">
        <v>1068580.28</v>
      </c>
      <c r="K26" s="267">
        <f t="shared" si="4"/>
        <v>2.7023931010065248E-2</v>
      </c>
      <c r="L26" s="223">
        <f t="shared" si="5"/>
        <v>-531538.43000000005</v>
      </c>
      <c r="M26" s="276">
        <f t="shared" si="6"/>
        <v>-49.742489165156599</v>
      </c>
      <c r="BY26" s="140"/>
      <c r="BZ26" s="140"/>
      <c r="CA26" s="140"/>
    </row>
    <row r="27" spans="2:81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60804184.160000004</v>
      </c>
      <c r="E27" s="245">
        <f t="shared" si="1"/>
        <v>1.4469951728897457</v>
      </c>
      <c r="F27" s="228">
        <v>55000000</v>
      </c>
      <c r="G27" s="245">
        <f t="shared" si="0"/>
        <v>1.3088693748363913</v>
      </c>
      <c r="H27" s="205">
        <f>+D27-F27</f>
        <v>5804184.1600000039</v>
      </c>
      <c r="I27" s="258">
        <f t="shared" si="3"/>
        <v>10.553062109090931</v>
      </c>
      <c r="J27" s="94">
        <f>+SUM(J28:J32)</f>
        <v>46265096.809999995</v>
      </c>
      <c r="K27" s="248">
        <f t="shared" si="4"/>
        <v>1.1700241973091901</v>
      </c>
      <c r="L27" s="205">
        <f t="shared" si="5"/>
        <v>14539087.350000009</v>
      </c>
      <c r="M27" s="258">
        <f t="shared" si="6"/>
        <v>31.425606672149996</v>
      </c>
      <c r="BY27" s="140"/>
      <c r="BZ27" s="140"/>
      <c r="CA27" s="140"/>
    </row>
    <row r="28" spans="2:81" ht="15" hidden="1" customHeight="1">
      <c r="B28" s="80">
        <v>7141</v>
      </c>
      <c r="C28" s="97" t="str">
        <f>IF(MasterSheet!$A$1=1,MasterSheet!C92,MasterSheet!B92)</f>
        <v>Naknade za korišćenje dobara od opšteg interesa</v>
      </c>
      <c r="D28" s="224">
        <v>2302689.6399999997</v>
      </c>
      <c r="E28" s="268">
        <f t="shared" si="1"/>
        <v>5.4798544537255175E-2</v>
      </c>
      <c r="F28" s="224">
        <v>0</v>
      </c>
      <c r="G28" s="268">
        <f t="shared" si="0"/>
        <v>0</v>
      </c>
      <c r="H28" s="225">
        <f t="shared" si="2"/>
        <v>2302689.6399999997</v>
      </c>
      <c r="I28" s="277" t="e">
        <f t="shared" si="3"/>
        <v>#DIV/0!</v>
      </c>
      <c r="J28" s="224">
        <v>1777773.86</v>
      </c>
      <c r="K28" s="268">
        <f t="shared" si="4"/>
        <v>4.4959128521572002E-2</v>
      </c>
      <c r="L28" s="225">
        <f t="shared" si="5"/>
        <v>524915.77999999956</v>
      </c>
      <c r="M28" s="277">
        <f t="shared" si="6"/>
        <v>29.526577694195566</v>
      </c>
      <c r="BY28" s="140"/>
      <c r="BZ28" s="140"/>
      <c r="CA28" s="140"/>
    </row>
    <row r="29" spans="2:81" ht="15" hidden="1" customHeight="1">
      <c r="B29" s="80">
        <v>7142</v>
      </c>
      <c r="C29" s="97" t="str">
        <f>IF(MasterSheet!$A$1=1,MasterSheet!C93,MasterSheet!B93)</f>
        <v>Naknade za korišćenje prirodnih dobara</v>
      </c>
      <c r="D29" s="226">
        <v>8957142.0299999993</v>
      </c>
      <c r="E29" s="246">
        <f t="shared" si="1"/>
        <v>0.2131587070750339</v>
      </c>
      <c r="F29" s="156">
        <v>9299146.75</v>
      </c>
      <c r="G29" s="246">
        <f t="shared" si="0"/>
        <v>0.22129760714880656</v>
      </c>
      <c r="H29" s="227">
        <f t="shared" si="2"/>
        <v>-342004.72000000067</v>
      </c>
      <c r="I29" s="259">
        <f t="shared" si="3"/>
        <v>-3.6778075364817795</v>
      </c>
      <c r="J29" s="156">
        <v>8713739.5999999996</v>
      </c>
      <c r="K29" s="295">
        <f t="shared" si="4"/>
        <v>0.22036668858429012</v>
      </c>
      <c r="L29" s="227">
        <f t="shared" si="5"/>
        <v>243402.4299999997</v>
      </c>
      <c r="M29" s="259">
        <f t="shared" si="6"/>
        <v>2.7933176933586594</v>
      </c>
      <c r="BY29" s="140"/>
      <c r="BZ29" s="140"/>
      <c r="CA29" s="140"/>
    </row>
    <row r="30" spans="2:81" ht="24.75" hidden="1" customHeight="1">
      <c r="B30" s="80">
        <v>7146</v>
      </c>
      <c r="C30" s="157" t="s">
        <v>445</v>
      </c>
      <c r="D30" s="224">
        <v>40084820.299999997</v>
      </c>
      <c r="E30" s="246">
        <f t="shared" si="1"/>
        <v>0.95392352157254701</v>
      </c>
      <c r="F30" s="224">
        <v>37024035.200000003</v>
      </c>
      <c r="G30" s="246">
        <f t="shared" si="0"/>
        <v>0.8810841055662646</v>
      </c>
      <c r="H30" s="225">
        <f t="shared" si="2"/>
        <v>3060785.099999994</v>
      </c>
      <c r="I30" s="259">
        <f t="shared" si="3"/>
        <v>8.2670219047328288</v>
      </c>
      <c r="J30" s="224">
        <v>27579446.249999996</v>
      </c>
      <c r="K30" s="295">
        <f t="shared" si="4"/>
        <v>0.69747221308987906</v>
      </c>
      <c r="L30" s="225">
        <f t="shared" si="5"/>
        <v>12505374.050000001</v>
      </c>
      <c r="M30" s="259">
        <f t="shared" si="6"/>
        <v>45.34309331899658</v>
      </c>
      <c r="BY30" s="140"/>
      <c r="BZ30" s="140"/>
      <c r="CA30" s="140"/>
    </row>
    <row r="31" spans="2:81" ht="38.25" hidden="1">
      <c r="B31" s="158">
        <v>7147</v>
      </c>
      <c r="C31" s="157" t="s">
        <v>435</v>
      </c>
      <c r="D31" s="224">
        <v>5569113.5999999996</v>
      </c>
      <c r="E31" s="246">
        <f t="shared" si="1"/>
        <v>0.13253167701863353</v>
      </c>
      <c r="F31" s="224">
        <v>2857504.52</v>
      </c>
      <c r="G31" s="246">
        <f t="shared" si="0"/>
        <v>6.8001820994264772E-2</v>
      </c>
      <c r="H31" s="225">
        <f t="shared" si="2"/>
        <v>2711609.0799999996</v>
      </c>
      <c r="I31" s="259">
        <f t="shared" si="3"/>
        <v>94.894305888971928</v>
      </c>
      <c r="J31" s="224">
        <v>1404598.95</v>
      </c>
      <c r="K31" s="295">
        <f t="shared" si="4"/>
        <v>3.5521697182742396E-2</v>
      </c>
      <c r="L31" s="227">
        <f t="shared" si="5"/>
        <v>4164514.6499999994</v>
      </c>
      <c r="M31" s="259">
        <f t="shared" si="6"/>
        <v>296.49136858602947</v>
      </c>
      <c r="BY31" s="140"/>
      <c r="BZ31" s="140"/>
      <c r="CA31" s="140"/>
    </row>
    <row r="32" spans="2:81" ht="15" hidden="1" customHeight="1">
      <c r="B32" s="80">
        <v>7149</v>
      </c>
      <c r="C32" s="97" t="str">
        <f>IF(MasterSheet!$A$1=1,MasterSheet!C97,MasterSheet!B97)</f>
        <v>Ostale naknade</v>
      </c>
      <c r="D32" s="222">
        <v>3890418.5900000003</v>
      </c>
      <c r="E32" s="267">
        <f t="shared" si="1"/>
        <v>9.2582722686275917E-2</v>
      </c>
      <c r="F32" s="222">
        <v>5747283.9499999993</v>
      </c>
      <c r="G32" s="267">
        <f t="shared" si="0"/>
        <v>0.13677170819352227</v>
      </c>
      <c r="H32" s="223">
        <f t="shared" si="2"/>
        <v>-1856865.3599999989</v>
      </c>
      <c r="I32" s="276">
        <f t="shared" si="3"/>
        <v>-32.308571773280832</v>
      </c>
      <c r="J32" s="222">
        <v>6789538.1500000004</v>
      </c>
      <c r="K32" s="267">
        <f t="shared" si="4"/>
        <v>0.17170446993070659</v>
      </c>
      <c r="L32" s="223">
        <f t="shared" si="5"/>
        <v>-2899119.56</v>
      </c>
      <c r="M32" s="276">
        <f t="shared" si="6"/>
        <v>-42.699805140648628</v>
      </c>
      <c r="BY32" s="81"/>
      <c r="BZ32" s="81"/>
      <c r="CA32" s="81"/>
      <c r="CB32" s="81"/>
      <c r="CC32" s="81"/>
    </row>
    <row r="33" spans="1:82" ht="15" customHeight="1">
      <c r="B33" s="80">
        <v>715</v>
      </c>
      <c r="C33" s="93" t="str">
        <f>IF(MasterSheet!$A$1=1,MasterSheet!C98,MasterSheet!B98)</f>
        <v>Ostali prihodi</v>
      </c>
      <c r="D33" s="228">
        <f>+SUM(D34:D37)</f>
        <v>13379064.710000001</v>
      </c>
      <c r="E33" s="269">
        <f t="shared" si="1"/>
        <v>0.31838996477951503</v>
      </c>
      <c r="F33" s="228">
        <v>12772334.895326324</v>
      </c>
      <c r="G33" s="269">
        <f t="shared" si="0"/>
        <v>0.30395123617539621</v>
      </c>
      <c r="H33" s="229">
        <f t="shared" si="2"/>
        <v>606729.81467367709</v>
      </c>
      <c r="I33" s="278">
        <f t="shared" si="3"/>
        <v>4.7503437675729288</v>
      </c>
      <c r="J33" s="228">
        <f>+SUM(J34:J37)</f>
        <v>13023079.540000001</v>
      </c>
      <c r="K33" s="269">
        <f t="shared" si="4"/>
        <v>0.32934802336755853</v>
      </c>
      <c r="L33" s="229">
        <f t="shared" si="5"/>
        <v>355985.16999999993</v>
      </c>
      <c r="M33" s="278">
        <f t="shared" si="6"/>
        <v>2.7334945540845581</v>
      </c>
      <c r="BY33" s="81"/>
      <c r="BZ33" s="81"/>
      <c r="CA33" s="81"/>
      <c r="CB33" s="81"/>
      <c r="CC33" s="81"/>
    </row>
    <row r="34" spans="1:82" ht="15" customHeight="1">
      <c r="B34" s="80">
        <v>7151</v>
      </c>
      <c r="C34" s="97" t="str">
        <f>IF(MasterSheet!$A$1=1,MasterSheet!C99,MasterSheet!B99)</f>
        <v>Prihodi od kapitala</v>
      </c>
      <c r="D34" s="222">
        <v>1090502.76</v>
      </c>
      <c r="E34" s="267">
        <f t="shared" si="1"/>
        <v>2.5951375740701076E-2</v>
      </c>
      <c r="F34" s="222">
        <v>1798608.69</v>
      </c>
      <c r="G34" s="267">
        <f t="shared" si="0"/>
        <v>4.2802615121010926E-2</v>
      </c>
      <c r="H34" s="223">
        <f t="shared" si="2"/>
        <v>-708105.92999999993</v>
      </c>
      <c r="I34" s="276">
        <f t="shared" si="3"/>
        <v>-39.369649103607962</v>
      </c>
      <c r="J34" s="222">
        <v>2105757.3699999996</v>
      </c>
      <c r="K34" s="267">
        <f t="shared" si="4"/>
        <v>5.3253688988923166E-2</v>
      </c>
      <c r="L34" s="223">
        <f t="shared" si="5"/>
        <v>-1015254.6099999996</v>
      </c>
      <c r="M34" s="276">
        <f t="shared" si="6"/>
        <v>-48.213275872329007</v>
      </c>
      <c r="BY34" s="141"/>
      <c r="BZ34" s="141"/>
      <c r="CA34" s="141"/>
      <c r="CB34" s="141"/>
      <c r="CC34" s="141"/>
      <c r="CD34" s="142"/>
    </row>
    <row r="35" spans="1:82" ht="15" customHeight="1">
      <c r="B35" s="80">
        <v>7152</v>
      </c>
      <c r="C35" s="97" t="str">
        <f>IF(MasterSheet!$A$1=1,MasterSheet!C100,MasterSheet!B100)</f>
        <v>Novčane kazne i oduzete imovinske koristi</v>
      </c>
      <c r="D35" s="222">
        <v>1335327.76</v>
      </c>
      <c r="E35" s="267">
        <f t="shared" si="1"/>
        <v>3.1777629280597797E-2</v>
      </c>
      <c r="F35" s="222">
        <v>604377.29</v>
      </c>
      <c r="G35" s="267">
        <f t="shared" si="0"/>
        <v>1.4382744104138407E-2</v>
      </c>
      <c r="H35" s="223">
        <f t="shared" si="2"/>
        <v>730950.47</v>
      </c>
      <c r="I35" s="276">
        <f t="shared" si="3"/>
        <v>120.94274257062173</v>
      </c>
      <c r="J35" s="222">
        <v>1224399.33</v>
      </c>
      <c r="K35" s="267">
        <f t="shared" si="4"/>
        <v>3.096452708512468E-2</v>
      </c>
      <c r="L35" s="223">
        <f t="shared" si="5"/>
        <v>110928.42999999993</v>
      </c>
      <c r="M35" s="276">
        <f t="shared" si="6"/>
        <v>9.059824461027759</v>
      </c>
      <c r="BY35" s="141"/>
      <c r="BZ35" s="141"/>
      <c r="CA35" s="143"/>
      <c r="CB35" s="143"/>
      <c r="CC35" s="144"/>
      <c r="CD35" s="142"/>
    </row>
    <row r="36" spans="1:82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22">
        <v>4278124.3</v>
      </c>
      <c r="E36" s="267">
        <f t="shared" si="1"/>
        <v>0.10180919778206134</v>
      </c>
      <c r="F36" s="222">
        <v>6806974.21</v>
      </c>
      <c r="G36" s="267">
        <f t="shared" si="0"/>
        <v>0.16198981961400252</v>
      </c>
      <c r="H36" s="223">
        <f t="shared" si="2"/>
        <v>-2528849.91</v>
      </c>
      <c r="I36" s="276">
        <f t="shared" si="3"/>
        <v>-37.15086662565745</v>
      </c>
      <c r="J36" s="222">
        <v>2832288.34</v>
      </c>
      <c r="K36" s="267">
        <f t="shared" si="4"/>
        <v>7.1627341560871971E-2</v>
      </c>
      <c r="L36" s="223">
        <f t="shared" si="5"/>
        <v>1445835.96</v>
      </c>
      <c r="M36" s="276">
        <f t="shared" si="6"/>
        <v>51.048332176518443</v>
      </c>
      <c r="BY36" s="81"/>
      <c r="BZ36" s="81"/>
      <c r="CA36" s="145"/>
      <c r="CB36" s="145"/>
      <c r="CC36" s="145"/>
      <c r="CD36" s="142"/>
    </row>
    <row r="37" spans="1:82" ht="15" customHeight="1">
      <c r="B37" s="80">
        <v>7154</v>
      </c>
      <c r="C37" s="97" t="str">
        <f>IF(MasterSheet!$A$1=1,MasterSheet!C102,MasterSheet!B102)</f>
        <v>Ostali prihodi</v>
      </c>
      <c r="D37" s="222">
        <v>6675109.8900000006</v>
      </c>
      <c r="E37" s="267">
        <f t="shared" si="1"/>
        <v>0.15885176197615478</v>
      </c>
      <c r="F37" s="222">
        <v>7423081.3600000003</v>
      </c>
      <c r="G37" s="267">
        <f t="shared" si="0"/>
        <v>0.17665170652768855</v>
      </c>
      <c r="H37" s="222">
        <f t="shared" si="2"/>
        <v>-747971.46999999974</v>
      </c>
      <c r="I37" s="267">
        <f t="shared" si="3"/>
        <v>-10.076293573050634</v>
      </c>
      <c r="J37" s="222">
        <v>6860634.5000000019</v>
      </c>
      <c r="K37" s="267">
        <f t="shared" si="4"/>
        <v>0.17350246573263878</v>
      </c>
      <c r="L37" s="223">
        <f t="shared" si="5"/>
        <v>-185524.61000000127</v>
      </c>
      <c r="M37" s="276">
        <f t="shared" si="6"/>
        <v>-2.7041902611194502</v>
      </c>
      <c r="BX37" s="100"/>
      <c r="BY37" s="100"/>
      <c r="BZ37" s="99"/>
      <c r="CA37" s="145"/>
      <c r="CB37" s="145"/>
      <c r="CC37" s="145"/>
      <c r="CD37" s="142"/>
    </row>
    <row r="38" spans="1:82">
      <c r="B38" s="80">
        <v>73</v>
      </c>
      <c r="C38" s="101" t="str">
        <f>IF(MasterSheet!$A$1=1,MasterSheet!C103,MasterSheet!B103)</f>
        <v xml:space="preserve">Primici od otplate kredita </v>
      </c>
      <c r="D38" s="228">
        <v>0</v>
      </c>
      <c r="E38" s="269">
        <f t="shared" si="1"/>
        <v>0</v>
      </c>
      <c r="F38" s="228">
        <v>202999.99999999997</v>
      </c>
      <c r="G38" s="269">
        <f t="shared" si="0"/>
        <v>4.8309178743961342E-3</v>
      </c>
      <c r="H38" s="228">
        <f t="shared" si="2"/>
        <v>-202999.99999999997</v>
      </c>
      <c r="I38" s="267">
        <f t="shared" si="3"/>
        <v>-100</v>
      </c>
      <c r="J38" s="228">
        <v>0</v>
      </c>
      <c r="K38" s="269">
        <f t="shared" si="4"/>
        <v>0</v>
      </c>
      <c r="L38" s="229">
        <f t="shared" si="5"/>
        <v>0</v>
      </c>
      <c r="M38" s="278" t="e">
        <f t="shared" si="6"/>
        <v>#DIV/0!</v>
      </c>
      <c r="BX38" s="100"/>
      <c r="BY38" s="100"/>
      <c r="BZ38" s="99"/>
      <c r="CA38" s="145"/>
      <c r="CB38" s="145"/>
      <c r="CC38" s="145"/>
      <c r="CD38" s="142"/>
    </row>
    <row r="39" spans="1:82" ht="13.5" customHeight="1" thickBot="1">
      <c r="B39" s="80">
        <v>74</v>
      </c>
      <c r="C39" s="93" t="s">
        <v>122</v>
      </c>
      <c r="D39" s="228">
        <v>5185100.6500000004</v>
      </c>
      <c r="E39" s="269">
        <f t="shared" si="1"/>
        <v>0.12339308084053213</v>
      </c>
      <c r="F39" s="228">
        <v>6944814.6748969685</v>
      </c>
      <c r="G39" s="269">
        <f t="shared" si="0"/>
        <v>0.16527009530703621</v>
      </c>
      <c r="H39" s="228">
        <f t="shared" si="2"/>
        <v>-1759714.0248969682</v>
      </c>
      <c r="I39" s="269">
        <f t="shared" si="3"/>
        <v>-25.338531080717061</v>
      </c>
      <c r="J39" s="228">
        <v>5743110.1400000006</v>
      </c>
      <c r="K39" s="269">
        <f t="shared" si="4"/>
        <v>0.14524076020433971</v>
      </c>
      <c r="L39" s="229">
        <f t="shared" si="5"/>
        <v>-558009.49000000022</v>
      </c>
      <c r="M39" s="278">
        <f t="shared" si="6"/>
        <v>-9.7161551214826574</v>
      </c>
      <c r="BY39" s="146"/>
      <c r="BZ39" s="146"/>
      <c r="CA39" s="145"/>
      <c r="CB39" s="145"/>
      <c r="CC39" s="145"/>
      <c r="CD39" s="142"/>
    </row>
    <row r="40" spans="1:82" ht="15" customHeight="1" thickTop="1" thickBot="1">
      <c r="B40" s="102"/>
      <c r="C40" s="153" t="str">
        <f>IF(MasterSheet!$A$1=1,MasterSheet!C104,MasterSheet!B104)</f>
        <v>Izdaci</v>
      </c>
      <c r="D40" s="230">
        <f>+D42+D51+D54+D55+D56+D57+D58+D59+D60</f>
        <v>209326250.91999993</v>
      </c>
      <c r="E40" s="270">
        <f t="shared" si="1"/>
        <v>4.9814676214273792</v>
      </c>
      <c r="F40" s="230">
        <f>+F42+F51+F54+F55+F56+F57+F58+F59+F60</f>
        <v>210842175.00203449</v>
      </c>
      <c r="G40" s="270">
        <f t="shared" si="0"/>
        <v>5.0175430142555983</v>
      </c>
      <c r="H40" s="230">
        <f t="shared" si="2"/>
        <v>-1515924.0820345581</v>
      </c>
      <c r="I40" s="270">
        <f t="shared" si="3"/>
        <v>-0.71898522296116596</v>
      </c>
      <c r="J40" s="230">
        <f>+J42+J51+J54+J55+J56+J57+J58+J59</f>
        <v>204446762.20000002</v>
      </c>
      <c r="K40" s="296">
        <f t="shared" si="4"/>
        <v>5.170369789085024</v>
      </c>
      <c r="L40" s="230">
        <f t="shared" si="5"/>
        <v>4879488.7199999094</v>
      </c>
      <c r="M40" s="270">
        <f t="shared" si="6"/>
        <v>2.3866793817094276</v>
      </c>
      <c r="BY40" s="81"/>
      <c r="BZ40" s="81"/>
      <c r="CA40" s="145"/>
      <c r="CB40" s="145"/>
      <c r="CC40" s="145"/>
      <c r="CD40" s="142"/>
    </row>
    <row r="41" spans="1:82" ht="13.5" customHeight="1" thickTop="1" thickBot="1">
      <c r="C41" s="153" t="str">
        <f>IF(MasterSheet!$A$1=1,MasterSheet!C105,MasterSheet!B105)</f>
        <v>Tekuća budžetska potrošnja</v>
      </c>
      <c r="D41" s="230">
        <f>+D40-D55</f>
        <v>163202414.80999994</v>
      </c>
      <c r="E41" s="270">
        <f t="shared" si="1"/>
        <v>3.8838298662573463</v>
      </c>
      <c r="F41" s="230">
        <f>+F40-F55</f>
        <v>175842175.00203449</v>
      </c>
      <c r="G41" s="270">
        <f t="shared" si="0"/>
        <v>4.1846261393597128</v>
      </c>
      <c r="H41" s="230">
        <f t="shared" si="2"/>
        <v>-12639760.192034543</v>
      </c>
      <c r="I41" s="270">
        <f t="shared" si="3"/>
        <v>-7.1881277582515679</v>
      </c>
      <c r="J41" s="230">
        <f>+J40-J55</f>
        <v>163410936.36000001</v>
      </c>
      <c r="K41" s="296">
        <f t="shared" si="4"/>
        <v>4.1325915826210116</v>
      </c>
      <c r="L41" s="230">
        <f t="shared" si="5"/>
        <v>-208521.55000007153</v>
      </c>
      <c r="M41" s="270">
        <f t="shared" si="6"/>
        <v>-0.12760562704364986</v>
      </c>
      <c r="BY41" s="146"/>
      <c r="BZ41" s="146"/>
      <c r="CA41" s="145"/>
      <c r="CB41" s="145"/>
      <c r="CC41" s="145"/>
      <c r="CD41" s="142"/>
    </row>
    <row r="42" spans="1:82" ht="13.5" customHeight="1" thickTop="1">
      <c r="A42" s="80">
        <v>41</v>
      </c>
      <c r="C42" s="93" t="str">
        <f>+'Central Budget'!C37</f>
        <v>Tekući izdaci</v>
      </c>
      <c r="D42" s="94">
        <f>+SUM(D43:D50)</f>
        <v>80236963.439999968</v>
      </c>
      <c r="E42" s="245">
        <f t="shared" si="1"/>
        <v>1.9094491668451479</v>
      </c>
      <c r="F42" s="94">
        <f>+SUM(F43:F50)</f>
        <v>88536915.727138564</v>
      </c>
      <c r="G42" s="245">
        <f t="shared" si="0"/>
        <v>2.1069683188676747</v>
      </c>
      <c r="H42" s="205">
        <f t="shared" si="2"/>
        <v>-8299952.2871385962</v>
      </c>
      <c r="I42" s="258">
        <f t="shared" si="3"/>
        <v>-9.374566777002002</v>
      </c>
      <c r="J42" s="94">
        <f>+SUM(J43:J50)</f>
        <v>78974895.13000001</v>
      </c>
      <c r="K42" s="248">
        <f t="shared" si="4"/>
        <v>1.9972407852410099</v>
      </c>
      <c r="L42" s="205">
        <f t="shared" si="5"/>
        <v>1262068.3099999577</v>
      </c>
      <c r="M42" s="258">
        <f t="shared" si="6"/>
        <v>1.59806266019406</v>
      </c>
      <c r="BY42" s="146"/>
      <c r="BZ42" s="146"/>
      <c r="CA42" s="145"/>
      <c r="CB42" s="145"/>
      <c r="CC42" s="145"/>
      <c r="CD42" s="142"/>
    </row>
    <row r="43" spans="1:82" ht="13.5" customHeight="1">
      <c r="B43" s="80">
        <v>411</v>
      </c>
      <c r="C43" s="93" t="str">
        <f>+'Central Budget'!C38</f>
        <v>Bruto zarade i doprinosi na teret poslodavca</v>
      </c>
      <c r="D43" s="228">
        <v>46744798.819999985</v>
      </c>
      <c r="E43" s="269">
        <f t="shared" si="1"/>
        <v>1.1124151928797503</v>
      </c>
      <c r="F43" s="228">
        <v>48498849.127893083</v>
      </c>
      <c r="G43" s="269">
        <f t="shared" si="0"/>
        <v>1.1541574243329069</v>
      </c>
      <c r="H43" s="229">
        <f t="shared" si="2"/>
        <v>-1754050.3078930974</v>
      </c>
      <c r="I43" s="278">
        <f t="shared" si="3"/>
        <v>-3.6166843944432685</v>
      </c>
      <c r="J43" s="228">
        <v>45098519.069999993</v>
      </c>
      <c r="K43" s="269">
        <f t="shared" si="4"/>
        <v>1.1405219531131454</v>
      </c>
      <c r="L43" s="229">
        <f t="shared" si="5"/>
        <v>1646279.7499999925</v>
      </c>
      <c r="M43" s="278">
        <f t="shared" si="6"/>
        <v>3.6504075609327771</v>
      </c>
      <c r="BY43" s="146"/>
      <c r="BZ43" s="146"/>
      <c r="CA43" s="145"/>
      <c r="CB43" s="145"/>
      <c r="CC43" s="145"/>
      <c r="CD43" s="142"/>
    </row>
    <row r="44" spans="1:82" ht="13.5" customHeight="1">
      <c r="B44" s="80">
        <v>412</v>
      </c>
      <c r="C44" s="93" t="str">
        <f>+'Central Budget'!C39</f>
        <v>Ostala lična primanja</v>
      </c>
      <c r="D44" s="228">
        <v>3227794.9600000004</v>
      </c>
      <c r="E44" s="269">
        <f t="shared" si="1"/>
        <v>7.6813854025368278E-2</v>
      </c>
      <c r="F44" s="228">
        <v>7376996.1794646056</v>
      </c>
      <c r="G44" s="269">
        <f t="shared" si="0"/>
        <v>0.17555498868338701</v>
      </c>
      <c r="H44" s="229">
        <f t="shared" si="2"/>
        <v>-4149201.2194646052</v>
      </c>
      <c r="I44" s="278">
        <f t="shared" si="3"/>
        <v>-56.245131738237369</v>
      </c>
      <c r="J44" s="228">
        <v>4422209.4800000004</v>
      </c>
      <c r="K44" s="269">
        <f t="shared" si="4"/>
        <v>0.11183575641090487</v>
      </c>
      <c r="L44" s="229">
        <f t="shared" si="5"/>
        <v>-1194414.52</v>
      </c>
      <c r="M44" s="278">
        <f t="shared" si="6"/>
        <v>-27.009451393062449</v>
      </c>
      <c r="BY44" s="146"/>
      <c r="BZ44" s="146"/>
      <c r="CA44" s="145"/>
      <c r="CB44" s="145"/>
      <c r="CC44" s="145"/>
      <c r="CD44" s="142"/>
    </row>
    <row r="45" spans="1:82" ht="13.5" customHeight="1">
      <c r="B45" s="80">
        <v>413</v>
      </c>
      <c r="C45" s="93" t="s">
        <v>76</v>
      </c>
      <c r="D45" s="228">
        <v>14756484.77</v>
      </c>
      <c r="E45" s="269">
        <f t="shared" si="1"/>
        <v>0.35116929083077508</v>
      </c>
      <c r="F45" s="228">
        <v>16972112.796194404</v>
      </c>
      <c r="G45" s="269">
        <f t="shared" si="0"/>
        <v>0.40389597573104885</v>
      </c>
      <c r="H45" s="229">
        <f t="shared" si="2"/>
        <v>-2215628.0261944048</v>
      </c>
      <c r="I45" s="278">
        <f t="shared" si="3"/>
        <v>-13.054520982745331</v>
      </c>
      <c r="J45" s="228">
        <v>15302758.890000001</v>
      </c>
      <c r="K45" s="269">
        <f t="shared" si="4"/>
        <v>0.38700012366597542</v>
      </c>
      <c r="L45" s="229">
        <f t="shared" si="5"/>
        <v>-546274.12000000104</v>
      </c>
      <c r="M45" s="278">
        <f t="shared" si="6"/>
        <v>-3.5697753844699065</v>
      </c>
      <c r="BY45" s="146"/>
      <c r="BZ45" s="146"/>
      <c r="CA45" s="145"/>
      <c r="CB45" s="145"/>
      <c r="CC45" s="145"/>
      <c r="CD45" s="142"/>
    </row>
    <row r="46" spans="1:82" ht="13.5" customHeight="1">
      <c r="B46" s="80">
        <v>415</v>
      </c>
      <c r="C46" s="93" t="str">
        <f>+'Central Budget'!C42</f>
        <v>Rashodi za tekuće održavanje</v>
      </c>
      <c r="D46" s="228">
        <v>6171266.3400000017</v>
      </c>
      <c r="E46" s="269">
        <f t="shared" si="1"/>
        <v>0.14686148211608485</v>
      </c>
      <c r="F46" s="228">
        <v>5075602.2693896275</v>
      </c>
      <c r="G46" s="269">
        <f t="shared" si="0"/>
        <v>0.12078727944098494</v>
      </c>
      <c r="H46" s="229">
        <f t="shared" si="2"/>
        <v>1095664.0706103742</v>
      </c>
      <c r="I46" s="278">
        <f t="shared" si="3"/>
        <v>21.586878018756465</v>
      </c>
      <c r="J46" s="228">
        <v>5731511.8699999982</v>
      </c>
      <c r="K46" s="269">
        <f t="shared" si="4"/>
        <v>0.14494744499519494</v>
      </c>
      <c r="L46" s="229">
        <f t="shared" si="5"/>
        <v>439754.47000000346</v>
      </c>
      <c r="M46" s="278">
        <f t="shared" si="6"/>
        <v>7.6725736589986866</v>
      </c>
      <c r="BY46" s="146"/>
      <c r="BZ46" s="146"/>
      <c r="CA46" s="145"/>
      <c r="CB46" s="145"/>
      <c r="CC46" s="145"/>
      <c r="CD46" s="142"/>
    </row>
    <row r="47" spans="1:82" ht="13.5" customHeight="1">
      <c r="B47" s="80">
        <v>416</v>
      </c>
      <c r="C47" s="93" t="str">
        <f>+'Central Budget'!C43</f>
        <v>Kamate</v>
      </c>
      <c r="D47" s="228">
        <v>3808674.2700000005</v>
      </c>
      <c r="E47" s="269">
        <f t="shared" si="1"/>
        <v>9.0637402013279092E-2</v>
      </c>
      <c r="F47" s="228">
        <v>6000000</v>
      </c>
      <c r="G47" s="269">
        <f t="shared" si="0"/>
        <v>0.14278574998215177</v>
      </c>
      <c r="H47" s="229">
        <f t="shared" si="2"/>
        <v>-2191325.7299999995</v>
      </c>
      <c r="I47" s="278">
        <f t="shared" si="3"/>
        <v>-36.522095499999999</v>
      </c>
      <c r="J47" s="228">
        <v>4099927.0799999996</v>
      </c>
      <c r="K47" s="269">
        <f t="shared" si="4"/>
        <v>0.10368537453846544</v>
      </c>
      <c r="L47" s="229">
        <f t="shared" si="5"/>
        <v>-291252.80999999912</v>
      </c>
      <c r="M47" s="278">
        <f t="shared" si="6"/>
        <v>-7.1038534178027248</v>
      </c>
      <c r="BY47" s="146"/>
      <c r="BZ47" s="146"/>
      <c r="CA47" s="145"/>
      <c r="CB47" s="145"/>
      <c r="CC47" s="145"/>
      <c r="CD47" s="142"/>
    </row>
    <row r="48" spans="1:82" ht="13.5" customHeight="1">
      <c r="B48" s="80">
        <v>417</v>
      </c>
      <c r="C48" s="93" t="str">
        <f>+'Central Budget'!C44</f>
        <v>Renta</v>
      </c>
      <c r="D48" s="228">
        <v>583911.56999999995</v>
      </c>
      <c r="E48" s="269">
        <f t="shared" si="1"/>
        <v>1.3895708574284286E-2</v>
      </c>
      <c r="F48" s="228">
        <v>610832.91939052171</v>
      </c>
      <c r="G48" s="269">
        <f t="shared" si="0"/>
        <v>1.4536372751493817E-2</v>
      </c>
      <c r="H48" s="229">
        <f t="shared" si="2"/>
        <v>-26921.349390521762</v>
      </c>
      <c r="I48" s="278">
        <f t="shared" si="3"/>
        <v>-4.4073180301715524</v>
      </c>
      <c r="J48" s="228">
        <v>505241.3600000001</v>
      </c>
      <c r="K48" s="269">
        <f t="shared" si="4"/>
        <v>1.277733447979364E-2</v>
      </c>
      <c r="L48" s="229">
        <f t="shared" si="5"/>
        <v>78670.209999999846</v>
      </c>
      <c r="M48" s="278">
        <f t="shared" si="6"/>
        <v>15.57081748018409</v>
      </c>
      <c r="BY48" s="146"/>
      <c r="BZ48" s="146"/>
      <c r="CA48" s="145"/>
      <c r="CB48" s="145"/>
      <c r="CC48" s="145"/>
      <c r="CD48" s="142"/>
    </row>
    <row r="49" spans="1:82" ht="13.5" customHeight="1">
      <c r="B49" s="80">
        <v>418</v>
      </c>
      <c r="C49" s="93" t="str">
        <f>+'Central Budget'!C45</f>
        <v>Subvencije</v>
      </c>
      <c r="D49" s="228">
        <v>1213207.69</v>
      </c>
      <c r="E49" s="269">
        <f t="shared" si="1"/>
        <v>2.8871461650127318E-2</v>
      </c>
      <c r="F49" s="228">
        <v>990300.4507723382</v>
      </c>
      <c r="G49" s="269">
        <f t="shared" si="0"/>
        <v>2.3566798761865213E-2</v>
      </c>
      <c r="H49" s="229">
        <f t="shared" si="2"/>
        <v>222907.23922766175</v>
      </c>
      <c r="I49" s="278">
        <f t="shared" si="3"/>
        <v>22.509051576601394</v>
      </c>
      <c r="J49" s="228">
        <v>725330.73</v>
      </c>
      <c r="K49" s="269">
        <f t="shared" si="4"/>
        <v>1.8343299023822771E-2</v>
      </c>
      <c r="L49" s="229">
        <f t="shared" si="5"/>
        <v>487876.95999999996</v>
      </c>
      <c r="M49" s="278">
        <f t="shared" si="6"/>
        <v>67.262689945592115</v>
      </c>
      <c r="BY49" s="146"/>
      <c r="BZ49" s="146"/>
      <c r="CA49" s="145"/>
      <c r="CB49" s="145"/>
      <c r="CC49" s="145"/>
      <c r="CD49" s="142"/>
    </row>
    <row r="50" spans="1:82" ht="13.5" customHeight="1">
      <c r="B50" s="80">
        <v>419</v>
      </c>
      <c r="C50" s="93" t="str">
        <f>+'Central Budget'!C46</f>
        <v>Ostali izdaci</v>
      </c>
      <c r="D50" s="228">
        <v>3730825.0199999991</v>
      </c>
      <c r="E50" s="269">
        <f t="shared" si="1"/>
        <v>8.878477475547937E-2</v>
      </c>
      <c r="F50" s="228">
        <v>3012221.9840339716</v>
      </c>
      <c r="G50" s="269">
        <f t="shared" si="0"/>
        <v>7.1683729183835976E-2</v>
      </c>
      <c r="H50" s="229">
        <f t="shared" si="2"/>
        <v>718603.03596602753</v>
      </c>
      <c r="I50" s="278">
        <f t="shared" si="3"/>
        <v>23.856244319805199</v>
      </c>
      <c r="J50" s="228">
        <v>3089396.65</v>
      </c>
      <c r="K50" s="269">
        <f t="shared" si="4"/>
        <v>7.8129499013706943E-2</v>
      </c>
      <c r="L50" s="229">
        <f t="shared" si="5"/>
        <v>641428.36999999918</v>
      </c>
      <c r="M50" s="278">
        <f t="shared" si="6"/>
        <v>20.762253691185919</v>
      </c>
      <c r="BY50" s="146"/>
      <c r="BZ50" s="146"/>
      <c r="CA50" s="145"/>
      <c r="CB50" s="145"/>
      <c r="CC50" s="145"/>
      <c r="CD50" s="142"/>
    </row>
    <row r="51" spans="1:82" ht="13.5" customHeight="1">
      <c r="A51" s="80">
        <v>42</v>
      </c>
      <c r="B51" s="80" t="s">
        <v>427</v>
      </c>
      <c r="C51" s="93" t="str">
        <f>+'Central Budget'!C48</f>
        <v>Transferi za socijalnu zaštitu</v>
      </c>
      <c r="D51" s="228">
        <f>+D52</f>
        <v>812521.76</v>
      </c>
      <c r="E51" s="269">
        <f t="shared" si="1"/>
        <v>1.9336088146402988E-2</v>
      </c>
      <c r="F51" s="228">
        <f>+F52</f>
        <v>3272815.5522355167</v>
      </c>
      <c r="G51" s="269">
        <f t="shared" si="0"/>
        <v>7.7885237196533078E-2</v>
      </c>
      <c r="H51" s="229">
        <f t="shared" si="2"/>
        <v>-2460293.7922355169</v>
      </c>
      <c r="I51" s="278">
        <f t="shared" si="3"/>
        <v>-75.173615896410595</v>
      </c>
      <c r="J51" s="228">
        <f>+J52</f>
        <v>1094549.17</v>
      </c>
      <c r="K51" s="269">
        <f t="shared" si="4"/>
        <v>2.7680672955338624E-2</v>
      </c>
      <c r="L51" s="229">
        <f t="shared" si="5"/>
        <v>-282027.40999999992</v>
      </c>
      <c r="M51" s="278">
        <f t="shared" si="6"/>
        <v>-25.76653637223076</v>
      </c>
      <c r="BY51" s="146"/>
      <c r="BZ51" s="146"/>
      <c r="CA51" s="145"/>
      <c r="CB51" s="145"/>
      <c r="CC51" s="145"/>
      <c r="CD51" s="142"/>
    </row>
    <row r="52" spans="1:82" ht="13.5" customHeight="1">
      <c r="B52" s="80">
        <v>421</v>
      </c>
      <c r="C52" s="97" t="s">
        <v>88</v>
      </c>
      <c r="D52" s="309">
        <v>812521.76</v>
      </c>
      <c r="E52" s="267">
        <f>+D52/$D$11*100</f>
        <v>1.9336088146402988E-2</v>
      </c>
      <c r="F52" s="222">
        <v>3272815.5522355167</v>
      </c>
      <c r="G52" s="267">
        <f t="shared" si="0"/>
        <v>7.7885237196533078E-2</v>
      </c>
      <c r="H52" s="223">
        <f>+D52-F52</f>
        <v>-2460293.7922355169</v>
      </c>
      <c r="I52" s="276">
        <f>+D52/F52*100-100</f>
        <v>-75.173615896410595</v>
      </c>
      <c r="J52" s="309">
        <v>1094549.17</v>
      </c>
      <c r="K52" s="267">
        <f t="shared" si="4"/>
        <v>2.7680672955338624E-2</v>
      </c>
      <c r="L52" s="223">
        <f>+D52-J52</f>
        <v>-282027.40999999992</v>
      </c>
      <c r="M52" s="276">
        <f>+D52/J52*100-100</f>
        <v>-25.76653637223076</v>
      </c>
      <c r="BY52" s="146"/>
      <c r="BZ52" s="146"/>
      <c r="CA52" s="145"/>
      <c r="CB52" s="145"/>
      <c r="CC52" s="145"/>
      <c r="CD52" s="142"/>
    </row>
    <row r="53" spans="1:82" ht="13.5" customHeight="1">
      <c r="B53" s="80">
        <v>422</v>
      </c>
      <c r="C53" s="97" t="s">
        <v>90</v>
      </c>
      <c r="D53" s="222">
        <v>0</v>
      </c>
      <c r="E53" s="267">
        <f t="shared" si="1"/>
        <v>0</v>
      </c>
      <c r="F53" s="222">
        <v>0</v>
      </c>
      <c r="G53" s="267">
        <f t="shared" si="0"/>
        <v>0</v>
      </c>
      <c r="H53" s="223">
        <f t="shared" si="2"/>
        <v>0</v>
      </c>
      <c r="I53" s="276" t="e">
        <f t="shared" si="3"/>
        <v>#DIV/0!</v>
      </c>
      <c r="J53" s="222">
        <v>0</v>
      </c>
      <c r="K53" s="267">
        <f t="shared" si="4"/>
        <v>0</v>
      </c>
      <c r="L53" s="223">
        <f t="shared" si="5"/>
        <v>0</v>
      </c>
      <c r="M53" s="276" t="e">
        <f t="shared" si="6"/>
        <v>#DIV/0!</v>
      </c>
      <c r="BY53" s="146"/>
      <c r="BZ53" s="146"/>
      <c r="CA53" s="145"/>
      <c r="CB53" s="145"/>
      <c r="CC53" s="145"/>
      <c r="CD53" s="142"/>
    </row>
    <row r="54" spans="1:82" ht="13.5" customHeight="1" thickBot="1">
      <c r="A54" s="80">
        <v>43</v>
      </c>
      <c r="C54" s="93" t="str">
        <f>+'Central Budget'!C54</f>
        <v xml:space="preserve">Transferi institucijama, pojedincima, nevladinom i javnom sektoru </v>
      </c>
      <c r="D54" s="94">
        <v>45879334.299999997</v>
      </c>
      <c r="E54" s="245">
        <f t="shared" si="1"/>
        <v>1.09181919278456</v>
      </c>
      <c r="F54" s="94">
        <v>41546915.376421064</v>
      </c>
      <c r="G54" s="245">
        <f t="shared" si="0"/>
        <v>0.98871791191121261</v>
      </c>
      <c r="H54" s="205">
        <f t="shared" si="2"/>
        <v>4332418.9235789329</v>
      </c>
      <c r="I54" s="258">
        <f t="shared" si="3"/>
        <v>10.427775165319957</v>
      </c>
      <c r="J54" s="154">
        <v>41356828.290000007</v>
      </c>
      <c r="K54" s="248">
        <f t="shared" si="4"/>
        <v>1.0458962189570586</v>
      </c>
      <c r="L54" s="205">
        <f t="shared" si="5"/>
        <v>4522506.0099999905</v>
      </c>
      <c r="M54" s="258">
        <f t="shared" si="6"/>
        <v>10.935330867946476</v>
      </c>
      <c r="BY54" s="146"/>
      <c r="BZ54" s="146"/>
      <c r="CA54" s="145"/>
      <c r="CB54" s="145"/>
      <c r="CC54" s="145"/>
      <c r="CD54" s="142"/>
    </row>
    <row r="55" spans="1:82" ht="13.5" customHeight="1" thickTop="1" thickBot="1">
      <c r="B55" s="80">
        <v>44</v>
      </c>
      <c r="C55" s="153" t="str">
        <f>+'Central Budget'!C57</f>
        <v>Kapitalni budžet</v>
      </c>
      <c r="D55" s="230">
        <v>46123836.109999999</v>
      </c>
      <c r="E55" s="270">
        <f t="shared" si="1"/>
        <v>1.097637755170034</v>
      </c>
      <c r="F55" s="231">
        <v>35000000</v>
      </c>
      <c r="G55" s="270">
        <f t="shared" si="0"/>
        <v>0.83291687489588551</v>
      </c>
      <c r="H55" s="230">
        <f t="shared" si="2"/>
        <v>11123836.109999999</v>
      </c>
      <c r="I55" s="270">
        <f t="shared" si="3"/>
        <v>31.782388885714283</v>
      </c>
      <c r="J55" s="231">
        <v>41035825.840000004</v>
      </c>
      <c r="K55" s="296">
        <f t="shared" si="4"/>
        <v>1.0377782064640131</v>
      </c>
      <c r="L55" s="230">
        <f t="shared" si="5"/>
        <v>5088010.2699999958</v>
      </c>
      <c r="M55" s="270">
        <f t="shared" si="6"/>
        <v>12.39894693441363</v>
      </c>
      <c r="BY55" s="146"/>
      <c r="BZ55" s="146"/>
      <c r="CA55" s="145"/>
      <c r="CB55" s="145"/>
      <c r="CC55" s="145"/>
      <c r="CD55" s="142"/>
    </row>
    <row r="56" spans="1:82" ht="13.5" customHeight="1" thickTop="1">
      <c r="B56" s="80">
        <v>451</v>
      </c>
      <c r="C56" s="93" t="str">
        <f>+'Central Budget'!C58</f>
        <v>Pozajmice i krediti</v>
      </c>
      <c r="D56" s="228">
        <v>2342480.2000000002</v>
      </c>
      <c r="E56" s="269">
        <f t="shared" si="1"/>
        <v>5.5745465362556826E-2</v>
      </c>
      <c r="F56" s="228">
        <v>590702.47124910925</v>
      </c>
      <c r="G56" s="269">
        <f t="shared" si="0"/>
        <v>1.4057315895602419E-2</v>
      </c>
      <c r="H56" s="229">
        <f t="shared" si="2"/>
        <v>1751777.7287508911</v>
      </c>
      <c r="I56" s="278">
        <f t="shared" si="3"/>
        <v>296.55838836200445</v>
      </c>
      <c r="J56" s="228">
        <v>673652.63000000012</v>
      </c>
      <c r="K56" s="269">
        <f t="shared" si="4"/>
        <v>1.7036382327651613E-2</v>
      </c>
      <c r="L56" s="229">
        <f t="shared" si="5"/>
        <v>1668827.57</v>
      </c>
      <c r="M56" s="278">
        <f t="shared" si="6"/>
        <v>247.72820526210961</v>
      </c>
      <c r="BY56" s="146"/>
      <c r="BZ56" s="146"/>
      <c r="CA56" s="145"/>
      <c r="CB56" s="145"/>
      <c r="CC56" s="145"/>
      <c r="CD56" s="142"/>
    </row>
    <row r="57" spans="1:82" ht="13.5" customHeight="1" thickBot="1">
      <c r="B57" s="80">
        <v>47</v>
      </c>
      <c r="C57" s="93" t="str">
        <f>+'Central Budget'!C59</f>
        <v>Rezerve</v>
      </c>
      <c r="D57" s="232">
        <v>1996206.4699999997</v>
      </c>
      <c r="E57" s="271">
        <f t="shared" si="1"/>
        <v>4.7504972989695624E-2</v>
      </c>
      <c r="F57" s="232">
        <v>1894825.87499023</v>
      </c>
      <c r="G57" s="271">
        <f t="shared" si="0"/>
        <v>4.5092355607677825E-2</v>
      </c>
      <c r="H57" s="233">
        <f t="shared" si="2"/>
        <v>101380.59500976978</v>
      </c>
      <c r="I57" s="279">
        <f t="shared" si="3"/>
        <v>5.3503911017835719</v>
      </c>
      <c r="J57" s="232">
        <v>1941229.8</v>
      </c>
      <c r="K57" s="271">
        <f t="shared" si="4"/>
        <v>4.9092858226695658E-2</v>
      </c>
      <c r="L57" s="233">
        <f t="shared" si="5"/>
        <v>54976.669999999693</v>
      </c>
      <c r="M57" s="279">
        <f t="shared" si="6"/>
        <v>2.8320536806100733</v>
      </c>
      <c r="BY57" s="146"/>
      <c r="BZ57" s="146"/>
      <c r="CA57" s="145"/>
      <c r="CB57" s="145"/>
      <c r="CC57" s="145"/>
      <c r="CD57" s="142"/>
    </row>
    <row r="58" spans="1:82" ht="13.5" customHeight="1" thickTop="1" thickBot="1">
      <c r="B58" s="80">
        <v>462</v>
      </c>
      <c r="C58" s="197" t="s">
        <v>112</v>
      </c>
      <c r="D58" s="234">
        <v>0</v>
      </c>
      <c r="E58" s="272">
        <f t="shared" si="1"/>
        <v>0</v>
      </c>
      <c r="F58" s="234">
        <v>40000000</v>
      </c>
      <c r="G58" s="272">
        <f t="shared" si="0"/>
        <v>0.95190499988101196</v>
      </c>
      <c r="H58" s="235">
        <f t="shared" si="2"/>
        <v>-40000000</v>
      </c>
      <c r="I58" s="279">
        <f t="shared" si="3"/>
        <v>-100</v>
      </c>
      <c r="J58" s="234">
        <v>0</v>
      </c>
      <c r="K58" s="272">
        <f t="shared" si="4"/>
        <v>0</v>
      </c>
      <c r="L58" s="235">
        <f t="shared" si="5"/>
        <v>0</v>
      </c>
      <c r="M58" s="280" t="e">
        <f t="shared" si="6"/>
        <v>#DIV/0!</v>
      </c>
      <c r="BY58" s="146"/>
      <c r="BZ58" s="146"/>
      <c r="CA58" s="145"/>
      <c r="CB58" s="145"/>
      <c r="CC58" s="145"/>
      <c r="CD58" s="142"/>
    </row>
    <row r="59" spans="1:82" ht="13.5" customHeight="1" thickTop="1" thickBot="1">
      <c r="B59" s="80" t="s">
        <v>452</v>
      </c>
      <c r="C59" s="197" t="s">
        <v>450</v>
      </c>
      <c r="D59" s="228">
        <v>31934908.639999997</v>
      </c>
      <c r="E59" s="272">
        <f t="shared" si="1"/>
        <v>0.75997498012898312</v>
      </c>
      <c r="F59" s="228">
        <v>0</v>
      </c>
      <c r="G59" s="272">
        <f t="shared" si="0"/>
        <v>0</v>
      </c>
      <c r="H59" s="235">
        <f t="shared" si="2"/>
        <v>31934908.639999997</v>
      </c>
      <c r="I59" s="279" t="e">
        <f t="shared" si="3"/>
        <v>#DIV/0!</v>
      </c>
      <c r="J59" s="228">
        <v>39369781.339999996</v>
      </c>
      <c r="K59" s="272">
        <f t="shared" si="4"/>
        <v>0.99564466491325665</v>
      </c>
      <c r="L59" s="235">
        <f t="shared" si="5"/>
        <v>-7434872.6999999993</v>
      </c>
      <c r="M59" s="280">
        <f t="shared" si="6"/>
        <v>-18.884719312489835</v>
      </c>
      <c r="BY59" s="146"/>
      <c r="BZ59" s="146"/>
      <c r="CA59" s="145"/>
      <c r="CB59" s="145"/>
      <c r="CC59" s="145"/>
      <c r="CD59" s="142"/>
    </row>
    <row r="60" spans="1:82" ht="13.5" customHeight="1" thickTop="1" thickBot="1">
      <c r="B60" s="80">
        <v>990</v>
      </c>
      <c r="C60" s="198" t="s">
        <v>151</v>
      </c>
      <c r="D60" s="236">
        <v>0</v>
      </c>
      <c r="E60" s="273">
        <f t="shared" si="1"/>
        <v>0</v>
      </c>
      <c r="F60" s="236">
        <v>0</v>
      </c>
      <c r="G60" s="273">
        <f t="shared" si="0"/>
        <v>0</v>
      </c>
      <c r="H60" s="237">
        <f t="shared" si="2"/>
        <v>0</v>
      </c>
      <c r="I60" s="281"/>
      <c r="J60" s="236">
        <v>-17434355.329999998</v>
      </c>
      <c r="K60" s="273">
        <f t="shared" si="4"/>
        <v>-0.44090727150877546</v>
      </c>
      <c r="L60" s="237">
        <f t="shared" si="5"/>
        <v>17434355.329999998</v>
      </c>
      <c r="M60" s="281"/>
      <c r="BY60" s="146"/>
      <c r="BZ60" s="146"/>
      <c r="CA60" s="145"/>
      <c r="CB60" s="145"/>
      <c r="CC60" s="145"/>
      <c r="CD60" s="142"/>
    </row>
    <row r="61" spans="1:82" ht="13.5" customHeight="1" thickTop="1" thickBot="1">
      <c r="C61" s="153" t="str">
        <f>+'Central Budget'!C63</f>
        <v>Suficit / deficit</v>
      </c>
      <c r="D61" s="230">
        <f>+D16-D40</f>
        <v>9796169.7700001001</v>
      </c>
      <c r="E61" s="270">
        <f t="shared" si="1"/>
        <v>0.23312557459365793</v>
      </c>
      <c r="F61" s="230">
        <f>+F16-F40</f>
        <v>-4427421.1317163706</v>
      </c>
      <c r="G61" s="270">
        <f t="shared" si="0"/>
        <v>-0.10536210779649154</v>
      </c>
      <c r="H61" s="230">
        <f>+D61-F61</f>
        <v>14223590.901716471</v>
      </c>
      <c r="I61" s="270">
        <f t="shared" si="3"/>
        <v>-321.26130491233471</v>
      </c>
      <c r="J61" s="230">
        <f>+J16-J40</f>
        <v>-7249308.5100000203</v>
      </c>
      <c r="K61" s="296">
        <f t="shared" si="4"/>
        <v>-0.18333186257650144</v>
      </c>
      <c r="L61" s="230">
        <f t="shared" si="5"/>
        <v>17045478.28000012</v>
      </c>
      <c r="M61" s="270">
        <f t="shared" si="6"/>
        <v>-235.13247169004913</v>
      </c>
      <c r="BY61" s="146"/>
      <c r="BZ61" s="146"/>
      <c r="CA61" s="145"/>
      <c r="CB61" s="145"/>
      <c r="CC61" s="145"/>
      <c r="CD61" s="142"/>
    </row>
    <row r="62" spans="1:82" ht="13.5" customHeight="1" thickTop="1" thickBot="1">
      <c r="C62" s="327" t="s">
        <v>475</v>
      </c>
      <c r="D62" s="230"/>
      <c r="E62" s="270"/>
      <c r="F62" s="230"/>
      <c r="G62" s="270"/>
      <c r="H62" s="230"/>
      <c r="I62" s="270"/>
      <c r="J62" s="230">
        <f>J61-J60</f>
        <v>10185046.819999978</v>
      </c>
      <c r="K62" s="296">
        <f t="shared" si="4"/>
        <v>0.25757540893227399</v>
      </c>
      <c r="L62" s="230"/>
      <c r="M62" s="270"/>
      <c r="BY62" s="146"/>
      <c r="BZ62" s="146"/>
      <c r="CA62" s="145"/>
      <c r="CB62" s="145"/>
      <c r="CC62" s="145"/>
      <c r="CD62" s="142"/>
    </row>
    <row r="63" spans="1:82" ht="13.5" customHeight="1" thickTop="1" thickBot="1">
      <c r="C63" s="153" t="str">
        <f>+'Central Budget'!C65</f>
        <v>Primarni bilans</v>
      </c>
      <c r="D63" s="230">
        <f>+D61+D47</f>
        <v>13604844.0400001</v>
      </c>
      <c r="E63" s="270">
        <f t="shared" si="1"/>
        <v>0.32376297660693698</v>
      </c>
      <c r="F63" s="230">
        <f>+F61+F47</f>
        <v>1572578.8682836294</v>
      </c>
      <c r="G63" s="270">
        <f t="shared" si="0"/>
        <v>3.7423642185660251E-2</v>
      </c>
      <c r="H63" s="230">
        <f t="shared" si="2"/>
        <v>12032265.17171647</v>
      </c>
      <c r="I63" s="270">
        <f t="shared" si="3"/>
        <v>765.12952160224097</v>
      </c>
      <c r="J63" s="230">
        <f>+J62-J47</f>
        <v>6085119.7399999779</v>
      </c>
      <c r="K63" s="296">
        <f t="shared" si="4"/>
        <v>0.15389003439380855</v>
      </c>
      <c r="L63" s="230">
        <f t="shared" si="5"/>
        <v>7519724.3000001218</v>
      </c>
      <c r="M63" s="270">
        <f t="shared" si="6"/>
        <v>123.57561759335485</v>
      </c>
      <c r="BY63" s="146"/>
      <c r="BZ63" s="146"/>
      <c r="CA63" s="145"/>
      <c r="CB63" s="145"/>
      <c r="CC63" s="145"/>
      <c r="CD63" s="142"/>
    </row>
    <row r="64" spans="1:82" ht="13.5" customHeight="1" thickTop="1" thickBot="1">
      <c r="C64" s="153" t="str">
        <f>+'Central Budget'!C66</f>
        <v>Otplata dugova</v>
      </c>
      <c r="D64" s="230">
        <f>+SUM(D65:D66)</f>
        <v>13189279.220000003</v>
      </c>
      <c r="E64" s="270">
        <f t="shared" si="1"/>
        <v>0.31387352085861836</v>
      </c>
      <c r="F64" s="230">
        <f>+SUM(F65:F67)</f>
        <v>33000000</v>
      </c>
      <c r="G64" s="270">
        <f t="shared" si="0"/>
        <v>0.78532162490183477</v>
      </c>
      <c r="H64" s="230">
        <f t="shared" si="2"/>
        <v>-19810720.779999997</v>
      </c>
      <c r="I64" s="270">
        <f t="shared" si="3"/>
        <v>-60.032487212121204</v>
      </c>
      <c r="J64" s="230">
        <f>+SUM(J65:J66)</f>
        <v>17297596.619999997</v>
      </c>
      <c r="K64" s="296">
        <f t="shared" si="4"/>
        <v>0.43744870315107981</v>
      </c>
      <c r="L64" s="230">
        <f t="shared" si="5"/>
        <v>-4108317.3999999948</v>
      </c>
      <c r="M64" s="270">
        <f t="shared" si="6"/>
        <v>-23.750798970822558</v>
      </c>
      <c r="BY64" s="146"/>
      <c r="BZ64" s="146"/>
      <c r="CA64" s="145"/>
      <c r="CB64" s="145"/>
      <c r="CC64" s="145"/>
      <c r="CD64" s="142"/>
    </row>
    <row r="65" spans="2:82" ht="13.5" customHeight="1" thickTop="1">
      <c r="B65" s="80">
        <v>4611</v>
      </c>
      <c r="C65" s="97" t="str">
        <f>+'Central Budget'!C67</f>
        <v>Otplata hartija od vrijednosti i kredita rezidentima</v>
      </c>
      <c r="D65" s="238">
        <v>10275112.940000001</v>
      </c>
      <c r="E65" s="274">
        <f t="shared" si="1"/>
        <v>0.2445232845482021</v>
      </c>
      <c r="F65" s="323">
        <v>30000000</v>
      </c>
      <c r="G65" s="274">
        <f t="shared" si="0"/>
        <v>0.71392874991075883</v>
      </c>
      <c r="H65" s="239">
        <f t="shared" si="2"/>
        <v>-19724887.059999999</v>
      </c>
      <c r="I65" s="282">
        <f t="shared" si="3"/>
        <v>-65.749623533333335</v>
      </c>
      <c r="J65" s="238">
        <v>15077864.909999998</v>
      </c>
      <c r="K65" s="274">
        <f t="shared" si="4"/>
        <v>0.38131265262252789</v>
      </c>
      <c r="L65" s="239">
        <f t="shared" si="5"/>
        <v>-4802751.9699999969</v>
      </c>
      <c r="M65" s="282">
        <f t="shared" si="6"/>
        <v>-31.852997746482643</v>
      </c>
      <c r="BY65" s="146"/>
      <c r="BZ65" s="146"/>
      <c r="CA65" s="145"/>
      <c r="CB65" s="145"/>
      <c r="CC65" s="145"/>
      <c r="CD65" s="142"/>
    </row>
    <row r="66" spans="2:82" ht="12" customHeight="1">
      <c r="B66" s="80">
        <v>4612</v>
      </c>
      <c r="C66" s="97" t="str">
        <f>+'Central Budget'!C68</f>
        <v>Otplata hartija od vrijednosti i kredita nerezidentima</v>
      </c>
      <c r="D66" s="240">
        <v>2914166.2800000003</v>
      </c>
      <c r="E66" s="267">
        <f t="shared" si="1"/>
        <v>6.9350236310416216E-2</v>
      </c>
      <c r="F66" s="222">
        <v>3000000</v>
      </c>
      <c r="G66" s="267">
        <f t="shared" si="0"/>
        <v>7.1392874991075883E-2</v>
      </c>
      <c r="H66" s="223">
        <f t="shared" si="2"/>
        <v>-85833.719999999739</v>
      </c>
      <c r="I66" s="276">
        <f t="shared" si="3"/>
        <v>-2.8611239999999896</v>
      </c>
      <c r="J66" s="240">
        <v>2219731.71</v>
      </c>
      <c r="K66" s="267">
        <f t="shared" si="4"/>
        <v>5.6136050528551917E-2</v>
      </c>
      <c r="L66" s="223">
        <f t="shared" si="5"/>
        <v>694434.5700000003</v>
      </c>
      <c r="M66" s="276">
        <f t="shared" si="6"/>
        <v>31.284617274760649</v>
      </c>
      <c r="BY66" s="146"/>
      <c r="BZ66" s="146"/>
      <c r="CA66" s="145"/>
      <c r="CB66" s="145"/>
      <c r="CC66" s="145"/>
      <c r="CD66" s="142"/>
    </row>
    <row r="67" spans="2:82" ht="13.5" customHeight="1" thickBot="1">
      <c r="B67" s="80" t="s">
        <v>452</v>
      </c>
      <c r="C67" s="97" t="str">
        <f>+'Central Budget'!C61</f>
        <v>Otplata obaveza iz prethodnih godina</v>
      </c>
      <c r="D67" s="240">
        <v>0</v>
      </c>
      <c r="E67" s="267">
        <f t="shared" si="1"/>
        <v>0</v>
      </c>
      <c r="F67" s="309">
        <v>0</v>
      </c>
      <c r="G67" s="267">
        <f t="shared" si="0"/>
        <v>0</v>
      </c>
      <c r="H67" s="223">
        <f t="shared" si="2"/>
        <v>0</v>
      </c>
      <c r="I67" s="276" t="e">
        <f t="shared" si="3"/>
        <v>#DIV/0!</v>
      </c>
      <c r="J67" s="240">
        <v>0</v>
      </c>
      <c r="K67" s="267">
        <f t="shared" si="4"/>
        <v>0</v>
      </c>
      <c r="L67" s="223">
        <f t="shared" si="5"/>
        <v>0</v>
      </c>
      <c r="M67" s="276" t="e">
        <f t="shared" si="6"/>
        <v>#DIV/0!</v>
      </c>
      <c r="BY67" s="146"/>
      <c r="BZ67" s="146"/>
      <c r="CA67" s="145"/>
      <c r="CB67" s="145"/>
      <c r="CC67" s="145"/>
      <c r="CD67" s="142"/>
    </row>
    <row r="68" spans="2:82" ht="13.5" customHeight="1" thickTop="1" thickBot="1">
      <c r="C68" s="153" t="str">
        <f>+'Central Budget'!C70</f>
        <v>Nedostajuća sredstva</v>
      </c>
      <c r="D68" s="230">
        <f>+D61-D64</f>
        <v>-3393109.4499999024</v>
      </c>
      <c r="E68" s="270">
        <f t="shared" si="1"/>
        <v>-8.074794626496043E-2</v>
      </c>
      <c r="F68" s="230">
        <f>+F61-F64</f>
        <v>-37427421.131716371</v>
      </c>
      <c r="G68" s="270">
        <f t="shared" si="0"/>
        <v>-0.89068373269832624</v>
      </c>
      <c r="H68" s="230">
        <f t="shared" si="2"/>
        <v>34034311.681716472</v>
      </c>
      <c r="I68" s="270">
        <f t="shared" si="3"/>
        <v>-90.934161779250815</v>
      </c>
      <c r="J68" s="230">
        <f>+J62-J64</f>
        <v>-7112549.8000000194</v>
      </c>
      <c r="K68" s="296">
        <f t="shared" si="4"/>
        <v>-0.17987329421880582</v>
      </c>
      <c r="L68" s="230">
        <f t="shared" si="5"/>
        <v>3719440.350000117</v>
      </c>
      <c r="M68" s="270">
        <f t="shared" si="6"/>
        <v>-52.294050018463231</v>
      </c>
      <c r="BY68" s="146"/>
      <c r="BZ68" s="146"/>
      <c r="CA68" s="145"/>
      <c r="CB68" s="145"/>
      <c r="CC68" s="145"/>
      <c r="CD68" s="142"/>
    </row>
    <row r="69" spans="2:82" ht="13.5" customHeight="1" thickTop="1" thickBot="1">
      <c r="C69" s="153" t="str">
        <f>+'Central Budget'!C71</f>
        <v>Finansiranje</v>
      </c>
      <c r="D69" s="230">
        <f>+SUM(D70:D73)-D74</f>
        <v>3393109.4499999024</v>
      </c>
      <c r="E69" s="270">
        <f t="shared" si="1"/>
        <v>8.074794626496043E-2</v>
      </c>
      <c r="F69" s="230">
        <f>SUM(F70:F73)+F74</f>
        <v>37427421.131716371</v>
      </c>
      <c r="G69" s="270">
        <f t="shared" si="0"/>
        <v>0.89068373269832624</v>
      </c>
      <c r="H69" s="230">
        <f t="shared" si="2"/>
        <v>-34034311.681716472</v>
      </c>
      <c r="I69" s="270">
        <f t="shared" si="3"/>
        <v>-90.934161779250815</v>
      </c>
      <c r="J69" s="230">
        <f>+SUM(J70:J73)+J74</f>
        <v>7112549.8000000194</v>
      </c>
      <c r="K69" s="296">
        <f t="shared" si="4"/>
        <v>0.17987329421880582</v>
      </c>
      <c r="L69" s="230">
        <f t="shared" si="5"/>
        <v>-3719440.350000117</v>
      </c>
      <c r="M69" s="270">
        <f t="shared" si="6"/>
        <v>-52.294050018463231</v>
      </c>
      <c r="BY69" s="146"/>
      <c r="BZ69" s="146"/>
      <c r="CA69" s="145"/>
      <c r="CB69" s="145"/>
      <c r="CC69" s="145"/>
      <c r="CD69" s="142"/>
    </row>
    <row r="70" spans="2:82" ht="13.5" customHeight="1" thickTop="1">
      <c r="B70" s="80">
        <v>7511</v>
      </c>
      <c r="C70" s="97" t="str">
        <f>+'Central Budget'!C72</f>
        <v>Pozajmice i krediti od domaćih izvora</v>
      </c>
      <c r="D70" s="238">
        <v>4315187.05</v>
      </c>
      <c r="E70" s="274">
        <f t="shared" si="1"/>
        <v>0.10269120320791986</v>
      </c>
      <c r="F70" s="323">
        <v>10000000</v>
      </c>
      <c r="G70" s="274">
        <f t="shared" si="0"/>
        <v>0.23797624997025299</v>
      </c>
      <c r="H70" s="239">
        <f t="shared" si="2"/>
        <v>-5684812.9500000002</v>
      </c>
      <c r="I70" s="282">
        <f t="shared" si="3"/>
        <v>-56.848129499999999</v>
      </c>
      <c r="J70" s="238">
        <v>11428013.42</v>
      </c>
      <c r="K70" s="274">
        <f t="shared" si="4"/>
        <v>0.28900949420868949</v>
      </c>
      <c r="L70" s="239">
        <f t="shared" si="5"/>
        <v>-7112826.3700000001</v>
      </c>
      <c r="M70" s="282">
        <f t="shared" si="6"/>
        <v>-62.240269665346617</v>
      </c>
      <c r="BY70" s="146"/>
      <c r="BZ70" s="146"/>
      <c r="CA70" s="145"/>
      <c r="CB70" s="145"/>
      <c r="CC70" s="145"/>
      <c r="CD70" s="142"/>
    </row>
    <row r="71" spans="2:82" ht="13.5" customHeight="1">
      <c r="B71" s="80">
        <v>7512</v>
      </c>
      <c r="C71" s="97" t="str">
        <f>+'Central Budget'!C73</f>
        <v>Pozajmice i krediti od inostranih izvora</v>
      </c>
      <c r="D71" s="240">
        <v>572822.44999999995</v>
      </c>
      <c r="E71" s="267">
        <f t="shared" si="1"/>
        <v>1.3631813854977273E-2</v>
      </c>
      <c r="F71" s="222">
        <v>9000000</v>
      </c>
      <c r="G71" s="267">
        <f t="shared" si="0"/>
        <v>0.21417862497322768</v>
      </c>
      <c r="H71" s="223">
        <f t="shared" si="2"/>
        <v>-8427177.5500000007</v>
      </c>
      <c r="I71" s="276">
        <f t="shared" si="3"/>
        <v>-93.635306111111106</v>
      </c>
      <c r="J71" s="240">
        <v>200100</v>
      </c>
      <c r="K71" s="267">
        <f t="shared" si="4"/>
        <v>5.0604420616053823E-3</v>
      </c>
      <c r="L71" s="223">
        <f t="shared" si="5"/>
        <v>372722.44999999995</v>
      </c>
      <c r="M71" s="298">
        <f t="shared" si="6"/>
        <v>186.26809095452273</v>
      </c>
      <c r="BY71" s="146"/>
      <c r="BZ71" s="146"/>
      <c r="CA71" s="145"/>
      <c r="CB71" s="145"/>
      <c r="CC71" s="145"/>
      <c r="CD71" s="142"/>
    </row>
    <row r="72" spans="2:82" ht="13.5" customHeight="1" thickBot="1">
      <c r="B72" s="80">
        <v>72</v>
      </c>
      <c r="C72" s="103" t="str">
        <f>+'Central Budget'!C74</f>
        <v>Primici od prodaje imovine</v>
      </c>
      <c r="D72" s="240">
        <v>3081682.36</v>
      </c>
      <c r="E72" s="267">
        <f t="shared" si="1"/>
        <v>7.3336721163227911E-2</v>
      </c>
      <c r="F72" s="222">
        <v>5000000</v>
      </c>
      <c r="G72" s="267">
        <f t="shared" si="0"/>
        <v>0.11898812498512649</v>
      </c>
      <c r="H72" s="223">
        <f t="shared" si="2"/>
        <v>-1918317.6400000001</v>
      </c>
      <c r="I72" s="276">
        <f t="shared" si="3"/>
        <v>-38.366352800000001</v>
      </c>
      <c r="J72" s="240">
        <v>6912274.6999999993</v>
      </c>
      <c r="K72" s="267">
        <f t="shared" si="4"/>
        <v>0.17480842395427645</v>
      </c>
      <c r="L72" s="223">
        <f t="shared" si="5"/>
        <v>-3830592.3399999994</v>
      </c>
      <c r="M72" s="276">
        <f t="shared" si="6"/>
        <v>-55.417246944772025</v>
      </c>
      <c r="BY72" s="146"/>
      <c r="BZ72" s="146"/>
      <c r="CA72" s="145"/>
      <c r="CB72" s="145"/>
      <c r="CC72" s="145"/>
      <c r="CD72" s="142"/>
    </row>
    <row r="73" spans="2:82" ht="13.5" customHeight="1" thickTop="1" thickBot="1">
      <c r="C73" s="148" t="str">
        <f>+'Central Budget'!C75</f>
        <v>Povećanje / smanjenje depozita</v>
      </c>
      <c r="D73" s="149">
        <f>-D68-SUM(D70:D72)+D74</f>
        <v>-942474.05000009667</v>
      </c>
      <c r="E73" s="249">
        <f t="shared" si="1"/>
        <v>-2.2428644011329969E-2</v>
      </c>
      <c r="F73" s="149">
        <f>-F68-SUM(F70:F72)-F74</f>
        <v>10427421.131716371</v>
      </c>
      <c r="G73" s="249">
        <f t="shared" si="0"/>
        <v>0.24814785777864329</v>
      </c>
      <c r="H73" s="206">
        <f t="shared" si="2"/>
        <v>-11369895.181716468</v>
      </c>
      <c r="I73" s="264">
        <f t="shared" si="3"/>
        <v>-109.03841935695336</v>
      </c>
      <c r="J73" s="163">
        <f>-J68-SUM(J70:J72)-J74</f>
        <v>-13175605.129999978</v>
      </c>
      <c r="K73" s="297">
        <f t="shared" si="4"/>
        <v>-0.33320532927014257</v>
      </c>
      <c r="L73" s="206">
        <f t="shared" si="5"/>
        <v>12233131.079999883</v>
      </c>
      <c r="M73" s="264">
        <f t="shared" si="6"/>
        <v>-92.846825320727419</v>
      </c>
      <c r="BY73" s="146"/>
      <c r="BZ73" s="146"/>
      <c r="CA73" s="145"/>
      <c r="CB73" s="145"/>
      <c r="CC73" s="145"/>
      <c r="CD73" s="142"/>
    </row>
    <row r="74" spans="2:82" ht="13.5" customHeight="1" thickTop="1" thickBot="1">
      <c r="B74" s="80">
        <v>999</v>
      </c>
      <c r="C74" s="153" t="s">
        <v>460</v>
      </c>
      <c r="D74" s="231">
        <v>3634108.3600000003</v>
      </c>
      <c r="E74" s="270">
        <f t="shared" si="1"/>
        <v>8.648314794983461E-2</v>
      </c>
      <c r="F74" s="219">
        <v>3000000</v>
      </c>
      <c r="G74" s="270">
        <f>+F74/$D$11*100</f>
        <v>7.1392874991075883E-2</v>
      </c>
      <c r="H74" s="230">
        <f t="shared" si="2"/>
        <v>634108.36000000034</v>
      </c>
      <c r="I74" s="270">
        <f t="shared" si="3"/>
        <v>21.136945333333344</v>
      </c>
      <c r="J74" s="325">
        <v>1747766.81</v>
      </c>
      <c r="K74" s="296">
        <f t="shared" si="4"/>
        <v>4.4200263264377121E-2</v>
      </c>
      <c r="L74" s="230">
        <f t="shared" si="5"/>
        <v>1886341.5500000003</v>
      </c>
      <c r="M74" s="270">
        <f t="shared" si="6"/>
        <v>107.92867442081703</v>
      </c>
      <c r="N74" s="214"/>
      <c r="BY74" s="146"/>
      <c r="BZ74" s="146"/>
      <c r="CA74" s="145"/>
      <c r="CB74" s="145"/>
      <c r="CC74" s="145"/>
      <c r="CD74" s="142"/>
    </row>
    <row r="75" spans="2:82" ht="13.5" thickTop="1">
      <c r="C75" s="106" t="str">
        <f>IF(MasterSheet!$A$1=1,MasterSheet!C151,MasterSheet!B151)</f>
        <v>Izvor: Ministarstvo finansija Crne Gore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O75" s="81"/>
    </row>
    <row r="76" spans="2:82" ht="15">
      <c r="C76" s="105"/>
      <c r="D76" s="105"/>
      <c r="E76" s="105"/>
      <c r="F76" s="107"/>
      <c r="G76" s="105"/>
      <c r="H76" s="105"/>
      <c r="I76" s="105"/>
      <c r="J76" s="105"/>
      <c r="K76" s="310"/>
      <c r="L76" s="105"/>
      <c r="M76" s="105"/>
      <c r="O76" s="81"/>
    </row>
    <row r="77" spans="2:82">
      <c r="D77" s="240"/>
      <c r="E77" s="134"/>
      <c r="F77" s="315"/>
      <c r="G77" s="134"/>
      <c r="H77" s="134"/>
      <c r="I77" s="134"/>
      <c r="J77" s="134"/>
      <c r="K77" s="134"/>
      <c r="L77" s="134"/>
      <c r="M77" s="134"/>
    </row>
    <row r="78" spans="2:82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2"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2"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L11:M11"/>
    <mergeCell ref="D11:G11"/>
    <mergeCell ref="D13:E13"/>
    <mergeCell ref="J13:K13"/>
    <mergeCell ref="J11:K11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J93"/>
  <sheetViews>
    <sheetView topLeftCell="C39" zoomScaleNormal="100" workbookViewId="0">
      <selection activeCell="C64" sqref="C64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4" width="11.5703125" style="80" customWidth="1"/>
    <col min="5" max="5" width="7.7109375" style="80" customWidth="1"/>
    <col min="6" max="6" width="9.5703125" style="80" customWidth="1"/>
    <col min="7" max="9" width="7.7109375" style="80" customWidth="1"/>
    <col min="10" max="10" width="10" style="80" customWidth="1"/>
    <col min="11" max="13" width="7.7109375" style="80" customWidth="1"/>
    <col min="14" max="14" width="15" style="80" hidden="1" customWidth="1"/>
    <col min="15" max="15" width="12" style="80" hidden="1" customWidth="1"/>
    <col min="16" max="16" width="14" style="80" customWidth="1"/>
    <col min="17" max="17" width="14" style="80" hidden="1" customWidth="1"/>
    <col min="18" max="18" width="12.7109375" style="80" hidden="1" customWidth="1"/>
    <col min="19" max="34" width="9.140625" style="80" hidden="1" customWidth="1"/>
    <col min="35" max="35" width="13.7109375" style="80" customWidth="1"/>
    <col min="36" max="36" width="11.5703125" style="80" customWidth="1"/>
    <col min="37" max="80" width="9.140625" style="80" customWidth="1"/>
    <col min="81" max="81" width="9.140625" style="80"/>
    <col min="82" max="82" width="15.42578125" style="80" customWidth="1"/>
    <col min="83" max="83" width="12.7109375" style="80" customWidth="1"/>
    <col min="84" max="84" width="11.85546875" style="80" customWidth="1"/>
    <col min="85" max="16384" width="9.140625" style="80"/>
  </cols>
  <sheetData>
    <row r="1" spans="2:80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</row>
    <row r="2" spans="2:80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</row>
    <row r="3" spans="2:80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</row>
    <row r="4" spans="2:80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</row>
    <row r="5" spans="2:80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</row>
    <row r="6" spans="2:80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</row>
    <row r="7" spans="2:80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</row>
    <row r="8" spans="2:80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</row>
    <row r="9" spans="2:80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</row>
    <row r="10" spans="2:80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</row>
    <row r="11" spans="2:80" ht="18.75" customHeight="1" thickTop="1" thickBot="1">
      <c r="C11" s="167" t="str">
        <f>IF(MasterSheet!$A$1=1,MasterSheet!B67,MasterSheet!B66)</f>
        <v>BDP (u mil. €)</v>
      </c>
      <c r="D11" s="361">
        <f>+'Central Budget'!D11:K11</f>
        <v>4202100000</v>
      </c>
      <c r="E11" s="362"/>
      <c r="F11" s="362"/>
      <c r="G11" s="363"/>
      <c r="H11" s="350"/>
      <c r="I11" s="351"/>
      <c r="J11" s="369">
        <f>+'Central Budget'!N11</f>
        <v>3954200000</v>
      </c>
      <c r="K11" s="370"/>
      <c r="L11" s="350"/>
      <c r="M11" s="352"/>
      <c r="N11" s="204"/>
      <c r="O11" s="81"/>
      <c r="P11" s="210"/>
      <c r="Q11" s="210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</row>
    <row r="12" spans="2:80" ht="19.5" customHeight="1" thickTop="1">
      <c r="C12" s="174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10"/>
      <c r="Q12" s="210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</row>
    <row r="13" spans="2:80" ht="27" customHeight="1" thickBot="1">
      <c r="B13" s="85"/>
      <c r="C13" s="175"/>
      <c r="D13" s="356"/>
      <c r="E13" s="356"/>
      <c r="F13" s="86"/>
      <c r="G13" s="86"/>
      <c r="H13" s="86"/>
      <c r="I13" s="86"/>
      <c r="J13" s="368"/>
      <c r="K13" s="368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</row>
    <row r="14" spans="2:80" ht="15.75" customHeight="1" thickTop="1">
      <c r="B14" s="87"/>
      <c r="C14" s="364" t="s">
        <v>234</v>
      </c>
      <c r="D14" s="366" t="s">
        <v>479</v>
      </c>
      <c r="E14" s="367"/>
      <c r="F14" s="366" t="s">
        <v>482</v>
      </c>
      <c r="G14" s="367"/>
      <c r="H14" s="366" t="s">
        <v>448</v>
      </c>
      <c r="I14" s="367"/>
      <c r="J14" s="366" t="s">
        <v>467</v>
      </c>
      <c r="K14" s="367"/>
      <c r="L14" s="366" t="str">
        <f>+H14</f>
        <v>Odstupanje</v>
      </c>
      <c r="M14" s="367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</row>
    <row r="15" spans="2:80" ht="15" customHeight="1" thickBot="1">
      <c r="C15" s="365" t="str">
        <f>IF(MasterSheet!$A$1=1,MasterSheet!B71,MasterSheet!B70)</f>
        <v>Budžet Crne Gore</v>
      </c>
      <c r="D15" s="168" t="str">
        <f>IF(MasterSheet!$A$1=1,MasterSheet!C71,MasterSheet!C70)</f>
        <v>mil. €</v>
      </c>
      <c r="E15" s="169" t="str">
        <f>IF(MasterSheet!$A$1=1,MasterSheet!D71,MasterSheet!D70)</f>
        <v>% BDP</v>
      </c>
      <c r="F15" s="170" t="str">
        <f>IF(MasterSheet!$A$1=1,MasterSheet!E71,MasterSheet!E70)</f>
        <v>mil. €</v>
      </c>
      <c r="G15" s="171" t="str">
        <f>IF(MasterSheet!$A$1=1,MasterSheet!F71,MasterSheet!F70)</f>
        <v>% BDP</v>
      </c>
      <c r="H15" s="172" t="str">
        <f>IF(MasterSheet!$A$1=1,MasterSheet!G71,MasterSheet!G70)</f>
        <v>mil. €</v>
      </c>
      <c r="I15" s="171" t="s">
        <v>441</v>
      </c>
      <c r="J15" s="168" t="str">
        <f>IF(MasterSheet!$A$1=1,MasterSheet!I71,MasterSheet!I70)</f>
        <v>mil. €</v>
      </c>
      <c r="K15" s="170" t="str">
        <f>IF(MasterSheet!$A$1=1,MasterSheet!J71,MasterSheet!J70)</f>
        <v>% BDP</v>
      </c>
      <c r="L15" s="168" t="str">
        <f>IF(MasterSheet!$A$1=1,MasterSheet!K71,MasterSheet!K70)</f>
        <v>mil. €</v>
      </c>
      <c r="M15" s="169" t="s">
        <v>441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</row>
    <row r="16" spans="2:80" ht="15" customHeight="1" thickTop="1" thickBot="1">
      <c r="C16" s="178" t="str">
        <f>IF(MasterSheet!$A$1=1,MasterSheet!C72,MasterSheet!B72)</f>
        <v>Izvorni prihodi</v>
      </c>
      <c r="D16" s="176">
        <f>D17+D26+D31+D32+D33+D34+D35</f>
        <v>1785041971.0599999</v>
      </c>
      <c r="E16" s="283">
        <f t="shared" ref="E16:E74" si="0">D16/D$11*100</f>
        <v>42.479759431236765</v>
      </c>
      <c r="F16" s="176">
        <f>F17+F26+F31+F32+F33+F34+F35</f>
        <v>1786437018.9661112</v>
      </c>
      <c r="G16" s="283">
        <f>F16/D$11*100</f>
        <v>42.512958258159287</v>
      </c>
      <c r="H16" s="176">
        <f>+D16-F16</f>
        <v>-1395047.9061112404</v>
      </c>
      <c r="I16" s="283">
        <f>+D16/F16*100-100</f>
        <v>-7.8091076892178535E-2</v>
      </c>
      <c r="J16" s="176">
        <f>J17+J26+J31+J32+J33+J34+J35</f>
        <v>1684248684.9300003</v>
      </c>
      <c r="K16" s="283">
        <f t="shared" ref="K16:K74" si="1">J16/J$11*100</f>
        <v>42.593917478377428</v>
      </c>
      <c r="L16" s="176">
        <f>+D16-J16</f>
        <v>100793286.12999964</v>
      </c>
      <c r="M16" s="283">
        <f>+D16/J16*100-100</f>
        <v>5.9844657758594906</v>
      </c>
      <c r="N16" s="80">
        <f>'Central Budget'!D16+'Local Government'!D16</f>
        <v>1785041971.0600002</v>
      </c>
      <c r="O16" s="307">
        <f>N16-D16</f>
        <v>0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213"/>
      <c r="AJ16" s="213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</row>
    <row r="17" spans="2:85" ht="15" customHeight="1" thickTop="1">
      <c r="B17" s="80">
        <v>711</v>
      </c>
      <c r="C17" s="93" t="str">
        <f>IF(MasterSheet!$A$1=1,MasterSheet!C73,MasterSheet!B73)</f>
        <v>Porezi</v>
      </c>
      <c r="D17" s="154">
        <f>SUM(D18:D25)</f>
        <v>1104352042.8699999</v>
      </c>
      <c r="E17" s="284">
        <f t="shared" si="0"/>
        <v>26.280955780919061</v>
      </c>
      <c r="F17" s="154">
        <f>SUM(F18:F25)</f>
        <v>1104596309.5618575</v>
      </c>
      <c r="G17" s="284">
        <f t="shared" ref="G17:G74" si="2">F17/D$11*100</f>
        <v>26.286768748051152</v>
      </c>
      <c r="H17" s="207">
        <f t="shared" ref="H17:H74" si="3">+D17-F17</f>
        <v>-244266.69185757637</v>
      </c>
      <c r="I17" s="290">
        <f t="shared" ref="I17:I74" si="4">+D17/F17*100-100</f>
        <v>-2.2113661773360604E-2</v>
      </c>
      <c r="J17" s="154">
        <f>SUM(J18:J25)</f>
        <v>1012752250.3000001</v>
      </c>
      <c r="K17" s="284">
        <f t="shared" si="1"/>
        <v>25.612064394820699</v>
      </c>
      <c r="L17" s="207">
        <f t="shared" ref="L17:L74" si="5">+D17-J17</f>
        <v>91599792.569999814</v>
      </c>
      <c r="M17" s="292">
        <f t="shared" ref="M17:M74" si="6">+D17/J17*100-100</f>
        <v>9.0446397470719972</v>
      </c>
      <c r="N17" s="218">
        <f>'Central Budget'!D17+'Local Government'!D17</f>
        <v>1104352042.8700001</v>
      </c>
      <c r="O17" s="99">
        <f>N17-D17</f>
        <v>0</v>
      </c>
      <c r="P17" s="81"/>
      <c r="Q17" s="81"/>
      <c r="R17" s="81"/>
      <c r="S17" s="210"/>
      <c r="T17" s="210"/>
      <c r="U17" s="210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</row>
    <row r="18" spans="2:85" ht="15" customHeight="1">
      <c r="B18" s="80">
        <v>7111</v>
      </c>
      <c r="C18" s="97" t="str">
        <f>IF(MasterSheet!$A$1=1,MasterSheet!C74,MasterSheet!B74)</f>
        <v>Porez na dohodak fizičkih lica</v>
      </c>
      <c r="D18" s="156">
        <f>+'Central Budget'!D18+'Local Government'!D18</f>
        <v>145621214.5</v>
      </c>
      <c r="E18" s="285">
        <f t="shared" si="0"/>
        <v>3.465439054282383</v>
      </c>
      <c r="F18" s="156">
        <f>+'Central Budget'!F18+'Local Government'!F18</f>
        <v>153322235.0752399</v>
      </c>
      <c r="G18" s="285">
        <f t="shared" si="2"/>
        <v>3.6487050540263173</v>
      </c>
      <c r="H18" s="208">
        <f t="shared" si="3"/>
        <v>-7701020.5752398968</v>
      </c>
      <c r="I18" s="291">
        <f t="shared" si="4"/>
        <v>-5.0227682706691468</v>
      </c>
      <c r="J18" s="156">
        <f>'Central Budget'!N18+'Local Government'!J18</f>
        <v>160048107.97000003</v>
      </c>
      <c r="K18" s="285">
        <f t="shared" si="1"/>
        <v>4.0475471137018877</v>
      </c>
      <c r="L18" s="208">
        <f t="shared" si="5"/>
        <v>-14426893.470000029</v>
      </c>
      <c r="M18" s="291">
        <f t="shared" si="6"/>
        <v>-9.0140981064919856</v>
      </c>
      <c r="N18" s="80">
        <f>'Central Budget'!D18+'Local Government'!D18</f>
        <v>145621214.5</v>
      </c>
      <c r="O18" s="99">
        <f>N18-D18</f>
        <v>0</v>
      </c>
      <c r="P18" s="81"/>
      <c r="Q18" s="81"/>
      <c r="R18" s="81"/>
      <c r="S18" s="210"/>
      <c r="T18" s="210"/>
      <c r="U18" s="210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</row>
    <row r="19" spans="2:85" ht="15" customHeight="1">
      <c r="B19" s="80">
        <v>7112</v>
      </c>
      <c r="C19" s="97" t="str">
        <f>IF(MasterSheet!$A$1=1,MasterSheet!C75,MasterSheet!B75)</f>
        <v>Porez na dobit pravnih lica</v>
      </c>
      <c r="D19" s="156">
        <f>+'Central Budget'!D19</f>
        <v>49228502.210000001</v>
      </c>
      <c r="E19" s="285">
        <f t="shared" si="0"/>
        <v>1.171521434758811</v>
      </c>
      <c r="F19" s="156">
        <f>+'Central Budget'!F19</f>
        <v>48749246.08178103</v>
      </c>
      <c r="G19" s="285">
        <f t="shared" si="2"/>
        <v>1.1601162771419298</v>
      </c>
      <c r="H19" s="208">
        <f t="shared" si="3"/>
        <v>479256.12821897119</v>
      </c>
      <c r="I19" s="291">
        <f t="shared" si="4"/>
        <v>0.98310469748594187</v>
      </c>
      <c r="J19" s="156">
        <f>'Central Budget'!N19</f>
        <v>45254590.029999994</v>
      </c>
      <c r="K19" s="285">
        <f t="shared" si="1"/>
        <v>1.1444689198826563</v>
      </c>
      <c r="L19" s="208">
        <f t="shared" si="5"/>
        <v>3973912.1800000072</v>
      </c>
      <c r="M19" s="291">
        <f t="shared" si="6"/>
        <v>8.7812356213273262</v>
      </c>
      <c r="N19" s="80">
        <f>'Central Budget'!D19</f>
        <v>49228502.210000001</v>
      </c>
      <c r="O19" s="99">
        <f t="shared" ref="O19:O35" si="7">N19-D19</f>
        <v>0</v>
      </c>
      <c r="P19" s="137"/>
      <c r="Q19" s="137"/>
      <c r="R19" s="137"/>
      <c r="S19" s="211"/>
      <c r="T19" s="212"/>
      <c r="U19" s="212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9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D19" s="81"/>
    </row>
    <row r="20" spans="2:85" ht="15" customHeight="1">
      <c r="B20" s="80">
        <v>7113</v>
      </c>
      <c r="C20" s="97" t="str">
        <f>IF(MasterSheet!$A$1=1,MasterSheet!C76,MasterSheet!B76)</f>
        <v>Porez na promet nepokretnosti</v>
      </c>
      <c r="D20" s="156">
        <f>+'Central Budget'!D20+'Local Government'!D19</f>
        <v>15174414.339999996</v>
      </c>
      <c r="E20" s="285">
        <f t="shared" si="0"/>
        <v>0.36111502201280304</v>
      </c>
      <c r="F20" s="156">
        <f>+'Central Budget'!F20+'Local Government'!F19</f>
        <v>13771931.918877389</v>
      </c>
      <c r="G20" s="285">
        <f t="shared" si="2"/>
        <v>0.32773927129000713</v>
      </c>
      <c r="H20" s="208">
        <f t="shared" si="3"/>
        <v>1402482.4211226068</v>
      </c>
      <c r="I20" s="291">
        <f t="shared" si="4"/>
        <v>10.183628770341244</v>
      </c>
      <c r="J20" s="156">
        <f>'Central Budget'!N20+'Local Government'!J19</f>
        <v>13227449.570000002</v>
      </c>
      <c r="K20" s="285">
        <f t="shared" si="1"/>
        <v>0.33451645263264385</v>
      </c>
      <c r="L20" s="208">
        <f t="shared" si="5"/>
        <v>1946964.769999994</v>
      </c>
      <c r="M20" s="291">
        <f t="shared" si="6"/>
        <v>14.719124497104346</v>
      </c>
      <c r="N20" s="80">
        <f>'Central Budget'!D20+'Local Government'!D19</f>
        <v>15174414.339999996</v>
      </c>
      <c r="O20" s="99">
        <f t="shared" si="7"/>
        <v>0</v>
      </c>
      <c r="P20" s="137"/>
      <c r="Q20" s="137"/>
      <c r="R20" s="137"/>
      <c r="S20" s="137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9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</row>
    <row r="21" spans="2:85" ht="15" customHeight="1">
      <c r="B21" s="80">
        <v>7114</v>
      </c>
      <c r="C21" s="97" t="str">
        <f>IF(MasterSheet!$A$1=1,MasterSheet!C77,MasterSheet!B77)</f>
        <v>Porez na dodatu vrijednost</v>
      </c>
      <c r="D21" s="156">
        <f>+'Central Budget'!D21</f>
        <v>548710516.46000004</v>
      </c>
      <c r="E21" s="285">
        <f t="shared" si="0"/>
        <v>13.058007102639158</v>
      </c>
      <c r="F21" s="156">
        <f>+'Central Budget'!F21</f>
        <v>550461561.20703423</v>
      </c>
      <c r="G21" s="285">
        <f t="shared" si="2"/>
        <v>13.099677808882088</v>
      </c>
      <c r="H21" s="208">
        <f t="shared" si="3"/>
        <v>-1751044.7470341921</v>
      </c>
      <c r="I21" s="291">
        <f t="shared" si="4"/>
        <v>-0.31810481792670942</v>
      </c>
      <c r="J21" s="156">
        <f>'Central Budget'!N21</f>
        <v>500656533.33000004</v>
      </c>
      <c r="K21" s="285">
        <f t="shared" si="1"/>
        <v>12.661386205300696</v>
      </c>
      <c r="L21" s="208">
        <f t="shared" si="5"/>
        <v>48053983.129999995</v>
      </c>
      <c r="M21" s="291">
        <f t="shared" si="6"/>
        <v>9.5981935580426949</v>
      </c>
      <c r="N21" s="80">
        <f>'Central Budget'!D21</f>
        <v>548710516.46000004</v>
      </c>
      <c r="O21" s="99">
        <f t="shared" si="7"/>
        <v>0</v>
      </c>
      <c r="P21" s="81"/>
      <c r="Q21" s="81"/>
      <c r="R21" s="81"/>
      <c r="S21" s="81"/>
    </row>
    <row r="22" spans="2:85" ht="15" customHeight="1">
      <c r="B22" s="80">
        <v>7115</v>
      </c>
      <c r="C22" s="97" t="str">
        <f>IF(MasterSheet!$A$1=1,MasterSheet!C78,MasterSheet!B78)</f>
        <v>Akcize</v>
      </c>
      <c r="D22" s="156">
        <f>+'Central Budget'!D22</f>
        <v>225084910.21999997</v>
      </c>
      <c r="E22" s="285">
        <f t="shared" si="0"/>
        <v>5.3564862859046656</v>
      </c>
      <c r="F22" s="156">
        <f>+'Central Budget'!F22</f>
        <v>225623515.02582744</v>
      </c>
      <c r="G22" s="285">
        <f t="shared" si="2"/>
        <v>5.3693038010953442</v>
      </c>
      <c r="H22" s="208">
        <f t="shared" si="3"/>
        <v>-538604.80582746863</v>
      </c>
      <c r="I22" s="291">
        <f t="shared" si="4"/>
        <v>-0.23871838259668721</v>
      </c>
      <c r="J22" s="156">
        <f>+'Central Budget'!N22</f>
        <v>182670922.38</v>
      </c>
      <c r="K22" s="285">
        <f t="shared" si="1"/>
        <v>4.6196682610894744</v>
      </c>
      <c r="L22" s="208">
        <f t="shared" si="5"/>
        <v>42413987.839999974</v>
      </c>
      <c r="M22" s="291">
        <f t="shared" si="6"/>
        <v>23.218795464211084</v>
      </c>
      <c r="N22" s="80">
        <f>'Central Budget'!D22</f>
        <v>225084910.21999997</v>
      </c>
      <c r="O22" s="99">
        <f t="shared" si="7"/>
        <v>0</v>
      </c>
      <c r="P22" s="81"/>
      <c r="Q22" s="81"/>
      <c r="R22" s="81"/>
      <c r="S22" s="81"/>
    </row>
    <row r="23" spans="2:85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f>+'Central Budget'!D23</f>
        <v>25424800.799999997</v>
      </c>
      <c r="E23" s="285">
        <f t="shared" si="0"/>
        <v>0.60504987506246866</v>
      </c>
      <c r="F23" s="156">
        <f>+IF(ISNUMBER(VLOOKUP($B23,'Central Budget'!$B$16:$O$78,'Public Expenditure'!F$1,FALSE)),VLOOKUP($B23,'Central Budget'!$B$16:$O$78,'Public Expenditure'!F$1,FALSE),0)+IF(ISNUMBER(VLOOKUP('Public Expenditure'!$B23,'Local Government'!$B$16:$M$74,'Public Expenditure'!F$1,FALSE)),VLOOKUP('Public Expenditure'!$B23,'Local Government'!$B$16:$M$74,'Public Expenditure'!F$1,FALSE),0)</f>
        <v>25789097.528659306</v>
      </c>
      <c r="G23" s="285">
        <f t="shared" si="2"/>
        <v>0.61371927199874599</v>
      </c>
      <c r="H23" s="208">
        <f t="shared" si="3"/>
        <v>-364296.72865930945</v>
      </c>
      <c r="I23" s="291">
        <f t="shared" si="4"/>
        <v>-1.4125997555923391</v>
      </c>
      <c r="J23" s="156">
        <f>+'Central Budget'!N23</f>
        <v>24283642.720000003</v>
      </c>
      <c r="K23" s="285">
        <f t="shared" si="1"/>
        <v>0.61412277375954694</v>
      </c>
      <c r="L23" s="208">
        <f t="shared" si="5"/>
        <v>1141158.0799999945</v>
      </c>
      <c r="M23" s="291">
        <f t="shared" si="6"/>
        <v>4.6992870598451759</v>
      </c>
      <c r="N23" s="80">
        <f>'Central Budget'!D23</f>
        <v>25424800.799999997</v>
      </c>
      <c r="O23" s="99">
        <f t="shared" si="7"/>
        <v>0</v>
      </c>
      <c r="P23" s="81"/>
      <c r="Q23" s="81"/>
      <c r="R23" s="81"/>
      <c r="S23" s="81"/>
      <c r="CE23" s="140"/>
      <c r="CF23" s="140"/>
      <c r="CG23" s="81"/>
    </row>
    <row r="24" spans="2:85" ht="15" customHeight="1">
      <c r="B24" s="80">
        <v>7117</v>
      </c>
      <c r="C24" s="97" t="s">
        <v>11</v>
      </c>
      <c r="D24" s="156">
        <f>+'Local Government'!D20</f>
        <v>85907944.99000001</v>
      </c>
      <c r="E24" s="285">
        <f t="shared" si="0"/>
        <v>2.0444050591370981</v>
      </c>
      <c r="F24" s="156">
        <f>+IF(ISNUMBER(VLOOKUP($B24,'Central Budget'!$B$16:$O$78,'Public Expenditure'!F$1,FALSE)),VLOOKUP($B24,'Central Budget'!$B$16:$O$78,'Public Expenditure'!F$1,FALSE),0)+IF(ISNUMBER(VLOOKUP('Public Expenditure'!$B24,'Local Government'!$B$16:$M$74,'Public Expenditure'!F$1,FALSE)),VLOOKUP('Public Expenditure'!$B24,'Local Government'!$B$16:$M$74,'Public Expenditure'!F$1,FALSE),0)</f>
        <v>77665859.05142501</v>
      </c>
      <c r="G24" s="285">
        <f t="shared" si="2"/>
        <v>1.8482629887776354</v>
      </c>
      <c r="H24" s="208">
        <f t="shared" si="3"/>
        <v>8242085.9385749996</v>
      </c>
      <c r="I24" s="291">
        <f t="shared" si="4"/>
        <v>10.612238169048837</v>
      </c>
      <c r="J24" s="156">
        <f>+'Local Government'!J20</f>
        <v>77411609.49000001</v>
      </c>
      <c r="K24" s="285">
        <f t="shared" si="1"/>
        <v>1.9577059706135251</v>
      </c>
      <c r="L24" s="208">
        <f t="shared" si="5"/>
        <v>8496335.5</v>
      </c>
      <c r="M24" s="291">
        <f t="shared" si="6"/>
        <v>10.97553139118952</v>
      </c>
      <c r="N24" s="80">
        <f>'Local Government'!D20</f>
        <v>85907944.99000001</v>
      </c>
      <c r="O24" s="99">
        <f t="shared" si="7"/>
        <v>0</v>
      </c>
      <c r="P24" s="81"/>
      <c r="Q24" s="81"/>
      <c r="R24" s="81"/>
      <c r="S24" s="81"/>
      <c r="CE24" s="140"/>
      <c r="CF24" s="140"/>
      <c r="CG24" s="81"/>
    </row>
    <row r="25" spans="2:85" ht="15" customHeight="1">
      <c r="B25" s="80">
        <v>7118</v>
      </c>
      <c r="C25" s="97" t="s">
        <v>464</v>
      </c>
      <c r="D25" s="156">
        <f>+'Central Budget'!D24</f>
        <v>9199739.3499999996</v>
      </c>
      <c r="E25" s="285">
        <f t="shared" si="0"/>
        <v>0.21893194712167724</v>
      </c>
      <c r="F25" s="156">
        <f>+IF(ISNUMBER(VLOOKUP($B25,'Central Budget'!$B$16:$O$78,'Public Expenditure'!F$1,FALSE)),VLOOKUP($B25,'Central Budget'!$B$16:$O$78,'Public Expenditure'!F$1,FALSE),0)+IF(ISNUMBER(VLOOKUP('Public Expenditure'!$B25,'Local Government'!$B$16:$M$74,'Public Expenditure'!F$1,FALSE)),VLOOKUP('Public Expenditure'!$B25,'Local Government'!$B$16:$M$74,'Public Expenditure'!F$1,FALSE),0)</f>
        <v>9212863.6730131265</v>
      </c>
      <c r="G25" s="285">
        <f t="shared" si="2"/>
        <v>0.21924427483908349</v>
      </c>
      <c r="H25" s="208">
        <f t="shared" si="3"/>
        <v>-13124.32301312685</v>
      </c>
      <c r="I25" s="291">
        <f t="shared" si="4"/>
        <v>-0.14245649864082566</v>
      </c>
      <c r="J25" s="156">
        <f>+'Central Budget'!N24</f>
        <v>9199394.8100000005</v>
      </c>
      <c r="K25" s="285">
        <f t="shared" si="1"/>
        <v>0.23264869784027112</v>
      </c>
      <c r="L25" s="208">
        <f t="shared" si="5"/>
        <v>344.53999999910593</v>
      </c>
      <c r="M25" s="291">
        <f t="shared" si="6"/>
        <v>3.7452463679983339E-3</v>
      </c>
      <c r="N25" s="80">
        <f>'Central Budget'!D24</f>
        <v>9199739.3499999996</v>
      </c>
      <c r="O25" s="99">
        <f t="shared" si="7"/>
        <v>0</v>
      </c>
      <c r="P25" s="81"/>
      <c r="Q25" s="81"/>
      <c r="R25" s="81"/>
      <c r="S25" s="81"/>
      <c r="CE25" s="140"/>
      <c r="CF25" s="140"/>
      <c r="CG25" s="81"/>
    </row>
    <row r="26" spans="2:85" ht="15" customHeight="1">
      <c r="B26" s="80">
        <v>712</v>
      </c>
      <c r="C26" s="93" t="str">
        <f>IF(MasterSheet!$A$1=1,MasterSheet!C81,MasterSheet!B81)</f>
        <v>Doprinosi</v>
      </c>
      <c r="D26" s="154">
        <f>'Central Budget'!D25</f>
        <v>494952632.42000002</v>
      </c>
      <c r="E26" s="286">
        <f t="shared" si="0"/>
        <v>11.778697137621666</v>
      </c>
      <c r="F26" s="154">
        <f>SUM(F27:F30)</f>
        <v>500463503.15384978</v>
      </c>
      <c r="G26" s="286">
        <f t="shared" si="2"/>
        <v>11.909842772752905</v>
      </c>
      <c r="H26" s="207">
        <f t="shared" si="3"/>
        <v>-5510870.7338497639</v>
      </c>
      <c r="I26" s="292">
        <f t="shared" si="4"/>
        <v>-1.1011533706496266</v>
      </c>
      <c r="J26" s="154">
        <f>SUM(J27:J30)</f>
        <v>462885204.29000008</v>
      </c>
      <c r="K26" s="286">
        <f t="shared" si="1"/>
        <v>11.706165704567297</v>
      </c>
      <c r="L26" s="207">
        <f t="shared" si="5"/>
        <v>32067428.129999936</v>
      </c>
      <c r="M26" s="292">
        <f t="shared" si="6"/>
        <v>6.927728048509735</v>
      </c>
      <c r="N26" s="80">
        <f>'Central Budget'!D25</f>
        <v>494952632.42000002</v>
      </c>
      <c r="O26" s="99">
        <f t="shared" si="7"/>
        <v>0</v>
      </c>
      <c r="P26" s="81"/>
      <c r="Q26" s="81"/>
      <c r="R26" s="81"/>
      <c r="S26" s="81"/>
      <c r="CE26" s="140"/>
      <c r="CF26" s="140"/>
      <c r="CG26" s="81"/>
    </row>
    <row r="27" spans="2:85" ht="15" customHeight="1">
      <c r="B27" s="80">
        <v>7121</v>
      </c>
      <c r="C27" s="97" t="str">
        <f>IF(MasterSheet!$A$1=1,MasterSheet!C82,MasterSheet!B82)</f>
        <v>Doprinosi za penzijsko i invalidsko osiguranje</v>
      </c>
      <c r="D27" s="156">
        <f>+'Central Budget'!D26</f>
        <v>303042063.35000002</v>
      </c>
      <c r="E27" s="285">
        <f t="shared" si="0"/>
        <v>7.2116813819280843</v>
      </c>
      <c r="F27" s="156">
        <f>+IF(ISNUMBER(VLOOKUP($B27,'Central Budget'!$B$16:$O$78,'Public Expenditure'!F$1,FALSE)),VLOOKUP($B27,'Central Budget'!$B$16:$O$78,'Public Expenditure'!F$1,FALSE),0)+IF(ISNUMBER(VLOOKUP('Public Expenditure'!$B27,'Local Government'!$B$16:$M$74,'Public Expenditure'!F$1,FALSE)),VLOOKUP('Public Expenditure'!$B27,'Local Government'!$B$16:$M$74,'Public Expenditure'!F$1,FALSE),0)</f>
        <v>304735852.44600284</v>
      </c>
      <c r="G27" s="285">
        <f t="shared" si="2"/>
        <v>7.2519895396588101</v>
      </c>
      <c r="H27" s="208">
        <f t="shared" si="3"/>
        <v>-1693789.0960028172</v>
      </c>
      <c r="I27" s="291">
        <f t="shared" si="4"/>
        <v>-0.55582206110878474</v>
      </c>
      <c r="J27" s="156">
        <f>+'Central Budget'!N26</f>
        <v>273553324.41000003</v>
      </c>
      <c r="K27" s="285">
        <f t="shared" si="1"/>
        <v>6.9180447223205714</v>
      </c>
      <c r="L27" s="208">
        <f t="shared" si="5"/>
        <v>29488738.939999998</v>
      </c>
      <c r="M27" s="291">
        <f t="shared" si="6"/>
        <v>10.779886884431519</v>
      </c>
      <c r="O27" s="99">
        <f t="shared" si="7"/>
        <v>-303042063.35000002</v>
      </c>
      <c r="P27" s="81"/>
      <c r="Q27" s="81"/>
      <c r="R27" s="81"/>
      <c r="S27" s="81"/>
      <c r="CE27" s="140"/>
      <c r="CF27" s="140"/>
      <c r="CG27" s="81"/>
    </row>
    <row r="28" spans="2:85" ht="15" customHeight="1">
      <c r="B28" s="80">
        <v>7122</v>
      </c>
      <c r="C28" s="97" t="str">
        <f>IF(MasterSheet!$A$1=1,MasterSheet!C83,MasterSheet!B83)</f>
        <v>Doprinosi za zdravstveno osiguranje</v>
      </c>
      <c r="D28" s="156">
        <f>+'Central Budget'!D27</f>
        <v>167400672.64999998</v>
      </c>
      <c r="E28" s="285">
        <f t="shared" si="0"/>
        <v>3.9837384319744888</v>
      </c>
      <c r="F28" s="156">
        <f>+IF(ISNUMBER(VLOOKUP($B28,'Central Budget'!$B$16:$O$78,'Public Expenditure'!F$1,FALSE)),VLOOKUP($B28,'Central Budget'!$B$16:$O$78,'Public Expenditure'!F$1,FALSE),0)+IF(ISNUMBER(VLOOKUP('Public Expenditure'!$B28,'Local Government'!$B$16:$M$74,'Public Expenditure'!F$1,FALSE)),VLOOKUP('Public Expenditure'!$B28,'Local Government'!$B$16:$M$74,'Public Expenditure'!F$1,FALSE),0)</f>
        <v>171280873.00583869</v>
      </c>
      <c r="G28" s="285">
        <f t="shared" si="2"/>
        <v>4.0760779849560622</v>
      </c>
      <c r="H28" s="208">
        <f t="shared" si="3"/>
        <v>-3880200.355838716</v>
      </c>
      <c r="I28" s="291">
        <f t="shared" si="4"/>
        <v>-2.2654020193524076</v>
      </c>
      <c r="J28" s="156">
        <f>+'Central Budget'!N27</f>
        <v>164379366.90000004</v>
      </c>
      <c r="K28" s="285">
        <f t="shared" si="1"/>
        <v>4.1570827702190085</v>
      </c>
      <c r="L28" s="208">
        <f t="shared" si="5"/>
        <v>3021305.7499999404</v>
      </c>
      <c r="M28" s="291">
        <f t="shared" si="6"/>
        <v>1.8380079002481722</v>
      </c>
      <c r="O28" s="99">
        <f t="shared" si="7"/>
        <v>-167400672.64999998</v>
      </c>
      <c r="P28" s="81"/>
      <c r="Q28" s="81"/>
      <c r="R28" s="81"/>
      <c r="S28" s="81"/>
      <c r="CE28" s="140"/>
      <c r="CF28" s="140"/>
      <c r="CG28" s="81"/>
    </row>
    <row r="29" spans="2:85" ht="15" customHeight="1">
      <c r="B29" s="80">
        <v>7123</v>
      </c>
      <c r="C29" s="97" t="str">
        <f>IF(MasterSheet!$A$1=1,MasterSheet!C84,MasterSheet!B84)</f>
        <v>Doprinosi za osiguranje od nezaposlenosti</v>
      </c>
      <c r="D29" s="156">
        <f>+'Central Budget'!D28</f>
        <v>12595344.189999998</v>
      </c>
      <c r="E29" s="285">
        <f t="shared" si="0"/>
        <v>0.29973927774208126</v>
      </c>
      <c r="F29" s="156">
        <f>+IF(ISNUMBER(VLOOKUP($B29,'Central Budget'!$B$16:$O$78,'Public Expenditure'!F$1,FALSE)),VLOOKUP($B29,'Central Budget'!$B$16:$O$78,'Public Expenditure'!F$1,FALSE),0)+IF(ISNUMBER(VLOOKUP('Public Expenditure'!$B29,'Local Government'!$B$16:$M$74,'Public Expenditure'!F$1,FALSE)),VLOOKUP('Public Expenditure'!$B29,'Local Government'!$B$16:$M$74,'Public Expenditure'!F$1,FALSE),0)</f>
        <v>12796289.599999998</v>
      </c>
      <c r="G29" s="285">
        <f t="shared" si="2"/>
        <v>0.30452130125413479</v>
      </c>
      <c r="H29" s="208">
        <f t="shared" si="3"/>
        <v>-200945.41000000015</v>
      </c>
      <c r="I29" s="291">
        <f t="shared" si="4"/>
        <v>-1.5703412182856482</v>
      </c>
      <c r="J29" s="156">
        <f>+'Central Budget'!N28</f>
        <v>12989910.719999999</v>
      </c>
      <c r="K29" s="285">
        <f t="shared" si="1"/>
        <v>0.32850919832077285</v>
      </c>
      <c r="L29" s="208">
        <f t="shared" si="5"/>
        <v>-394566.53000000119</v>
      </c>
      <c r="M29" s="291">
        <f t="shared" si="6"/>
        <v>-3.0374845409253197</v>
      </c>
      <c r="O29" s="99">
        <f t="shared" si="7"/>
        <v>-12595344.189999998</v>
      </c>
      <c r="P29" s="81"/>
      <c r="Q29" s="81"/>
      <c r="R29" s="81"/>
      <c r="S29" s="81"/>
      <c r="CE29" s="140"/>
      <c r="CF29" s="140"/>
      <c r="CG29" s="81"/>
    </row>
    <row r="30" spans="2:85" ht="15" customHeight="1">
      <c r="B30" s="80">
        <v>7124</v>
      </c>
      <c r="C30" s="97" t="str">
        <f>IF(MasterSheet!$A$1=1,MasterSheet!C85,MasterSheet!B85)</f>
        <v>Ostali doprinosi</v>
      </c>
      <c r="D30" s="156">
        <f>+'Central Budget'!D29</f>
        <v>11914552.229999999</v>
      </c>
      <c r="E30" s="285">
        <f t="shared" si="0"/>
        <v>0.28353804597701143</v>
      </c>
      <c r="F30" s="156">
        <f>+IF(ISNUMBER(VLOOKUP($B30,'Central Budget'!$B$16:$O$78,'Public Expenditure'!F$1,FALSE)),VLOOKUP($B30,'Central Budget'!$B$16:$O$78,'Public Expenditure'!F$1,FALSE),0)+IF(ISNUMBER(VLOOKUP('Public Expenditure'!$B30,'Local Government'!$B$16:$M$74,'Public Expenditure'!F$1,FALSE)),VLOOKUP('Public Expenditure'!$B30,'Local Government'!$B$16:$M$74,'Public Expenditure'!F$1,FALSE),0)</f>
        <v>11650488.102008229</v>
      </c>
      <c r="G30" s="285">
        <f t="shared" si="2"/>
        <v>0.27725394688389687</v>
      </c>
      <c r="H30" s="208">
        <f t="shared" si="3"/>
        <v>264064.12799176946</v>
      </c>
      <c r="I30" s="291">
        <f t="shared" si="4"/>
        <v>2.2665499134431286</v>
      </c>
      <c r="J30" s="156">
        <f>+'Central Budget'!N29</f>
        <v>11962602.260000002</v>
      </c>
      <c r="K30" s="285">
        <f t="shared" si="1"/>
        <v>0.30252901370694457</v>
      </c>
      <c r="L30" s="208">
        <f t="shared" si="5"/>
        <v>-48050.030000003055</v>
      </c>
      <c r="M30" s="291">
        <f t="shared" si="6"/>
        <v>-0.40166870849390079</v>
      </c>
      <c r="O30" s="99">
        <f t="shared" si="7"/>
        <v>-11914552.229999999</v>
      </c>
      <c r="P30" s="81"/>
      <c r="Q30" s="81"/>
      <c r="R30" s="81"/>
      <c r="S30" s="81"/>
      <c r="CE30" s="81"/>
      <c r="CF30" s="81"/>
      <c r="CG30" s="81"/>
    </row>
    <row r="31" spans="2:85" ht="15" customHeight="1">
      <c r="B31" s="80">
        <v>713</v>
      </c>
      <c r="C31" s="93" t="str">
        <f>IF(MasterSheet!$A$1=1,MasterSheet!C86,MasterSheet!B86)</f>
        <v>Takse</v>
      </c>
      <c r="D31" s="154">
        <f>+'Central Budget'!D30+'Local Government'!D21</f>
        <v>20145995.950000003</v>
      </c>
      <c r="E31" s="286">
        <f t="shared" si="0"/>
        <v>0.47942685680969044</v>
      </c>
      <c r="F31" s="154">
        <f>+IF(ISNUMBER(VLOOKUP($B31,'Central Budget'!$B$16:$O$78,'Public Expenditure'!F$1,FALSE)),VLOOKUP($B31,'Central Budget'!$B$16:$O$78,'Public Expenditure'!F$1,FALSE),0)+IF(ISNUMBER(VLOOKUP('Public Expenditure'!$B31,'Local Government'!$B$16:$M$74,'Public Expenditure'!F$1,FALSE)),VLOOKUP('Public Expenditure'!$B31,'Local Government'!$B$16:$M$74,'Public Expenditure'!F$1,FALSE),0)</f>
        <v>19426664.490955897</v>
      </c>
      <c r="G31" s="286">
        <f t="shared" si="2"/>
        <v>0.46230847649879581</v>
      </c>
      <c r="H31" s="207">
        <f t="shared" si="3"/>
        <v>719331.4590441063</v>
      </c>
      <c r="I31" s="292">
        <f t="shared" si="4"/>
        <v>3.7028047680495604</v>
      </c>
      <c r="J31" s="154">
        <f>+'Central Budget'!N30+'Local Government'!J21</f>
        <v>18926209.509999998</v>
      </c>
      <c r="K31" s="286">
        <f t="shared" si="1"/>
        <v>0.47863561554802481</v>
      </c>
      <c r="L31" s="207">
        <f t="shared" si="5"/>
        <v>1219786.4400000051</v>
      </c>
      <c r="M31" s="292">
        <f t="shared" si="6"/>
        <v>6.4449589832317429</v>
      </c>
      <c r="N31" s="80">
        <f>'Central Budget'!D30+'Local Government'!D21</f>
        <v>20145995.950000003</v>
      </c>
      <c r="O31" s="99">
        <f t="shared" si="7"/>
        <v>0</v>
      </c>
      <c r="P31" s="81"/>
      <c r="Q31" s="81"/>
      <c r="R31" s="81"/>
      <c r="S31" s="81"/>
      <c r="CE31" s="81"/>
      <c r="CF31" s="81"/>
      <c r="CG31" s="81"/>
    </row>
    <row r="32" spans="2:85" ht="15" customHeight="1">
      <c r="B32" s="80">
        <v>714</v>
      </c>
      <c r="C32" s="93" t="str">
        <f>IF(MasterSheet!$A$1=1,MasterSheet!C91,MasterSheet!B91)</f>
        <v>Naknade</v>
      </c>
      <c r="D32" s="154">
        <f>+'Central Budget'!D31+'Local Government'!D27</f>
        <v>79771959.290000007</v>
      </c>
      <c r="E32" s="286">
        <f t="shared" si="0"/>
        <v>1.8983831724613887</v>
      </c>
      <c r="F32" s="154">
        <f>+IF(ISNUMBER(VLOOKUP($B32,'Central Budget'!$B$16:$O$78,'Public Expenditure'!F$1,FALSE)),VLOOKUP($B32,'Central Budget'!$B$16:$O$78,'Public Expenditure'!F$1,FALSE),0)+IF(ISNUMBER(VLOOKUP('Public Expenditure'!$B32,'Local Government'!$B$16:$M$74,'Public Expenditure'!F$1,FALSE)),VLOOKUP('Public Expenditure'!$B32,'Local Government'!$B$16:$M$74,'Public Expenditure'!F$1,FALSE),0)</f>
        <v>73062763.465059906</v>
      </c>
      <c r="G32" s="286">
        <f t="shared" si="2"/>
        <v>1.7387202461878561</v>
      </c>
      <c r="H32" s="207">
        <f t="shared" si="3"/>
        <v>6709195.8249401003</v>
      </c>
      <c r="I32" s="292">
        <f t="shared" si="4"/>
        <v>9.1827840978784963</v>
      </c>
      <c r="J32" s="154">
        <f>+'Central Budget'!N31+'Local Government'!J27</f>
        <v>120229583.41</v>
      </c>
      <c r="K32" s="286">
        <f t="shared" si="1"/>
        <v>3.0405539277224216</v>
      </c>
      <c r="L32" s="207">
        <f t="shared" si="5"/>
        <v>-40457624.11999999</v>
      </c>
      <c r="M32" s="292">
        <f t="shared" si="6"/>
        <v>-33.650307164446986</v>
      </c>
      <c r="N32" s="80">
        <f>'Central Budget'!D31+'Local Government'!D27</f>
        <v>79771959.290000007</v>
      </c>
      <c r="O32" s="99">
        <f t="shared" si="7"/>
        <v>0</v>
      </c>
      <c r="P32" s="81"/>
      <c r="Q32" s="81"/>
      <c r="R32" s="81"/>
      <c r="S32" s="81"/>
      <c r="CE32" s="140"/>
      <c r="CF32" s="140"/>
      <c r="CG32" s="140"/>
    </row>
    <row r="33" spans="1:88" ht="15" customHeight="1">
      <c r="B33" s="80">
        <v>715</v>
      </c>
      <c r="C33" s="93" t="str">
        <f>IF(MasterSheet!$A$1=1,MasterSheet!C98,MasterSheet!B98)</f>
        <v>Ostali prihodi</v>
      </c>
      <c r="D33" s="154">
        <f>+'Central Budget'!D32+'Local Government'!D33</f>
        <v>49078259.539999999</v>
      </c>
      <c r="E33" s="286">
        <f t="shared" si="0"/>
        <v>1.1679460160395994</v>
      </c>
      <c r="F33" s="154">
        <f>+IF(ISNUMBER(VLOOKUP($B33,'Central Budget'!$B$16:$O$78,'Public Expenditure'!F$1,FALSE)),VLOOKUP($B33,'Central Budget'!$B$16:$O$78,'Public Expenditure'!F$1,FALSE),0)+IF(ISNUMBER(VLOOKUP('Public Expenditure'!$B33,'Local Government'!$B$16:$M$74,'Public Expenditure'!F$1,FALSE)),VLOOKUP('Public Expenditure'!$B33,'Local Government'!$B$16:$M$74,'Public Expenditure'!F$1,FALSE),0)</f>
        <v>48373317.471851185</v>
      </c>
      <c r="G33" s="286">
        <f t="shared" si="2"/>
        <v>1.1511700690571665</v>
      </c>
      <c r="H33" s="207">
        <f t="shared" si="3"/>
        <v>704942.06814881414</v>
      </c>
      <c r="I33" s="292">
        <f t="shared" si="4"/>
        <v>1.4572952714252665</v>
      </c>
      <c r="J33" s="154">
        <f>+'Central Budget'!N32+'Local Government'!J33</f>
        <v>47469935.149999999</v>
      </c>
      <c r="K33" s="286">
        <f t="shared" si="1"/>
        <v>1.2004940354559708</v>
      </c>
      <c r="L33" s="207">
        <f t="shared" si="5"/>
        <v>1608324.3900000006</v>
      </c>
      <c r="M33" s="292">
        <f t="shared" si="6"/>
        <v>3.3880905565130064</v>
      </c>
      <c r="N33" s="80">
        <f>'Central Budget'!D32+'Local Government'!D33</f>
        <v>49078259.539999999</v>
      </c>
      <c r="O33" s="99">
        <f t="shared" si="7"/>
        <v>0</v>
      </c>
      <c r="P33" s="81"/>
      <c r="Q33" s="81"/>
      <c r="R33" s="81"/>
      <c r="S33" s="81"/>
      <c r="CE33" s="81"/>
      <c r="CF33" s="81"/>
      <c r="CG33" s="81"/>
      <c r="CH33" s="81"/>
      <c r="CI33" s="81"/>
    </row>
    <row r="34" spans="1:88">
      <c r="B34" s="80">
        <v>73</v>
      </c>
      <c r="C34" s="101" t="str">
        <f>IF(MasterSheet!$A$1=1,MasterSheet!C103,MasterSheet!B103)</f>
        <v xml:space="preserve">Primici od otplate kredita </v>
      </c>
      <c r="D34" s="154">
        <f>+'Central Budget'!D33+'Local Government'!D38</f>
        <v>6274510.5800000001</v>
      </c>
      <c r="E34" s="286">
        <f t="shared" si="0"/>
        <v>0.1493184498227077</v>
      </c>
      <c r="F34" s="154">
        <f>+IF(ISNUMBER(VLOOKUP($B34,'Central Budget'!$B$16:$O$78,'Public Expenditure'!F$1,FALSE)),VLOOKUP($B34,'Central Budget'!$B$16:$O$78,'Public Expenditure'!F$1,FALSE),0)+IF(ISNUMBER(VLOOKUP('Public Expenditure'!$B34,'Local Government'!$B$16:$M$74,'Public Expenditure'!F$1,FALSE)),VLOOKUP('Public Expenditure'!$B34,'Local Government'!$B$16:$M$74,'Public Expenditure'!F$1,FALSE),0)</f>
        <v>6931562.2178598447</v>
      </c>
      <c r="G34" s="286">
        <f t="shared" si="2"/>
        <v>0.16495471830417754</v>
      </c>
      <c r="H34" s="207">
        <f t="shared" si="3"/>
        <v>-657051.6378598446</v>
      </c>
      <c r="I34" s="292">
        <f t="shared" si="4"/>
        <v>-9.4791277522819826</v>
      </c>
      <c r="J34" s="154">
        <f>+'Central Budget'!N33+'Local Government'!J38</f>
        <v>4662620.91</v>
      </c>
      <c r="K34" s="286">
        <f t="shared" si="1"/>
        <v>0.11791565702291235</v>
      </c>
      <c r="L34" s="207">
        <f t="shared" si="5"/>
        <v>1611889.67</v>
      </c>
      <c r="M34" s="292">
        <f t="shared" si="6"/>
        <v>34.570463718012206</v>
      </c>
      <c r="N34" s="218">
        <f>'Central Budget'!D33+'Local Government'!D38</f>
        <v>6274510.5800000001</v>
      </c>
      <c r="O34" s="99">
        <f t="shared" si="7"/>
        <v>0</v>
      </c>
      <c r="P34" s="81"/>
      <c r="Q34" s="81"/>
      <c r="R34" s="81"/>
      <c r="S34" s="81"/>
      <c r="CD34" s="100"/>
      <c r="CE34" s="100"/>
      <c r="CF34" s="99"/>
      <c r="CG34" s="145"/>
      <c r="CH34" s="145"/>
      <c r="CI34" s="145"/>
      <c r="CJ34" s="142"/>
    </row>
    <row r="35" spans="1:88" ht="13.5" customHeight="1" thickBot="1">
      <c r="B35" s="80">
        <v>74</v>
      </c>
      <c r="C35" s="93" t="s">
        <v>122</v>
      </c>
      <c r="D35" s="154">
        <f>+'Central Budget'!D34+'Local Government'!D39</f>
        <v>30466570.410000004</v>
      </c>
      <c r="E35" s="286">
        <f>D35/D$11*100</f>
        <v>0.72503201756264735</v>
      </c>
      <c r="F35" s="154">
        <f>+IF(ISNUMBER(VLOOKUP($B35,'Central Budget'!$B$16:$O$78,'Public Expenditure'!F$1,FALSE)),VLOOKUP($B35,'Central Budget'!$B$16:$O$78,'Public Expenditure'!F$1,FALSE),0)+IF(ISNUMBER(VLOOKUP('Public Expenditure'!$B35,'Local Government'!$B$16:$M$74,'Public Expenditure'!F$1,FALSE)),VLOOKUP('Public Expenditure'!$B35,'Local Government'!$B$16:$M$74,'Public Expenditure'!F$1,FALSE),0)</f>
        <v>33582898.60467732</v>
      </c>
      <c r="G35" s="286">
        <f t="shared" si="2"/>
        <v>0.79919322730723497</v>
      </c>
      <c r="H35" s="207">
        <f t="shared" si="3"/>
        <v>-3116328.1946773157</v>
      </c>
      <c r="I35" s="292">
        <f t="shared" si="4"/>
        <v>-9.2795092864416517</v>
      </c>
      <c r="J35" s="154">
        <f>+'Central Budget'!N34+'Local Government'!J39</f>
        <v>17322881.359999999</v>
      </c>
      <c r="K35" s="286">
        <f>J35/J$11*100</f>
        <v>0.43808814324009915</v>
      </c>
      <c r="L35" s="207">
        <f t="shared" si="5"/>
        <v>13143689.050000004</v>
      </c>
      <c r="M35" s="292">
        <f t="shared" si="6"/>
        <v>75.874727632493602</v>
      </c>
      <c r="N35" s="80">
        <f>'Central Budget'!D34+'Local Government'!D39</f>
        <v>30466570.410000004</v>
      </c>
      <c r="O35" s="307">
        <f t="shared" si="7"/>
        <v>0</v>
      </c>
      <c r="P35" s="81"/>
      <c r="Q35" s="81"/>
      <c r="R35" s="81"/>
      <c r="S35" s="81"/>
      <c r="CE35" s="161"/>
      <c r="CF35" s="161"/>
      <c r="CG35" s="145"/>
      <c r="CH35" s="145"/>
      <c r="CI35" s="145"/>
      <c r="CJ35" s="142"/>
    </row>
    <row r="36" spans="1:88" ht="15" customHeight="1" thickTop="1" thickBot="1">
      <c r="B36" s="102"/>
      <c r="C36" s="178" t="s">
        <v>234</v>
      </c>
      <c r="D36" s="173">
        <f>+D38+D48+D54+SUM(D55:D60)</f>
        <v>2012876110.8599997</v>
      </c>
      <c r="E36" s="283">
        <f t="shared" si="0"/>
        <v>47.901670851716993</v>
      </c>
      <c r="F36" s="173">
        <f>+F38+F48+F54+SUM(F55:F60)</f>
        <v>1962863158.9520345</v>
      </c>
      <c r="G36" s="283">
        <f t="shared" si="2"/>
        <v>46.711481377216977</v>
      </c>
      <c r="H36" s="173">
        <f t="shared" si="3"/>
        <v>50012951.907965183</v>
      </c>
      <c r="I36" s="283">
        <f t="shared" si="4"/>
        <v>2.5479591727966806</v>
      </c>
      <c r="J36" s="173">
        <f>+J38+J47+J48+J54+SUM(J55:J59)</f>
        <v>1826455420.02</v>
      </c>
      <c r="K36" s="283">
        <f t="shared" si="1"/>
        <v>46.190264023569874</v>
      </c>
      <c r="L36" s="173">
        <f t="shared" si="5"/>
        <v>186420690.83999968</v>
      </c>
      <c r="M36" s="283">
        <f t="shared" si="6"/>
        <v>10.206692635178484</v>
      </c>
      <c r="N36" s="102">
        <f>'Central Budget'!D35+'Local Government'!D40</f>
        <v>2012876110.8599999</v>
      </c>
      <c r="O36" s="213">
        <f>N36-D36</f>
        <v>0</v>
      </c>
      <c r="P36" s="81"/>
      <c r="Q36" s="213"/>
      <c r="R36" s="81"/>
      <c r="S36" s="81"/>
      <c r="AI36" s="218"/>
      <c r="AJ36" s="218"/>
      <c r="CE36" s="81"/>
      <c r="CF36" s="81"/>
      <c r="CG36" s="145"/>
      <c r="CH36" s="145"/>
      <c r="CI36" s="145"/>
      <c r="CJ36" s="142"/>
    </row>
    <row r="37" spans="1:88" ht="13.5" customHeight="1" thickTop="1" thickBot="1">
      <c r="C37" s="178" t="s">
        <v>279</v>
      </c>
      <c r="D37" s="173">
        <f>+D36-D55</f>
        <v>1711245924.1999996</v>
      </c>
      <c r="E37" s="283">
        <f t="shared" si="0"/>
        <v>40.723588781799563</v>
      </c>
      <c r="F37" s="173">
        <f>+F36-F55</f>
        <v>1669284558.9520345</v>
      </c>
      <c r="G37" s="283">
        <f t="shared" si="2"/>
        <v>39.725007947265283</v>
      </c>
      <c r="H37" s="173">
        <f t="shared" si="3"/>
        <v>41961365.247965097</v>
      </c>
      <c r="I37" s="283">
        <f t="shared" si="4"/>
        <v>2.5137335047481741</v>
      </c>
      <c r="J37" s="173">
        <f>+J36-J55</f>
        <v>1720600149.1800001</v>
      </c>
      <c r="K37" s="283">
        <f t="shared" si="1"/>
        <v>43.513230215467104</v>
      </c>
      <c r="L37" s="173">
        <f t="shared" si="5"/>
        <v>-9354224.9800004959</v>
      </c>
      <c r="M37" s="283">
        <f t="shared" si="6"/>
        <v>-0.54366059333764838</v>
      </c>
      <c r="N37" s="303"/>
      <c r="O37" s="81"/>
      <c r="P37" s="81"/>
      <c r="Q37" s="81"/>
      <c r="R37" s="81"/>
      <c r="S37" s="81"/>
      <c r="CE37" s="161"/>
      <c r="CF37" s="161"/>
      <c r="CG37" s="145"/>
      <c r="CH37" s="145"/>
      <c r="CI37" s="145"/>
      <c r="CJ37" s="142"/>
    </row>
    <row r="38" spans="1:88" ht="13.5" customHeight="1" thickTop="1">
      <c r="A38" s="80">
        <v>41</v>
      </c>
      <c r="B38" s="80">
        <v>41</v>
      </c>
      <c r="C38" s="93" t="s">
        <v>62</v>
      </c>
      <c r="D38" s="94">
        <f>+SUM(D39:D47)</f>
        <v>858846386.54999995</v>
      </c>
      <c r="E38" s="286">
        <f t="shared" si="0"/>
        <v>20.43850423716713</v>
      </c>
      <c r="F38" s="94">
        <f>+SUM(F39:F47)</f>
        <v>826588620.99713874</v>
      </c>
      <c r="G38" s="286">
        <f t="shared" si="2"/>
        <v>19.670846029298179</v>
      </c>
      <c r="H38" s="205">
        <f t="shared" si="3"/>
        <v>32257765.552861214</v>
      </c>
      <c r="I38" s="292">
        <f t="shared" si="4"/>
        <v>3.90251749581887</v>
      </c>
      <c r="J38" s="94">
        <f>+SUM(J39:J46)</f>
        <v>776247586.88999999</v>
      </c>
      <c r="K38" s="286">
        <f t="shared" si="1"/>
        <v>19.63096421248293</v>
      </c>
      <c r="L38" s="205">
        <f t="shared" si="5"/>
        <v>82598799.659999967</v>
      </c>
      <c r="M38" s="292">
        <f t="shared" si="6"/>
        <v>10.640780216905824</v>
      </c>
      <c r="O38" s="81"/>
      <c r="P38" s="213"/>
      <c r="Q38" s="213"/>
      <c r="R38" s="81"/>
      <c r="S38" s="81"/>
      <c r="CE38" s="161"/>
      <c r="CF38" s="161"/>
      <c r="CG38" s="145"/>
      <c r="CH38" s="145"/>
      <c r="CI38" s="145"/>
      <c r="CJ38" s="142"/>
    </row>
    <row r="39" spans="1:88" ht="13.5" customHeight="1">
      <c r="B39" s="80">
        <v>411</v>
      </c>
      <c r="C39" s="93" t="s">
        <v>63</v>
      </c>
      <c r="D39" s="154">
        <f>+'Central Budget'!D38+'Local Government'!D43</f>
        <v>492118105.52000004</v>
      </c>
      <c r="E39" s="286">
        <f t="shared" si="0"/>
        <v>11.711242129411485</v>
      </c>
      <c r="F39" s="154">
        <f>+'Central Budget'!F38+'Local Government'!F43</f>
        <v>487636040.57789314</v>
      </c>
      <c r="G39" s="286">
        <f t="shared" si="2"/>
        <v>11.604579628706912</v>
      </c>
      <c r="H39" s="207">
        <f t="shared" si="3"/>
        <v>4482064.9421069026</v>
      </c>
      <c r="I39" s="292">
        <f t="shared" si="4"/>
        <v>0.91914144344113424</v>
      </c>
      <c r="J39" s="154">
        <f>+'Central Budget'!N38+'Local Government'!J43</f>
        <v>467589286.08999997</v>
      </c>
      <c r="K39" s="286">
        <f t="shared" si="1"/>
        <v>11.825129889484598</v>
      </c>
      <c r="L39" s="207">
        <f t="shared" si="5"/>
        <v>24528819.430000067</v>
      </c>
      <c r="M39" s="292">
        <f t="shared" si="6"/>
        <v>5.2458044184696888</v>
      </c>
      <c r="N39" s="147">
        <f>'Central Budget'!D38+'Local Government'!D43</f>
        <v>492118105.52000004</v>
      </c>
      <c r="O39" s="213">
        <f>N39-D39</f>
        <v>0</v>
      </c>
      <c r="P39" s="213"/>
      <c r="Q39" s="213"/>
      <c r="R39" s="81"/>
      <c r="S39" s="81"/>
      <c r="CE39" s="161"/>
      <c r="CF39" s="161"/>
      <c r="CG39" s="145"/>
      <c r="CH39" s="145"/>
      <c r="CI39" s="145"/>
      <c r="CJ39" s="142"/>
    </row>
    <row r="40" spans="1:88" ht="13.5" customHeight="1">
      <c r="B40" s="80">
        <v>412</v>
      </c>
      <c r="C40" s="93" t="s">
        <v>74</v>
      </c>
      <c r="D40" s="154">
        <f>+'Central Budget'!D39+'Local Government'!D44</f>
        <v>13876533.689999999</v>
      </c>
      <c r="E40" s="286">
        <f t="shared" si="0"/>
        <v>0.3302285450132077</v>
      </c>
      <c r="F40" s="154">
        <f>+'Central Budget'!F39+'Local Government'!F44</f>
        <v>17460957.149464607</v>
      </c>
      <c r="G40" s="286">
        <f t="shared" si="2"/>
        <v>0.41552931033208651</v>
      </c>
      <c r="H40" s="207">
        <f t="shared" si="3"/>
        <v>-3584423.4594646078</v>
      </c>
      <c r="I40" s="292">
        <f t="shared" si="4"/>
        <v>-20.528218635337041</v>
      </c>
      <c r="J40" s="154">
        <f>+'Central Budget'!N39+'Local Government'!J44</f>
        <v>15328321.52</v>
      </c>
      <c r="K40" s="286">
        <f t="shared" si="1"/>
        <v>0.38764659147235853</v>
      </c>
      <c r="L40" s="207">
        <f t="shared" si="5"/>
        <v>-1451787.83</v>
      </c>
      <c r="M40" s="292">
        <f t="shared" si="6"/>
        <v>-9.4712772569765349</v>
      </c>
      <c r="N40" s="147">
        <f>'Central Budget'!D39+'Local Government'!D44</f>
        <v>13876533.689999999</v>
      </c>
      <c r="O40" s="213">
        <f t="shared" ref="O40:O48" si="8">N40-D40</f>
        <v>0</v>
      </c>
      <c r="P40" s="213"/>
      <c r="Q40" s="213"/>
      <c r="R40" s="81"/>
      <c r="S40" s="81"/>
      <c r="CE40" s="161"/>
      <c r="CF40" s="161"/>
      <c r="CG40" s="145"/>
      <c r="CH40" s="145"/>
      <c r="CI40" s="145"/>
      <c r="CJ40" s="142"/>
    </row>
    <row r="41" spans="1:88" ht="13.5" customHeight="1">
      <c r="B41" s="80">
        <v>413</v>
      </c>
      <c r="C41" s="93" t="s">
        <v>76</v>
      </c>
      <c r="D41" s="154">
        <f>+'Central Budget'!D40+'Central Budget'!D41+'Local Government'!D45</f>
        <v>110758400.30999999</v>
      </c>
      <c r="E41" s="286">
        <f t="shared" si="0"/>
        <v>2.6357868758477903</v>
      </c>
      <c r="F41" s="154">
        <f>+'Central Budget'!F40+'Central Budget'!F41+'Local Government'!F45</f>
        <v>96105682.616194397</v>
      </c>
      <c r="G41" s="286">
        <f t="shared" si="2"/>
        <v>2.2870869949833272</v>
      </c>
      <c r="H41" s="207">
        <f t="shared" si="3"/>
        <v>14652717.69380559</v>
      </c>
      <c r="I41" s="292">
        <f t="shared" si="4"/>
        <v>15.246463367127177</v>
      </c>
      <c r="J41" s="154">
        <f>+'Central Budget'!N40+'Central Budget'!N41+'Local Government'!J45</f>
        <v>106425125.98</v>
      </c>
      <c r="K41" s="286">
        <f t="shared" si="1"/>
        <v>2.6914451970057156</v>
      </c>
      <c r="L41" s="207">
        <f t="shared" si="5"/>
        <v>4333274.3299999833</v>
      </c>
      <c r="M41" s="292">
        <f t="shared" si="6"/>
        <v>4.0716647409130786</v>
      </c>
      <c r="N41" s="147">
        <f>'Central Budget'!D40+'Local Government'!D45</f>
        <v>44019635.489999995</v>
      </c>
      <c r="O41" s="213">
        <f t="shared" si="8"/>
        <v>-66738764.819999993</v>
      </c>
      <c r="P41" s="213"/>
      <c r="Q41" s="213"/>
      <c r="R41" s="81"/>
      <c r="S41" s="81"/>
      <c r="CE41" s="161"/>
      <c r="CF41" s="161"/>
      <c r="CG41" s="145"/>
      <c r="CH41" s="145"/>
      <c r="CI41" s="145"/>
      <c r="CJ41" s="142"/>
    </row>
    <row r="42" spans="1:88" ht="13.5" customHeight="1">
      <c r="B42" s="80">
        <v>415</v>
      </c>
      <c r="C42" s="93" t="s">
        <v>430</v>
      </c>
      <c r="D42" s="154">
        <f>+'Central Budget'!D42+'Local Government'!D46</f>
        <v>26396256.290000007</v>
      </c>
      <c r="E42" s="286">
        <f t="shared" si="0"/>
        <v>0.62816820851479038</v>
      </c>
      <c r="F42" s="154">
        <f>+'Central Budget'!F42+'Local Government'!F46</f>
        <v>25712571.989389628</v>
      </c>
      <c r="G42" s="286">
        <f t="shared" si="2"/>
        <v>0.61189814591251113</v>
      </c>
      <c r="H42" s="207">
        <f t="shared" si="3"/>
        <v>683684.30061037838</v>
      </c>
      <c r="I42" s="292">
        <f t="shared" si="4"/>
        <v>2.6589494854598854</v>
      </c>
      <c r="J42" s="154">
        <f>+'Central Budget'!N42+'Local Government'!J46</f>
        <v>26183799.349999998</v>
      </c>
      <c r="K42" s="286">
        <f t="shared" si="1"/>
        <v>0.66217690936219709</v>
      </c>
      <c r="L42" s="207">
        <f t="shared" si="5"/>
        <v>212456.94000000879</v>
      </c>
      <c r="M42" s="292">
        <f t="shared" si="6"/>
        <v>0.8114060803785037</v>
      </c>
      <c r="N42" s="147">
        <f>'Central Budget'!D42+'Local Government'!D46</f>
        <v>26396256.290000007</v>
      </c>
      <c r="O42" s="213">
        <f t="shared" si="8"/>
        <v>0</v>
      </c>
      <c r="P42" s="213"/>
      <c r="Q42" s="213"/>
      <c r="R42" s="81"/>
      <c r="S42" s="81"/>
      <c r="CE42" s="161"/>
      <c r="CF42" s="161"/>
      <c r="CG42" s="145"/>
      <c r="CH42" s="145"/>
      <c r="CI42" s="145"/>
      <c r="CJ42" s="142"/>
    </row>
    <row r="43" spans="1:88" ht="13.5" customHeight="1">
      <c r="B43" s="80">
        <v>416</v>
      </c>
      <c r="C43" s="93" t="s">
        <v>79</v>
      </c>
      <c r="D43" s="154">
        <f>+'Central Budget'!D43+'Local Government'!D47</f>
        <v>102514052.85000001</v>
      </c>
      <c r="E43" s="286">
        <f t="shared" si="0"/>
        <v>2.4395909866495327</v>
      </c>
      <c r="F43" s="154">
        <f>+'Central Budget'!F43+'Local Government'!F47</f>
        <v>101363625.91</v>
      </c>
      <c r="G43" s="286">
        <f t="shared" si="2"/>
        <v>2.4122135577449368</v>
      </c>
      <c r="H43" s="207">
        <f t="shared" si="3"/>
        <v>1150426.9400000125</v>
      </c>
      <c r="I43" s="292">
        <f t="shared" si="4"/>
        <v>1.1349504614421164</v>
      </c>
      <c r="J43" s="154">
        <f>+'Central Budget'!N43+'Local Government'!J47</f>
        <v>85676007.730000004</v>
      </c>
      <c r="K43" s="286">
        <f t="shared" si="1"/>
        <v>2.1667090114308838</v>
      </c>
      <c r="L43" s="207">
        <f t="shared" si="5"/>
        <v>16838045.120000005</v>
      </c>
      <c r="M43" s="292">
        <f t="shared" si="6"/>
        <v>19.653162613579681</v>
      </c>
      <c r="N43" s="147">
        <f>'Central Budget'!D43+'Local Government'!D47</f>
        <v>102514052.85000001</v>
      </c>
      <c r="O43" s="213">
        <f t="shared" si="8"/>
        <v>0</v>
      </c>
      <c r="P43" s="213"/>
      <c r="Q43" s="213"/>
      <c r="R43" s="81"/>
      <c r="S43" s="81"/>
      <c r="CE43" s="161"/>
      <c r="CF43" s="161"/>
      <c r="CG43" s="145"/>
      <c r="CH43" s="145"/>
      <c r="CI43" s="145"/>
      <c r="CJ43" s="142"/>
    </row>
    <row r="44" spans="1:88" ht="13.5" customHeight="1">
      <c r="B44" s="80">
        <v>417</v>
      </c>
      <c r="C44" s="93" t="s">
        <v>81</v>
      </c>
      <c r="D44" s="154">
        <f>+'Central Budget'!D44+'Local Government'!D48</f>
        <v>9704252.4000000004</v>
      </c>
      <c r="E44" s="286">
        <f t="shared" si="0"/>
        <v>0.23093815949168273</v>
      </c>
      <c r="F44" s="154">
        <f>+'Central Budget'!F44+'Local Government'!F48</f>
        <v>9714612.4393905215</v>
      </c>
      <c r="G44" s="286">
        <f t="shared" si="2"/>
        <v>0.23118470382405276</v>
      </c>
      <c r="H44" s="207">
        <f t="shared" si="3"/>
        <v>-10360.039390521124</v>
      </c>
      <c r="I44" s="292">
        <f t="shared" si="4"/>
        <v>-0.10664387751089066</v>
      </c>
      <c r="J44" s="154">
        <f>+'Central Budget'!N44+'Local Government'!J48</f>
        <v>9721270.6899999995</v>
      </c>
      <c r="K44" s="286">
        <f t="shared" si="1"/>
        <v>0.24584671210358602</v>
      </c>
      <c r="L44" s="207">
        <f t="shared" si="5"/>
        <v>-17018.289999999106</v>
      </c>
      <c r="M44" s="292">
        <f t="shared" si="6"/>
        <v>-0.1750624022588454</v>
      </c>
      <c r="N44" s="147">
        <f>'Central Budget'!D44+'Local Government'!D48</f>
        <v>9704252.4000000004</v>
      </c>
      <c r="O44" s="213">
        <f t="shared" si="8"/>
        <v>0</v>
      </c>
      <c r="P44" s="213"/>
      <c r="Q44" s="213"/>
      <c r="R44" s="81"/>
      <c r="S44" s="81"/>
      <c r="CE44" s="161"/>
      <c r="CF44" s="161"/>
      <c r="CG44" s="145"/>
      <c r="CH44" s="145"/>
      <c r="CI44" s="145"/>
      <c r="CJ44" s="142"/>
    </row>
    <row r="45" spans="1:88" ht="13.5" customHeight="1">
      <c r="B45" s="80">
        <v>418</v>
      </c>
      <c r="C45" s="93" t="s">
        <v>83</v>
      </c>
      <c r="D45" s="154">
        <f>+'Central Budget'!D45+'Local Government'!D49</f>
        <v>29017033.960000005</v>
      </c>
      <c r="E45" s="286">
        <f t="shared" si="0"/>
        <v>0.69053649270602813</v>
      </c>
      <c r="F45" s="154">
        <f>+'Central Budget'!F45+'Local Government'!F49</f>
        <v>28329907.480772339</v>
      </c>
      <c r="G45" s="286">
        <f t="shared" si="2"/>
        <v>0.67418451442784177</v>
      </c>
      <c r="H45" s="207">
        <f t="shared" si="3"/>
        <v>687126.47922766581</v>
      </c>
      <c r="I45" s="292">
        <f t="shared" si="4"/>
        <v>2.4254455461742168</v>
      </c>
      <c r="J45" s="154">
        <f>+'Central Budget'!N45+'Local Government'!J49</f>
        <v>27846151.860000003</v>
      </c>
      <c r="K45" s="286">
        <f t="shared" si="1"/>
        <v>0.70421708208992972</v>
      </c>
      <c r="L45" s="207">
        <f t="shared" si="5"/>
        <v>1170882.1000000015</v>
      </c>
      <c r="M45" s="292">
        <f t="shared" si="6"/>
        <v>4.2048255209077325</v>
      </c>
      <c r="N45" s="147">
        <f>'Central Budget'!D45+'Local Government'!D49</f>
        <v>29017033.960000005</v>
      </c>
      <c r="O45" s="213">
        <f t="shared" si="8"/>
        <v>0</v>
      </c>
      <c r="P45" s="213"/>
      <c r="Q45" s="213"/>
      <c r="R45" s="81"/>
      <c r="S45" s="81"/>
      <c r="CE45" s="161"/>
      <c r="CF45" s="161"/>
      <c r="CG45" s="145"/>
      <c r="CH45" s="145"/>
      <c r="CI45" s="145"/>
      <c r="CJ45" s="142"/>
    </row>
    <row r="46" spans="1:88" ht="13.5" customHeight="1">
      <c r="B46" s="80">
        <v>419</v>
      </c>
      <c r="C46" s="93" t="s">
        <v>85</v>
      </c>
      <c r="D46" s="154">
        <f>+'Central Budget'!D46+'Local Government'!D50</f>
        <v>42042100.019999996</v>
      </c>
      <c r="E46" s="286">
        <f t="shared" si="0"/>
        <v>1.0005021303633896</v>
      </c>
      <c r="F46" s="154">
        <f>+'Central Budget'!F46+'Local Government'!F50</f>
        <v>35857469.524033971</v>
      </c>
      <c r="G46" s="286">
        <f t="shared" si="2"/>
        <v>0.85332261307522372</v>
      </c>
      <c r="H46" s="207">
        <f t="shared" si="3"/>
        <v>6184630.4959660247</v>
      </c>
      <c r="I46" s="292">
        <f t="shared" si="4"/>
        <v>17.24781636311701</v>
      </c>
      <c r="J46" s="154">
        <f>'Central Budget'!N46+'Local Government'!J50</f>
        <v>37477623.670000002</v>
      </c>
      <c r="K46" s="286">
        <f t="shared" si="1"/>
        <v>0.94779281953366046</v>
      </c>
      <c r="L46" s="207">
        <f t="shared" si="5"/>
        <v>4564476.349999994</v>
      </c>
      <c r="M46" s="292">
        <f t="shared" si="6"/>
        <v>12.17920429051577</v>
      </c>
      <c r="N46" s="147">
        <f>'Central Budget'!D46+'Local Government'!D50</f>
        <v>42042100.019999996</v>
      </c>
      <c r="O46" s="213">
        <f t="shared" si="8"/>
        <v>0</v>
      </c>
      <c r="P46" s="213"/>
      <c r="Q46" s="213"/>
      <c r="R46" s="81"/>
      <c r="S46" s="81"/>
      <c r="CE46" s="161"/>
      <c r="CF46" s="161"/>
      <c r="CG46" s="145"/>
      <c r="CH46" s="145"/>
      <c r="CI46" s="145"/>
      <c r="CJ46" s="142"/>
    </row>
    <row r="47" spans="1:88" ht="13.5" customHeight="1">
      <c r="B47" s="80">
        <v>441</v>
      </c>
      <c r="C47" s="93" t="s">
        <v>129</v>
      </c>
      <c r="D47" s="154">
        <f>'Central Budget'!D47</f>
        <v>32419651.509999998</v>
      </c>
      <c r="E47" s="286">
        <f t="shared" si="0"/>
        <v>0.77151070916922493</v>
      </c>
      <c r="F47" s="154">
        <f>+'Central Budget'!F47</f>
        <v>24407753.310000002</v>
      </c>
      <c r="G47" s="286">
        <f t="shared" si="2"/>
        <v>0.5808465602912829</v>
      </c>
      <c r="H47" s="207">
        <f>+D47-F47</f>
        <v>8011898.1999999955</v>
      </c>
      <c r="I47" s="292">
        <f t="shared" si="4"/>
        <v>32.825217865166934</v>
      </c>
      <c r="J47" s="154">
        <f>+'Central Budget'!N47</f>
        <v>42089273.07</v>
      </c>
      <c r="K47" s="286">
        <f t="shared" si="1"/>
        <v>1.0644194292145062</v>
      </c>
      <c r="L47" s="207">
        <f t="shared" si="5"/>
        <v>-9669621.5600000024</v>
      </c>
      <c r="M47" s="292">
        <f t="shared" si="6"/>
        <v>-22.974075945474638</v>
      </c>
      <c r="N47" s="147"/>
      <c r="O47" s="213"/>
      <c r="P47" s="213"/>
      <c r="Q47" s="213"/>
      <c r="R47" s="81"/>
      <c r="S47" s="81"/>
      <c r="CE47" s="161"/>
      <c r="CF47" s="161"/>
      <c r="CG47" s="145"/>
      <c r="CH47" s="145"/>
      <c r="CI47" s="145"/>
      <c r="CJ47" s="142"/>
    </row>
    <row r="48" spans="1:88" ht="13.5" customHeight="1">
      <c r="A48" s="80">
        <v>42</v>
      </c>
      <c r="B48" s="80">
        <v>42</v>
      </c>
      <c r="C48" s="93" t="s">
        <v>86</v>
      </c>
      <c r="D48" s="94">
        <f>SUM(D49:D53)</f>
        <v>538863417.93999994</v>
      </c>
      <c r="E48" s="286">
        <f t="shared" si="0"/>
        <v>12.823669544751432</v>
      </c>
      <c r="F48" s="94">
        <f>SUM(F49:F53)</f>
        <v>565690920.55223548</v>
      </c>
      <c r="G48" s="286">
        <f t="shared" si="2"/>
        <v>13.462100391524132</v>
      </c>
      <c r="H48" s="205">
        <f t="shared" si="3"/>
        <v>-26827502.612235546</v>
      </c>
      <c r="I48" s="292">
        <f t="shared" si="4"/>
        <v>-4.7424311823930623</v>
      </c>
      <c r="J48" s="94">
        <f>SUM(J49:J53)</f>
        <v>556077769.5200001</v>
      </c>
      <c r="K48" s="286">
        <f t="shared" si="1"/>
        <v>14.062965189418849</v>
      </c>
      <c r="L48" s="205">
        <f t="shared" si="5"/>
        <v>-17214351.580000162</v>
      </c>
      <c r="M48" s="292">
        <f t="shared" si="6"/>
        <v>-3.0956733974205406</v>
      </c>
      <c r="N48" s="147">
        <f>'Central Budget'!D48+'Local Government'!D51</f>
        <v>538863417.93999994</v>
      </c>
      <c r="O48" s="213">
        <f t="shared" si="8"/>
        <v>0</v>
      </c>
      <c r="P48" s="81"/>
      <c r="Q48" s="81"/>
      <c r="R48" s="81"/>
      <c r="S48" s="81"/>
      <c r="CE48" s="161"/>
      <c r="CF48" s="161"/>
      <c r="CG48" s="145"/>
      <c r="CH48" s="145"/>
      <c r="CI48" s="145"/>
      <c r="CJ48" s="142"/>
    </row>
    <row r="49" spans="1:88" ht="13.5" customHeight="1">
      <c r="B49" s="80">
        <v>421</v>
      </c>
      <c r="C49" s="97" t="s">
        <v>88</v>
      </c>
      <c r="D49" s="156">
        <f>+'Central Budget'!D49+'Local Government'!D52</f>
        <v>99517402.480000004</v>
      </c>
      <c r="E49" s="285">
        <f t="shared" si="0"/>
        <v>2.3682778248970755</v>
      </c>
      <c r="F49" s="156">
        <f>+'Central Budget'!F49+'Local Government'!F52</f>
        <v>115688440.55223551</v>
      </c>
      <c r="G49" s="285">
        <f t="shared" si="2"/>
        <v>2.7531101247527547</v>
      </c>
      <c r="H49" s="208">
        <f t="shared" si="3"/>
        <v>-16171038.07223551</v>
      </c>
      <c r="I49" s="291">
        <f t="shared" si="4"/>
        <v>-13.978093226119668</v>
      </c>
      <c r="J49" s="156">
        <f>+'Central Budget'!N49+'Local Government'!J52</f>
        <v>115149477.89</v>
      </c>
      <c r="K49" s="285">
        <f t="shared" si="1"/>
        <v>2.912080266299125</v>
      </c>
      <c r="L49" s="208">
        <f t="shared" si="5"/>
        <v>-15632075.409999996</v>
      </c>
      <c r="M49" s="291">
        <f t="shared" si="6"/>
        <v>-13.575463559576889</v>
      </c>
      <c r="N49" s="147"/>
      <c r="O49" s="213"/>
      <c r="P49" s="81"/>
      <c r="Q49" s="81"/>
      <c r="R49" s="81"/>
      <c r="S49" s="81"/>
      <c r="CE49" s="161"/>
      <c r="CF49" s="161"/>
      <c r="CG49" s="145"/>
      <c r="CH49" s="145"/>
      <c r="CI49" s="145"/>
      <c r="CJ49" s="142"/>
    </row>
    <row r="50" spans="1:88" ht="13.5" customHeight="1">
      <c r="B50" s="80">
        <v>422</v>
      </c>
      <c r="C50" s="97" t="s">
        <v>90</v>
      </c>
      <c r="D50" s="156">
        <f>+'Central Budget'!D50+'Local Government'!D53</f>
        <v>12968450.790000001</v>
      </c>
      <c r="E50" s="285">
        <f t="shared" si="0"/>
        <v>0.30861832869279648</v>
      </c>
      <c r="F50" s="156">
        <f>+'Central Budget'!F50+'Local Government'!F53</f>
        <v>15396480</v>
      </c>
      <c r="G50" s="285">
        <f t="shared" si="2"/>
        <v>0.36639965731420004</v>
      </c>
      <c r="H50" s="208">
        <f t="shared" si="3"/>
        <v>-2428029.209999999</v>
      </c>
      <c r="I50" s="291">
        <f t="shared" si="4"/>
        <v>-15.770028019391432</v>
      </c>
      <c r="J50" s="156">
        <f>+'Central Budget'!N50+'Local Government'!J53</f>
        <v>22568289.629999999</v>
      </c>
      <c r="K50" s="285">
        <f t="shared" si="1"/>
        <v>0.57074223939102731</v>
      </c>
      <c r="L50" s="208">
        <f t="shared" si="5"/>
        <v>-9599838.839999998</v>
      </c>
      <c r="M50" s="291">
        <f t="shared" si="6"/>
        <v>-42.53684704240478</v>
      </c>
      <c r="N50" s="147"/>
      <c r="O50" s="213"/>
      <c r="P50" s="81"/>
      <c r="Q50" s="81"/>
      <c r="R50" s="81"/>
      <c r="S50" s="81"/>
      <c r="CE50" s="161"/>
      <c r="CF50" s="161"/>
      <c r="CG50" s="145"/>
      <c r="CH50" s="145"/>
      <c r="CI50" s="145"/>
      <c r="CJ50" s="142"/>
    </row>
    <row r="51" spans="1:88" ht="13.5" customHeight="1">
      <c r="B51" s="80">
        <v>423</v>
      </c>
      <c r="C51" s="97" t="s">
        <v>92</v>
      </c>
      <c r="D51" s="156">
        <f>+'Central Budget'!D51</f>
        <v>401263898.76999998</v>
      </c>
      <c r="E51" s="285">
        <f t="shared" si="0"/>
        <v>9.5491277877727789</v>
      </c>
      <c r="F51" s="156">
        <f>+'Central Budget'!F51</f>
        <v>410150000</v>
      </c>
      <c r="G51" s="285">
        <f t="shared" si="2"/>
        <v>9.7605958925299259</v>
      </c>
      <c r="H51" s="208">
        <f t="shared" si="3"/>
        <v>-8886101.2300000191</v>
      </c>
      <c r="I51" s="291">
        <f t="shared" si="4"/>
        <v>-2.1665491234914072</v>
      </c>
      <c r="J51" s="156">
        <f>+'Central Budget'!N51</f>
        <v>390815475.43000001</v>
      </c>
      <c r="K51" s="285">
        <f t="shared" si="1"/>
        <v>9.8835535741742966</v>
      </c>
      <c r="L51" s="208">
        <f t="shared" si="5"/>
        <v>10448423.339999974</v>
      </c>
      <c r="M51" s="291">
        <f t="shared" si="6"/>
        <v>2.6734927342638883</v>
      </c>
      <c r="N51" s="147"/>
      <c r="O51" s="213"/>
      <c r="P51" s="81"/>
      <c r="Q51" s="81"/>
      <c r="R51" s="81"/>
      <c r="S51" s="81"/>
      <c r="CE51" s="161"/>
      <c r="CF51" s="161"/>
      <c r="CG51" s="145"/>
      <c r="CH51" s="145"/>
      <c r="CI51" s="145"/>
      <c r="CJ51" s="142"/>
    </row>
    <row r="52" spans="1:88" ht="13.5" customHeight="1">
      <c r="B52" s="80">
        <v>424</v>
      </c>
      <c r="C52" s="97" t="s">
        <v>94</v>
      </c>
      <c r="D52" s="156">
        <f>+'Central Budget'!D52</f>
        <v>16489379.109999999</v>
      </c>
      <c r="E52" s="285">
        <f t="shared" si="0"/>
        <v>0.39240806049356275</v>
      </c>
      <c r="F52" s="156">
        <f>+'Central Budget'!F52</f>
        <v>15931000</v>
      </c>
      <c r="G52" s="285">
        <f t="shared" si="2"/>
        <v>0.37911996382761004</v>
      </c>
      <c r="H52" s="208">
        <f t="shared" si="3"/>
        <v>558379.1099999994</v>
      </c>
      <c r="I52" s="291">
        <f t="shared" si="4"/>
        <v>3.5049846839495302</v>
      </c>
      <c r="J52" s="156">
        <f>+'Central Budget'!N52</f>
        <v>16279749.999999996</v>
      </c>
      <c r="K52" s="285">
        <f t="shared" si="1"/>
        <v>0.41170780435992099</v>
      </c>
      <c r="L52" s="208">
        <f t="shared" si="5"/>
        <v>209629.11000000313</v>
      </c>
      <c r="M52" s="291">
        <f t="shared" si="6"/>
        <v>1.287667869592596</v>
      </c>
      <c r="N52" s="147"/>
      <c r="O52" s="213"/>
      <c r="P52" s="81"/>
      <c r="Q52" s="81"/>
      <c r="R52" s="81"/>
      <c r="S52" s="81"/>
      <c r="CE52" s="161"/>
      <c r="CF52" s="161"/>
      <c r="CG52" s="145"/>
      <c r="CH52" s="145"/>
      <c r="CI52" s="145"/>
      <c r="CJ52" s="142"/>
    </row>
    <row r="53" spans="1:88" ht="13.5" customHeight="1">
      <c r="B53" s="80">
        <v>425</v>
      </c>
      <c r="C53" s="97" t="s">
        <v>431</v>
      </c>
      <c r="D53" s="156">
        <f>+'Central Budget'!D53</f>
        <v>8624286.790000001</v>
      </c>
      <c r="E53" s="285">
        <f t="shared" si="0"/>
        <v>0.20523754289521909</v>
      </c>
      <c r="F53" s="156">
        <f>+'Central Budget'!F53</f>
        <v>8525000</v>
      </c>
      <c r="G53" s="285">
        <f t="shared" si="2"/>
        <v>0.20287475309964065</v>
      </c>
      <c r="H53" s="208">
        <f t="shared" si="3"/>
        <v>99286.790000000969</v>
      </c>
      <c r="I53" s="291">
        <f t="shared" si="4"/>
        <v>1.1646544281525024</v>
      </c>
      <c r="J53" s="156">
        <f>+'Central Budget'!N53</f>
        <v>11264776.57</v>
      </c>
      <c r="K53" s="285">
        <f t="shared" si="1"/>
        <v>0.28488130519447674</v>
      </c>
      <c r="L53" s="208">
        <f t="shared" si="5"/>
        <v>-2640489.7799999993</v>
      </c>
      <c r="M53" s="291">
        <f t="shared" si="6"/>
        <v>-23.440232157218887</v>
      </c>
      <c r="N53" s="147"/>
      <c r="O53" s="213"/>
      <c r="P53" s="81"/>
      <c r="Q53" s="81"/>
      <c r="R53" s="81"/>
      <c r="S53" s="81"/>
      <c r="CE53" s="161"/>
      <c r="CF53" s="161"/>
      <c r="CG53" s="145"/>
      <c r="CH53" s="145"/>
      <c r="CI53" s="145"/>
      <c r="CJ53" s="142"/>
    </row>
    <row r="54" spans="1:88" ht="13.5" customHeight="1" thickBot="1">
      <c r="A54" s="80">
        <v>43</v>
      </c>
      <c r="B54" s="80">
        <v>43</v>
      </c>
      <c r="C54" s="93" t="s">
        <v>432</v>
      </c>
      <c r="D54" s="94">
        <f>'Central Budget'!D54+'Local Government'!D54</f>
        <v>212760459.06</v>
      </c>
      <c r="E54" s="286">
        <f t="shared" si="0"/>
        <v>5.0631936189048332</v>
      </c>
      <c r="F54" s="94">
        <f>'Central Budget'!F54+'Local Government'!F54</f>
        <v>209307223.67642108</v>
      </c>
      <c r="G54" s="286">
        <f t="shared" si="2"/>
        <v>4.9810148182199638</v>
      </c>
      <c r="H54" s="205">
        <f t="shared" si="3"/>
        <v>3453235.3835789263</v>
      </c>
      <c r="I54" s="292">
        <f t="shared" si="4"/>
        <v>1.6498405181263394</v>
      </c>
      <c r="J54" s="94">
        <f>'Central Budget'!N54+'Local Government'!J54</f>
        <v>213172214.00999999</v>
      </c>
      <c r="K54" s="286">
        <f t="shared" si="1"/>
        <v>5.3910326743715542</v>
      </c>
      <c r="L54" s="205">
        <f t="shared" si="5"/>
        <v>-411754.94999998808</v>
      </c>
      <c r="M54" s="292">
        <f t="shared" si="6"/>
        <v>-0.19315601327886611</v>
      </c>
      <c r="N54" s="147"/>
      <c r="O54" s="213"/>
      <c r="P54" s="81"/>
      <c r="Q54" s="81"/>
      <c r="R54" s="81"/>
      <c r="S54" s="81"/>
      <c r="CE54" s="161"/>
      <c r="CF54" s="161"/>
      <c r="CG54" s="145"/>
      <c r="CH54" s="145"/>
      <c r="CI54" s="145"/>
      <c r="CJ54" s="142"/>
    </row>
    <row r="55" spans="1:88" ht="13.5" customHeight="1" thickTop="1" thickBot="1">
      <c r="B55" s="80">
        <v>44</v>
      </c>
      <c r="C55" s="178" t="s">
        <v>130</v>
      </c>
      <c r="D55" s="177">
        <f>+'Central Budget'!D57+'Local Government'!D55</f>
        <v>301630186.66000003</v>
      </c>
      <c r="E55" s="283">
        <f t="shared" si="0"/>
        <v>7.1780820699174228</v>
      </c>
      <c r="F55" s="177">
        <f>+'Central Budget'!F57+'Local Government'!F55</f>
        <v>293578600</v>
      </c>
      <c r="G55" s="283">
        <f t="shared" si="2"/>
        <v>6.9864734299516913</v>
      </c>
      <c r="H55" s="177">
        <f t="shared" si="3"/>
        <v>8051586.6600000262</v>
      </c>
      <c r="I55" s="283">
        <f t="shared" si="4"/>
        <v>2.7425659295330149</v>
      </c>
      <c r="J55" s="177">
        <f>+'Central Budget'!N57+'Local Government'!J55</f>
        <v>105855270.84</v>
      </c>
      <c r="K55" s="283">
        <f t="shared" si="1"/>
        <v>2.6770338081027769</v>
      </c>
      <c r="L55" s="177">
        <f t="shared" si="5"/>
        <v>195774915.82000002</v>
      </c>
      <c r="M55" s="283">
        <f t="shared" si="6"/>
        <v>184.94583620301097</v>
      </c>
      <c r="N55" s="147">
        <f>'Central Budget'!D57+'Local Government'!D55</f>
        <v>301630186.66000003</v>
      </c>
      <c r="O55" s="210"/>
      <c r="P55" s="81"/>
      <c r="Q55" s="81"/>
      <c r="R55" s="81"/>
      <c r="S55" s="81"/>
      <c r="CE55" s="161"/>
      <c r="CF55" s="161"/>
      <c r="CG55" s="145"/>
      <c r="CH55" s="145"/>
      <c r="CI55" s="145"/>
      <c r="CJ55" s="142"/>
    </row>
    <row r="56" spans="1:88" ht="13.5" customHeight="1" thickTop="1">
      <c r="B56" s="80">
        <v>451</v>
      </c>
      <c r="C56" s="93" t="s">
        <v>110</v>
      </c>
      <c r="D56" s="154">
        <f>+'Central Budget'!D58+'Local Government'!D56</f>
        <v>7199890.96</v>
      </c>
      <c r="E56" s="286">
        <f t="shared" si="0"/>
        <v>0.17134030508555248</v>
      </c>
      <c r="F56" s="154">
        <f>+'Central Budget'!F58+'Local Government'!F56</f>
        <v>3015702.4712491091</v>
      </c>
      <c r="G56" s="286">
        <f t="shared" si="2"/>
        <v>7.1766556513388757E-2</v>
      </c>
      <c r="H56" s="207">
        <f t="shared" si="3"/>
        <v>4184188.4887508908</v>
      </c>
      <c r="I56" s="292">
        <f t="shared" si="4"/>
        <v>138.74672745875336</v>
      </c>
      <c r="J56" s="154">
        <f>+'Central Budget'!N58+'Local Government'!J56</f>
        <v>3541751.9299999997</v>
      </c>
      <c r="K56" s="286">
        <f t="shared" si="1"/>
        <v>8.9569367507966208E-2</v>
      </c>
      <c r="L56" s="207">
        <f t="shared" si="5"/>
        <v>3658139.0300000003</v>
      </c>
      <c r="M56" s="292">
        <f t="shared" si="6"/>
        <v>103.28614488818815</v>
      </c>
      <c r="N56" s="147"/>
      <c r="O56" s="210"/>
      <c r="P56" s="81"/>
      <c r="Q56" s="81"/>
      <c r="R56" s="81"/>
      <c r="S56" s="81"/>
      <c r="CE56" s="161"/>
      <c r="CF56" s="161"/>
      <c r="CG56" s="145"/>
      <c r="CH56" s="145"/>
      <c r="CI56" s="145"/>
      <c r="CJ56" s="142"/>
    </row>
    <row r="57" spans="1:88" ht="13.5" customHeight="1" thickBot="1">
      <c r="B57" s="80">
        <v>47</v>
      </c>
      <c r="C57" s="93" t="s">
        <v>117</v>
      </c>
      <c r="D57" s="154">
        <f>+'Central Budget'!D59+'Local Government'!D57</f>
        <v>21680036.399999999</v>
      </c>
      <c r="E57" s="286">
        <f t="shared" si="0"/>
        <v>0.51593337616905832</v>
      </c>
      <c r="F57" s="154">
        <f>+'Central Budget'!F59+'Local Government'!F57</f>
        <v>24682091.254990228</v>
      </c>
      <c r="G57" s="286">
        <f t="shared" si="2"/>
        <v>0.58737515182861488</v>
      </c>
      <c r="H57" s="207">
        <f t="shared" si="3"/>
        <v>-3002054.854990229</v>
      </c>
      <c r="I57" s="292">
        <f t="shared" si="4"/>
        <v>-12.162886944935323</v>
      </c>
      <c r="J57" s="154">
        <f>+'Central Budget'!N59+'Local Government'!J57</f>
        <v>20839243.77</v>
      </c>
      <c r="K57" s="286">
        <f t="shared" si="1"/>
        <v>0.52701542081837027</v>
      </c>
      <c r="L57" s="207">
        <f t="shared" si="5"/>
        <v>840792.62999999896</v>
      </c>
      <c r="M57" s="292">
        <f t="shared" si="6"/>
        <v>4.0346599870883892</v>
      </c>
      <c r="N57" s="147"/>
      <c r="O57" s="210"/>
      <c r="P57" s="81"/>
      <c r="Q57" s="81"/>
      <c r="R57" s="81"/>
      <c r="S57" s="81"/>
      <c r="CE57" s="161"/>
      <c r="CF57" s="161"/>
      <c r="CG57" s="145"/>
      <c r="CH57" s="145"/>
      <c r="CI57" s="145"/>
      <c r="CJ57" s="142"/>
    </row>
    <row r="58" spans="1:88" ht="13.5" customHeight="1" thickTop="1" thickBot="1">
      <c r="B58" s="80">
        <v>462</v>
      </c>
      <c r="C58" s="148" t="s">
        <v>112</v>
      </c>
      <c r="D58" s="163">
        <f>'Central Budget'!D60+'Local Government'!D58</f>
        <v>0</v>
      </c>
      <c r="E58" s="287">
        <f t="shared" si="0"/>
        <v>0</v>
      </c>
      <c r="F58" s="163">
        <f>+'Central Budget'!F60+'Local Government'!F58</f>
        <v>40000000</v>
      </c>
      <c r="G58" s="287">
        <f t="shared" si="2"/>
        <v>0.95190499988101196</v>
      </c>
      <c r="H58" s="209">
        <f t="shared" si="3"/>
        <v>-40000000</v>
      </c>
      <c r="I58" s="264">
        <f t="shared" si="4"/>
        <v>-100</v>
      </c>
      <c r="J58" s="163">
        <f>'Central Budget'!N60+'Local Government'!J58</f>
        <v>0</v>
      </c>
      <c r="K58" s="287">
        <f t="shared" si="1"/>
        <v>0</v>
      </c>
      <c r="L58" s="209">
        <f t="shared" si="5"/>
        <v>0</v>
      </c>
      <c r="M58" s="293" t="e">
        <f t="shared" si="6"/>
        <v>#DIV/0!</v>
      </c>
      <c r="N58" s="147"/>
      <c r="O58" s="210"/>
      <c r="P58" s="81"/>
      <c r="Q58" s="81"/>
      <c r="R58" s="81"/>
      <c r="S58" s="81"/>
      <c r="CE58" s="161"/>
      <c r="CF58" s="161"/>
      <c r="CG58" s="145"/>
      <c r="CH58" s="145"/>
      <c r="CI58" s="145"/>
      <c r="CJ58" s="142"/>
    </row>
    <row r="59" spans="1:88" ht="13.5" customHeight="1" thickTop="1" thickBot="1">
      <c r="B59" s="308" t="s">
        <v>451</v>
      </c>
      <c r="C59" s="215" t="s">
        <v>115</v>
      </c>
      <c r="D59" s="331">
        <f>+'Central Budget'!D61+'Local Government'!D59</f>
        <v>71895733.290000007</v>
      </c>
      <c r="E59" s="288">
        <f>D59/D$11*100</f>
        <v>1.710947699721568</v>
      </c>
      <c r="F59" s="216">
        <f>+'Central Budget'!F61+'Local Government'!F59</f>
        <v>0</v>
      </c>
      <c r="G59" s="288">
        <f>F59/D$11*100</f>
        <v>0</v>
      </c>
      <c r="H59" s="217">
        <f>+D59-F59</f>
        <v>71895733.290000007</v>
      </c>
      <c r="I59" s="264" t="e">
        <f t="shared" si="4"/>
        <v>#DIV/0!</v>
      </c>
      <c r="J59" s="216">
        <f>+'Central Budget'!N61+'Local Government'!J59</f>
        <v>108632309.99000001</v>
      </c>
      <c r="K59" s="288">
        <f>J59/J$11*100</f>
        <v>2.7472639216529262</v>
      </c>
      <c r="L59" s="217">
        <f>+D59-J59</f>
        <v>-36736576.700000003</v>
      </c>
      <c r="M59" s="294">
        <f>+D59/J59*100-100</f>
        <v>-33.817357564597245</v>
      </c>
      <c r="N59" s="81">
        <f>+'Central Budget'!J61+'Local Government'!F59</f>
        <v>0</v>
      </c>
      <c r="O59" s="213">
        <f>N59-F59</f>
        <v>0</v>
      </c>
      <c r="R59" s="81"/>
      <c r="S59" s="81"/>
      <c r="CE59" s="161"/>
      <c r="CF59" s="161"/>
      <c r="CG59" s="145"/>
      <c r="CH59" s="145"/>
      <c r="CI59" s="145"/>
      <c r="CJ59" s="142"/>
    </row>
    <row r="60" spans="1:88" ht="13.5" customHeight="1" thickTop="1" thickBot="1">
      <c r="B60" s="80">
        <v>990</v>
      </c>
      <c r="C60" s="147" t="s">
        <v>151</v>
      </c>
      <c r="D60" s="154">
        <f>'Central Budget'!D62+'Local Government'!D60</f>
        <v>0</v>
      </c>
      <c r="E60" s="286">
        <f t="shared" si="0"/>
        <v>0</v>
      </c>
      <c r="F60" s="154">
        <f>+'Central Budget'!F62+'Local Government'!F60</f>
        <v>0</v>
      </c>
      <c r="G60" s="286">
        <f t="shared" si="2"/>
        <v>0</v>
      </c>
      <c r="H60" s="207">
        <f t="shared" si="3"/>
        <v>0</v>
      </c>
      <c r="I60" s="264" t="e">
        <f t="shared" si="4"/>
        <v>#DIV/0!</v>
      </c>
      <c r="J60" s="154">
        <f>+'Central Budget'!N62+'Local Government'!J60</f>
        <v>-30120611.559999999</v>
      </c>
      <c r="K60" s="286">
        <f t="shared" si="1"/>
        <v>-0.76173717970765253</v>
      </c>
      <c r="L60" s="207">
        <f t="shared" si="5"/>
        <v>30120611.559999999</v>
      </c>
      <c r="M60" s="292">
        <f t="shared" si="6"/>
        <v>-100</v>
      </c>
      <c r="N60" s="147"/>
      <c r="O60" s="213"/>
      <c r="P60" s="81"/>
      <c r="Q60" s="81"/>
      <c r="R60" s="81"/>
      <c r="S60" s="81"/>
      <c r="CE60" s="161"/>
      <c r="CF60" s="161"/>
      <c r="CG60" s="145"/>
      <c r="CH60" s="145"/>
      <c r="CI60" s="145"/>
      <c r="CJ60" s="142"/>
    </row>
    <row r="61" spans="1:88" ht="13.5" customHeight="1" thickTop="1" thickBot="1">
      <c r="C61" s="178" t="s">
        <v>131</v>
      </c>
      <c r="D61" s="173">
        <f>+D16-D36</f>
        <v>-227834139.79999971</v>
      </c>
      <c r="E61" s="283">
        <f t="shared" si="0"/>
        <v>-5.421911420480229</v>
      </c>
      <c r="F61" s="173">
        <f>+F16-F36</f>
        <v>-176426139.98592329</v>
      </c>
      <c r="G61" s="283">
        <f t="shared" si="2"/>
        <v>-4.1985231190576924</v>
      </c>
      <c r="H61" s="173">
        <f>+D61-F61</f>
        <v>-51407999.814076424</v>
      </c>
      <c r="I61" s="283">
        <f t="shared" si="4"/>
        <v>29.138539117943736</v>
      </c>
      <c r="J61" s="173">
        <f>+J16-J36</f>
        <v>-142206735.08999968</v>
      </c>
      <c r="K61" s="283">
        <f>J61/J$11*100</f>
        <v>-3.5963465451924455</v>
      </c>
      <c r="L61" s="173">
        <f t="shared" si="5"/>
        <v>-85627404.710000038</v>
      </c>
      <c r="M61" s="283">
        <f t="shared" si="6"/>
        <v>60.213325800503213</v>
      </c>
      <c r="N61" s="147">
        <f>'Central Budget'!D63+'Local Government'!D61</f>
        <v>-227834139.79999983</v>
      </c>
      <c r="O61" s="213">
        <f>N61-D61</f>
        <v>0</v>
      </c>
      <c r="P61" s="210"/>
      <c r="Q61" s="213"/>
      <c r="R61" s="81"/>
      <c r="S61" s="81"/>
      <c r="CE61" s="161"/>
      <c r="CF61" s="161"/>
      <c r="CG61" s="145"/>
      <c r="CH61" s="145"/>
      <c r="CI61" s="145"/>
      <c r="CJ61" s="142"/>
    </row>
    <row r="62" spans="1:88" ht="13.5" customHeight="1" thickTop="1" thickBot="1">
      <c r="C62" s="326" t="s">
        <v>474</v>
      </c>
      <c r="D62" s="173"/>
      <c r="E62" s="283"/>
      <c r="F62" s="173"/>
      <c r="G62" s="283"/>
      <c r="H62" s="173"/>
      <c r="I62" s="283"/>
      <c r="J62" s="173">
        <f>J61-J60</f>
        <v>-112086123.52999967</v>
      </c>
      <c r="K62" s="283">
        <f>J62/J$11*100</f>
        <v>-2.834609365484793</v>
      </c>
      <c r="L62" s="173"/>
      <c r="M62" s="283"/>
      <c r="N62" s="147"/>
      <c r="O62" s="213"/>
      <c r="P62" s="210"/>
      <c r="Q62" s="213"/>
      <c r="R62" s="81"/>
      <c r="S62" s="81"/>
      <c r="CE62" s="161"/>
      <c r="CF62" s="161"/>
      <c r="CG62" s="145"/>
      <c r="CH62" s="145"/>
      <c r="CI62" s="145"/>
      <c r="CJ62" s="142"/>
    </row>
    <row r="63" spans="1:88" ht="13.5" customHeight="1" thickTop="1" thickBot="1">
      <c r="C63" s="178" t="s">
        <v>132</v>
      </c>
      <c r="D63" s="173">
        <f>+D61+D43</f>
        <v>-125320086.9499997</v>
      </c>
      <c r="E63" s="283">
        <f t="shared" si="0"/>
        <v>-2.9823204338306968</v>
      </c>
      <c r="F63" s="173">
        <f>+F61-F43</f>
        <v>-277789765.89592326</v>
      </c>
      <c r="G63" s="283">
        <f t="shared" si="2"/>
        <v>-6.6107366768026283</v>
      </c>
      <c r="H63" s="173">
        <f t="shared" si="3"/>
        <v>152469678.94592357</v>
      </c>
      <c r="I63" s="283">
        <f t="shared" si="4"/>
        <v>-54.886715662177366</v>
      </c>
      <c r="J63" s="173">
        <f>+J62+J43</f>
        <v>-26410115.799999669</v>
      </c>
      <c r="K63" s="283">
        <f t="shared" si="1"/>
        <v>-0.66790035405390902</v>
      </c>
      <c r="L63" s="173">
        <f t="shared" si="5"/>
        <v>-98909971.150000036</v>
      </c>
      <c r="M63" s="283">
        <f t="shared" si="6"/>
        <v>374.51547694463824</v>
      </c>
      <c r="N63" s="147">
        <f>'Central Budget'!D65+'Local Government'!D63</f>
        <v>-125320086.94999982</v>
      </c>
      <c r="O63" s="213">
        <f t="shared" ref="O63:O73" si="9">N63-D63</f>
        <v>-1.1920928955078125E-7</v>
      </c>
      <c r="P63" s="81"/>
      <c r="Q63" s="81"/>
      <c r="R63" s="81"/>
      <c r="S63" s="81"/>
      <c r="CE63" s="161"/>
      <c r="CF63" s="161"/>
      <c r="CG63" s="145"/>
      <c r="CH63" s="145"/>
      <c r="CI63" s="145"/>
      <c r="CJ63" s="142"/>
    </row>
    <row r="64" spans="1:88" ht="13.5" customHeight="1" thickTop="1" thickBot="1">
      <c r="C64" s="178" t="s">
        <v>0</v>
      </c>
      <c r="D64" s="173">
        <f>+SUM(D65:D66)</f>
        <v>371789848.07000005</v>
      </c>
      <c r="E64" s="283">
        <f t="shared" si="0"/>
        <v>8.8477153820708718</v>
      </c>
      <c r="F64" s="173">
        <f>+SUM(F65:F67)</f>
        <v>253415503.14999998</v>
      </c>
      <c r="G64" s="283">
        <f t="shared" si="2"/>
        <v>6.0306871123961825</v>
      </c>
      <c r="H64" s="173">
        <f t="shared" si="3"/>
        <v>118374344.92000008</v>
      </c>
      <c r="I64" s="283">
        <f t="shared" si="4"/>
        <v>46.711563992173268</v>
      </c>
      <c r="J64" s="173">
        <f>+SUM(J65:J66)</f>
        <v>550413782.92999983</v>
      </c>
      <c r="K64" s="283">
        <f t="shared" si="1"/>
        <v>13.919725429416818</v>
      </c>
      <c r="L64" s="173">
        <f t="shared" si="5"/>
        <v>-178623934.85999978</v>
      </c>
      <c r="M64" s="283">
        <f t="shared" si="6"/>
        <v>-32.452663868469429</v>
      </c>
      <c r="N64" s="147">
        <f>'Central Budget'!D66+'Local Government'!D64</f>
        <v>371789848.07000005</v>
      </c>
      <c r="O64" s="213">
        <f t="shared" si="9"/>
        <v>0</v>
      </c>
      <c r="P64" s="81"/>
      <c r="Q64" s="81"/>
      <c r="R64" s="81"/>
      <c r="S64" s="81"/>
      <c r="CE64" s="161"/>
      <c r="CF64" s="161"/>
      <c r="CG64" s="145"/>
      <c r="CH64" s="145"/>
      <c r="CI64" s="145"/>
      <c r="CJ64" s="142"/>
    </row>
    <row r="65" spans="2:88" ht="13.5" customHeight="1" thickTop="1">
      <c r="B65" s="80">
        <v>4611</v>
      </c>
      <c r="C65" s="97" t="s">
        <v>134</v>
      </c>
      <c r="D65" s="156">
        <f>+'Central Budget'!D67+'Local Government'!D65</f>
        <v>236287768.77000001</v>
      </c>
      <c r="E65" s="285">
        <f t="shared" si="0"/>
        <v>5.6230877125722856</v>
      </c>
      <c r="F65" s="156">
        <f>+'Central Budget'!F67+'Local Government'!F65</f>
        <v>81911842.150000006</v>
      </c>
      <c r="G65" s="285">
        <f t="shared" si="2"/>
        <v>1.9493073023012304</v>
      </c>
      <c r="H65" s="208">
        <f t="shared" si="3"/>
        <v>154375926.62</v>
      </c>
      <c r="I65" s="291">
        <f t="shared" si="4"/>
        <v>188.46594407839234</v>
      </c>
      <c r="J65" s="156">
        <f>+'Central Budget'!N67+'Local Government'!J65</f>
        <v>240524484.88999999</v>
      </c>
      <c r="K65" s="285">
        <f t="shared" si="1"/>
        <v>6.0827597210560924</v>
      </c>
      <c r="L65" s="208">
        <f t="shared" si="5"/>
        <v>-4236716.119999975</v>
      </c>
      <c r="M65" s="291">
        <f t="shared" si="6"/>
        <v>-1.761448994241718</v>
      </c>
      <c r="N65" s="147">
        <f>'Central Budget'!D67+'Local Government'!D65</f>
        <v>236287768.77000001</v>
      </c>
      <c r="O65" s="213">
        <f t="shared" si="9"/>
        <v>0</v>
      </c>
      <c r="P65" s="81"/>
      <c r="Q65" s="81"/>
      <c r="R65" s="81"/>
      <c r="S65" s="81"/>
      <c r="CE65" s="161"/>
      <c r="CF65" s="161"/>
      <c r="CG65" s="145"/>
      <c r="CH65" s="145"/>
      <c r="CI65" s="145"/>
      <c r="CJ65" s="142"/>
    </row>
    <row r="66" spans="2:88" ht="13.5" customHeight="1">
      <c r="B66" s="80">
        <v>4612</v>
      </c>
      <c r="C66" s="97" t="s">
        <v>136</v>
      </c>
      <c r="D66" s="156">
        <f>+'Central Budget'!D68+'Local Government'!D66</f>
        <v>135502079.30000004</v>
      </c>
      <c r="E66" s="285">
        <f t="shared" si="0"/>
        <v>3.2246276694985849</v>
      </c>
      <c r="F66" s="156">
        <f>+'Central Budget'!F68+'Local Government'!F66</f>
        <v>137787162.19999999</v>
      </c>
      <c r="G66" s="285">
        <f t="shared" si="2"/>
        <v>3.2790072154398988</v>
      </c>
      <c r="H66" s="208">
        <f t="shared" si="3"/>
        <v>-2285082.8999999464</v>
      </c>
      <c r="I66" s="291">
        <f t="shared" si="4"/>
        <v>-1.6584149521006282</v>
      </c>
      <c r="J66" s="156">
        <f>+'Central Budget'!N68+'Local Government'!J66</f>
        <v>309889298.0399999</v>
      </c>
      <c r="K66" s="285">
        <f t="shared" si="1"/>
        <v>7.8369657083607285</v>
      </c>
      <c r="L66" s="208">
        <f t="shared" si="5"/>
        <v>-174387218.73999986</v>
      </c>
      <c r="M66" s="291">
        <f t="shared" si="6"/>
        <v>-56.27403716197076</v>
      </c>
      <c r="N66" s="147">
        <f>'Central Budget'!D68+'Local Government'!D66</f>
        <v>135502079.30000004</v>
      </c>
      <c r="O66" s="213">
        <f t="shared" si="9"/>
        <v>0</v>
      </c>
      <c r="P66" s="81"/>
      <c r="Q66" s="81"/>
      <c r="R66" s="304"/>
      <c r="S66" s="81"/>
      <c r="CE66" s="161"/>
      <c r="CF66" s="161"/>
      <c r="CG66" s="145"/>
      <c r="CH66" s="145"/>
      <c r="CI66" s="145"/>
      <c r="CJ66" s="142"/>
    </row>
    <row r="67" spans="2:88" ht="13.5" customHeight="1" thickBot="1">
      <c r="B67" s="80" t="s">
        <v>452</v>
      </c>
      <c r="C67" s="97" t="s">
        <v>115</v>
      </c>
      <c r="D67" s="156">
        <f>+'Central Budget'!D69+'Local Government'!D67</f>
        <v>0</v>
      </c>
      <c r="E67" s="285">
        <f t="shared" si="0"/>
        <v>0</v>
      </c>
      <c r="F67" s="156">
        <f>+'Central Budget'!F69+'Local Government'!F67</f>
        <v>33716498.799999997</v>
      </c>
      <c r="G67" s="285">
        <f t="shared" si="2"/>
        <v>0.80237259465505328</v>
      </c>
      <c r="H67" s="208">
        <f t="shared" si="3"/>
        <v>-33716498.799999997</v>
      </c>
      <c r="I67" s="291">
        <f t="shared" si="4"/>
        <v>-100</v>
      </c>
      <c r="J67" s="156">
        <f>+IF(ISNUMBER(VLOOKUP($B67,'Central Budget'!$B$16:$O$78,'Public Expenditure'!J$1,FALSE)),VLOOKUP($B67,'Central Budget'!$B$16:$O$78,'Public Expenditure'!J$1,FALSE),0)+IF(ISNUMBER(VLOOKUP('Public Expenditure'!$B67,'Local Government'!$B$16:$M$74,'Public Expenditure'!J$1,FALSE)),VLOOKUP('Public Expenditure'!$B67,'Local Government'!$B$16:$M$74,'Public Expenditure'!J$1,FALSE),0)</f>
        <v>73086280.140000001</v>
      </c>
      <c r="K67" s="285">
        <f t="shared" si="1"/>
        <v>1.8483202705983512</v>
      </c>
      <c r="L67" s="208">
        <f t="shared" si="5"/>
        <v>-73086280.140000001</v>
      </c>
      <c r="M67" s="291">
        <f t="shared" si="6"/>
        <v>-100</v>
      </c>
      <c r="N67" s="147">
        <f>'Central Budget'!D69+'Local Government'!D67</f>
        <v>0</v>
      </c>
      <c r="O67" s="213">
        <f t="shared" si="9"/>
        <v>0</v>
      </c>
      <c r="P67" s="81"/>
      <c r="Q67" s="81"/>
      <c r="R67" s="81"/>
      <c r="S67" s="81"/>
      <c r="CE67" s="161"/>
      <c r="CF67" s="161"/>
      <c r="CG67" s="145"/>
      <c r="CH67" s="145"/>
      <c r="CI67" s="145"/>
      <c r="CJ67" s="142"/>
    </row>
    <row r="68" spans="2:88" ht="13.5" customHeight="1" thickTop="1" thickBot="1">
      <c r="C68" s="178" t="s">
        <v>140</v>
      </c>
      <c r="D68" s="173">
        <f>+D61-D64</f>
        <v>-599623987.86999977</v>
      </c>
      <c r="E68" s="283">
        <f t="shared" si="0"/>
        <v>-14.2696268025511</v>
      </c>
      <c r="F68" s="173">
        <f>+F61-F64</f>
        <v>-429841643.13592327</v>
      </c>
      <c r="G68" s="283">
        <f t="shared" si="2"/>
        <v>-10.229210231453875</v>
      </c>
      <c r="H68" s="173">
        <f t="shared" si="3"/>
        <v>-169782344.7340765</v>
      </c>
      <c r="I68" s="283">
        <f t="shared" si="4"/>
        <v>39.498812515098365</v>
      </c>
      <c r="J68" s="173">
        <f>+J62-J64</f>
        <v>-662499906.45999956</v>
      </c>
      <c r="K68" s="283">
        <f t="shared" si="1"/>
        <v>-16.754334794901613</v>
      </c>
      <c r="L68" s="173">
        <f t="shared" si="5"/>
        <v>62875918.589999795</v>
      </c>
      <c r="M68" s="283">
        <f t="shared" si="6"/>
        <v>-9.4907060328462336</v>
      </c>
      <c r="N68" s="147">
        <f>'Central Budget'!D70+'Local Government'!D68</f>
        <v>-599623987.86999989</v>
      </c>
      <c r="O68" s="213">
        <f t="shared" si="9"/>
        <v>0</v>
      </c>
      <c r="P68" s="81"/>
      <c r="Q68" s="213"/>
      <c r="R68" s="213"/>
      <c r="S68" s="81"/>
      <c r="CE68" s="161"/>
      <c r="CF68" s="161"/>
      <c r="CG68" s="145"/>
      <c r="CH68" s="145"/>
      <c r="CI68" s="145"/>
      <c r="CJ68" s="142"/>
    </row>
    <row r="69" spans="2:88" ht="13.5" customHeight="1" thickTop="1" thickBot="1">
      <c r="C69" s="178" t="s">
        <v>120</v>
      </c>
      <c r="D69" s="173">
        <f>+SUM(D70:D71)-D72+D73+D74</f>
        <v>599623987.86999989</v>
      </c>
      <c r="E69" s="283">
        <f t="shared" si="0"/>
        <v>14.269626802551102</v>
      </c>
      <c r="F69" s="173">
        <f>+SUM(F70:F74)</f>
        <v>429841643.13592339</v>
      </c>
      <c r="G69" s="283">
        <f t="shared" si="2"/>
        <v>10.229210231453878</v>
      </c>
      <c r="H69" s="173">
        <f t="shared" si="3"/>
        <v>169782344.7340765</v>
      </c>
      <c r="I69" s="283">
        <f t="shared" si="4"/>
        <v>39.498812515098336</v>
      </c>
      <c r="J69" s="173">
        <f>+SUM(J70:J74)+J60</f>
        <v>662499906.45999956</v>
      </c>
      <c r="K69" s="283">
        <f t="shared" si="1"/>
        <v>16.754334794901613</v>
      </c>
      <c r="L69" s="173">
        <f t="shared" si="5"/>
        <v>-62875918.589999676</v>
      </c>
      <c r="M69" s="283">
        <f t="shared" si="6"/>
        <v>-9.4907060328462052</v>
      </c>
      <c r="N69" s="147">
        <f>'Central Budget'!D71+'Local Government'!D69</f>
        <v>599623987.86999989</v>
      </c>
      <c r="O69" s="306">
        <f t="shared" si="9"/>
        <v>0</v>
      </c>
      <c r="P69" s="81"/>
      <c r="Q69" s="213"/>
      <c r="R69" s="213"/>
      <c r="S69" s="81"/>
      <c r="CE69" s="161"/>
      <c r="CF69" s="161"/>
      <c r="CG69" s="145"/>
      <c r="CH69" s="145"/>
      <c r="CI69" s="145"/>
      <c r="CJ69" s="142"/>
    </row>
    <row r="70" spans="2:88" ht="13.5" customHeight="1" thickTop="1">
      <c r="B70" s="80">
        <v>7511</v>
      </c>
      <c r="C70" s="97" t="s">
        <v>143</v>
      </c>
      <c r="D70" s="156">
        <f>+'Central Budget'!D72+'Local Government'!D70</f>
        <v>264385187.05000001</v>
      </c>
      <c r="E70" s="285">
        <f t="shared" si="0"/>
        <v>6.2917395361842887</v>
      </c>
      <c r="F70" s="156">
        <f>+'Central Budget'!F72+'Local Government'!F70</f>
        <v>110000000</v>
      </c>
      <c r="G70" s="285">
        <f t="shared" si="2"/>
        <v>2.6177387496727826</v>
      </c>
      <c r="H70" s="208">
        <f t="shared" si="3"/>
        <v>154385187.05000001</v>
      </c>
      <c r="I70" s="291">
        <f t="shared" si="4"/>
        <v>140.35017004545455</v>
      </c>
      <c r="J70" s="156">
        <f>+'Central Budget'!N72+'Local Government'!J70</f>
        <v>329212313.42000002</v>
      </c>
      <c r="K70" s="285">
        <f t="shared" si="1"/>
        <v>8.3256363719589306</v>
      </c>
      <c r="L70" s="208">
        <f t="shared" si="5"/>
        <v>-64827126.370000005</v>
      </c>
      <c r="M70" s="291">
        <f t="shared" si="6"/>
        <v>-19.691586167159954</v>
      </c>
      <c r="N70" s="147">
        <f>'Central Budget'!D72+'Local Government'!D70</f>
        <v>264385187.05000001</v>
      </c>
      <c r="O70" s="213">
        <f t="shared" si="9"/>
        <v>0</v>
      </c>
      <c r="P70" s="81"/>
      <c r="Q70" s="213"/>
      <c r="R70" s="213"/>
      <c r="S70" s="81"/>
      <c r="CE70" s="161"/>
      <c r="CF70" s="161"/>
      <c r="CG70" s="145"/>
      <c r="CH70" s="145"/>
      <c r="CI70" s="145"/>
      <c r="CJ70" s="142"/>
    </row>
    <row r="71" spans="2:88" ht="13.5" customHeight="1">
      <c r="B71" s="80">
        <v>7512</v>
      </c>
      <c r="C71" s="97" t="s">
        <v>121</v>
      </c>
      <c r="D71" s="156">
        <f>+'Central Budget'!D73+'Local Government'!D71</f>
        <v>353339674.82999998</v>
      </c>
      <c r="E71" s="285">
        <f t="shared" si="0"/>
        <v>8.4086450781751978</v>
      </c>
      <c r="F71" s="156">
        <f>+'Central Budget'!F73+'Local Government'!F71</f>
        <v>301414222.00420702</v>
      </c>
      <c r="G71" s="285">
        <f t="shared" si="2"/>
        <v>7.1729426240262493</v>
      </c>
      <c r="H71" s="208">
        <f t="shared" si="3"/>
        <v>51925452.825792968</v>
      </c>
      <c r="I71" s="291">
        <f t="shared" si="4"/>
        <v>17.227273643732772</v>
      </c>
      <c r="J71" s="156">
        <f>+'Central Budget'!N73+'Local Government'!J71</f>
        <v>331976296.05999994</v>
      </c>
      <c r="K71" s="285">
        <f t="shared" si="1"/>
        <v>8.3955362920439001</v>
      </c>
      <c r="L71" s="208">
        <f t="shared" si="5"/>
        <v>21363378.770000041</v>
      </c>
      <c r="M71" s="291">
        <f t="shared" si="6"/>
        <v>6.4352120990406263</v>
      </c>
      <c r="N71" s="147">
        <f>'Central Budget'!D73+'Local Government'!D71</f>
        <v>353339674.82999998</v>
      </c>
      <c r="O71" s="213">
        <f t="shared" si="9"/>
        <v>0</v>
      </c>
      <c r="P71" s="81"/>
      <c r="Q71" s="213"/>
      <c r="R71" s="213"/>
      <c r="S71" s="81"/>
      <c r="CE71" s="161"/>
      <c r="CF71" s="161"/>
      <c r="CG71" s="145"/>
      <c r="CH71" s="145"/>
      <c r="CI71" s="145"/>
      <c r="CJ71" s="142"/>
    </row>
    <row r="72" spans="2:88" ht="13.5" customHeight="1">
      <c r="C72" s="97" t="s">
        <v>472</v>
      </c>
      <c r="D72" s="156">
        <f>'Local Government'!D74</f>
        <v>3634108.3600000003</v>
      </c>
      <c r="E72" s="285">
        <v>1.623478895327202E-2</v>
      </c>
      <c r="F72" s="156">
        <f>+'Local Government'!F74</f>
        <v>3000000</v>
      </c>
      <c r="G72" s="285">
        <v>1.2093987560469938E-2</v>
      </c>
      <c r="H72" s="208">
        <v>155785.22999999998</v>
      </c>
      <c r="I72" s="291">
        <v>34.238512087912085</v>
      </c>
      <c r="J72" s="156">
        <f>'Local Government'!J74</f>
        <v>1747766.81</v>
      </c>
      <c r="K72" s="285">
        <v>1.1222136551724139E-2</v>
      </c>
      <c r="L72" s="208">
        <v>203982.77999999997</v>
      </c>
      <c r="M72" s="291">
        <v>50.142957595265216</v>
      </c>
      <c r="N72" s="147"/>
      <c r="O72" s="213"/>
      <c r="P72" s="81"/>
      <c r="Q72" s="213"/>
      <c r="R72" s="213"/>
      <c r="S72" s="81"/>
      <c r="CE72" s="161"/>
      <c r="CF72" s="161"/>
      <c r="CG72" s="145"/>
      <c r="CH72" s="145"/>
      <c r="CI72" s="145"/>
      <c r="CJ72" s="142"/>
    </row>
    <row r="73" spans="2:88" ht="13.5" customHeight="1" thickBot="1">
      <c r="B73" s="80">
        <v>72</v>
      </c>
      <c r="C73" s="103" t="s">
        <v>328</v>
      </c>
      <c r="D73" s="156">
        <f>+'Central Budget'!D74+'Local Government'!D72</f>
        <v>9272797.5899999999</v>
      </c>
      <c r="E73" s="289">
        <f t="shared" si="0"/>
        <v>0.22067055972013994</v>
      </c>
      <c r="F73" s="156">
        <f>+'Central Budget'!F74+'Local Government'!F72</f>
        <v>5000000</v>
      </c>
      <c r="G73" s="289">
        <f t="shared" si="2"/>
        <v>0.11898812498512649</v>
      </c>
      <c r="H73" s="208">
        <f t="shared" si="3"/>
        <v>4272797.59</v>
      </c>
      <c r="I73" s="291">
        <f t="shared" si="4"/>
        <v>85.455951800000008</v>
      </c>
      <c r="J73" s="156">
        <f>+'Central Budget'!N74+'Local Government'!J72</f>
        <v>11131842.209999999</v>
      </c>
      <c r="K73" s="289">
        <f t="shared" si="1"/>
        <v>0.28151945298669767</v>
      </c>
      <c r="L73" s="208">
        <f t="shared" si="5"/>
        <v>-1859044.6199999992</v>
      </c>
      <c r="M73" s="291">
        <f t="shared" si="6"/>
        <v>-16.700242286312459</v>
      </c>
      <c r="N73" s="147">
        <f>'Central Budget'!D74+'Local Government'!D72</f>
        <v>9272797.5899999999</v>
      </c>
      <c r="O73" s="213">
        <f t="shared" si="9"/>
        <v>0</v>
      </c>
      <c r="P73" s="81"/>
      <c r="Q73" s="213"/>
      <c r="R73" s="213"/>
      <c r="S73" s="81"/>
      <c r="CE73" s="161"/>
      <c r="CF73" s="161"/>
      <c r="CG73" s="145"/>
      <c r="CH73" s="145"/>
      <c r="CI73" s="145"/>
      <c r="CJ73" s="142"/>
    </row>
    <row r="74" spans="2:88" ht="13.5" customHeight="1" thickTop="1" thickBot="1">
      <c r="C74" s="148" t="s">
        <v>124</v>
      </c>
      <c r="D74" s="149">
        <f>+'Central Budget'!D75+'Local Government'!D73</f>
        <v>-23739563.240000155</v>
      </c>
      <c r="E74" s="287">
        <f t="shared" si="0"/>
        <v>-0.56494522357869059</v>
      </c>
      <c r="F74" s="149">
        <f>+'Central Budget'!F75+'Local Government'!F73</f>
        <v>10427421.131716371</v>
      </c>
      <c r="G74" s="287">
        <f t="shared" si="2"/>
        <v>0.24814785777864329</v>
      </c>
      <c r="H74" s="206">
        <f t="shared" si="3"/>
        <v>-34166984.371716529</v>
      </c>
      <c r="I74" s="293">
        <f t="shared" si="4"/>
        <v>-327.66475948490427</v>
      </c>
      <c r="J74" s="149">
        <f>-J68-SUM(J70:J73)-J60</f>
        <v>18552299.51999956</v>
      </c>
      <c r="K74" s="287">
        <f t="shared" si="1"/>
        <v>0.46917959435535783</v>
      </c>
      <c r="L74" s="206">
        <f t="shared" si="5"/>
        <v>-42291862.759999715</v>
      </c>
      <c r="M74" s="293">
        <f t="shared" si="6"/>
        <v>-227.96021977981044</v>
      </c>
      <c r="N74" s="147">
        <f>'Central Budget'!D75+'Local Government'!D73</f>
        <v>-23739563.240000155</v>
      </c>
      <c r="O74" s="306">
        <f>N74-D74</f>
        <v>0</v>
      </c>
      <c r="P74" s="81"/>
      <c r="Q74" s="213"/>
      <c r="R74" s="81"/>
      <c r="S74" s="81"/>
      <c r="CE74" s="161"/>
      <c r="CF74" s="161"/>
      <c r="CG74" s="145"/>
      <c r="CH74" s="145"/>
      <c r="CI74" s="145"/>
      <c r="CJ74" s="142"/>
    </row>
    <row r="75" spans="2:88" ht="13.5" thickTop="1">
      <c r="C75" s="106" t="str">
        <f>IF(MasterSheet!$A$1=1,MasterSheet!C151,MasterSheet!B151)</f>
        <v>Izvor: Ministarstvo finansija Crne Gore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 t="s">
        <v>427</v>
      </c>
      <c r="O75" s="81"/>
      <c r="P75" s="81"/>
      <c r="Q75" s="81"/>
      <c r="R75" s="81"/>
      <c r="S75" s="81"/>
    </row>
    <row r="77" spans="2:88">
      <c r="D77" s="218"/>
    </row>
    <row r="80" spans="2:88">
      <c r="D80" s="102"/>
      <c r="F80" s="102"/>
      <c r="J80" s="102"/>
    </row>
    <row r="81" spans="3:13">
      <c r="D81" s="102"/>
      <c r="E81" s="102"/>
      <c r="F81" s="102"/>
      <c r="G81" s="102"/>
      <c r="H81" s="102"/>
      <c r="I81" s="218"/>
      <c r="J81" s="102"/>
      <c r="K81" s="102"/>
      <c r="L81" s="102"/>
      <c r="M81" s="102"/>
    </row>
    <row r="82" spans="3:13">
      <c r="C82" s="305"/>
      <c r="D82" s="102"/>
      <c r="E82" s="102"/>
      <c r="F82" s="102"/>
      <c r="G82" s="102"/>
      <c r="H82" s="102"/>
      <c r="I82" s="218"/>
      <c r="J82" s="102"/>
      <c r="K82" s="102"/>
      <c r="L82" s="102"/>
      <c r="M82" s="102"/>
    </row>
    <row r="83" spans="3:13">
      <c r="D83" s="218"/>
      <c r="E83" s="218"/>
      <c r="F83" s="218"/>
      <c r="G83" s="218"/>
      <c r="H83" s="218"/>
      <c r="I83" s="218"/>
      <c r="J83" s="218"/>
      <c r="K83" s="218"/>
      <c r="L83" s="218"/>
      <c r="M83" s="218"/>
    </row>
    <row r="85" spans="3:13">
      <c r="J85" s="316"/>
    </row>
    <row r="86" spans="3:13">
      <c r="D86" s="102"/>
      <c r="E86" s="102"/>
      <c r="F86" s="102"/>
      <c r="G86" s="102"/>
      <c r="H86" s="102"/>
      <c r="I86" s="102"/>
      <c r="J86" s="102"/>
      <c r="K86" s="102"/>
      <c r="L86" s="102"/>
    </row>
    <row r="87" spans="3:13">
      <c r="D87" s="102"/>
      <c r="E87" s="102"/>
      <c r="F87" s="102"/>
      <c r="G87" s="102"/>
      <c r="H87" s="102"/>
      <c r="I87" s="102"/>
      <c r="J87" s="102"/>
      <c r="K87" s="102"/>
      <c r="L87" s="102"/>
    </row>
    <row r="88" spans="3:13">
      <c r="D88" s="300"/>
      <c r="E88" s="300"/>
      <c r="F88" s="300"/>
      <c r="G88" s="300"/>
      <c r="H88" s="300"/>
      <c r="I88" s="300"/>
      <c r="J88" s="300"/>
      <c r="K88" s="300"/>
      <c r="L88" s="300"/>
    </row>
    <row r="89" spans="3:13">
      <c r="D89" s="218"/>
    </row>
    <row r="91" spans="3:13">
      <c r="D91" s="102"/>
      <c r="E91" s="102"/>
      <c r="F91" s="102"/>
      <c r="G91" s="102"/>
      <c r="H91" s="102"/>
      <c r="I91" s="102"/>
      <c r="J91" s="102"/>
      <c r="K91" s="102"/>
      <c r="L91" s="102"/>
    </row>
    <row r="92" spans="3:13">
      <c r="D92" s="102"/>
      <c r="E92" s="102"/>
      <c r="F92" s="102"/>
      <c r="G92" s="102"/>
      <c r="H92" s="102"/>
      <c r="I92" s="102"/>
      <c r="J92" s="102"/>
      <c r="K92" s="102"/>
      <c r="L92" s="102"/>
    </row>
    <row r="93" spans="3:13">
      <c r="D93" s="102"/>
      <c r="E93" s="102"/>
      <c r="F93" s="102"/>
      <c r="G93" s="102"/>
      <c r="H93" s="102"/>
      <c r="I93" s="102"/>
      <c r="J93" s="102"/>
      <c r="K93" s="102"/>
      <c r="L93" s="102"/>
    </row>
  </sheetData>
  <sheetProtection formatCells="0" formatColumns="0" formatRows="0" sort="0" autoFilter="0"/>
  <mergeCells count="12">
    <mergeCell ref="H11:I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  <mergeCell ref="J11:K11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9" t="s">
        <v>436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72" t="s">
        <v>195</v>
      </c>
      <c r="C3" s="372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72" t="s">
        <v>243</v>
      </c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</row>
    <row r="40" spans="2:20" ht="12.75" customHeight="1">
      <c r="B40" s="371" t="s">
        <v>238</v>
      </c>
      <c r="C40" s="371"/>
      <c r="D40" s="376" t="s">
        <v>244</v>
      </c>
      <c r="E40" s="376"/>
      <c r="F40" s="371" t="s">
        <v>239</v>
      </c>
      <c r="G40" s="371"/>
      <c r="H40" s="371"/>
      <c r="I40" s="2" t="s">
        <v>240</v>
      </c>
      <c r="J40" s="371" t="s">
        <v>241</v>
      </c>
      <c r="K40" s="371"/>
      <c r="L40" s="371"/>
      <c r="M40" s="371" t="s">
        <v>242</v>
      </c>
      <c r="N40" s="371"/>
      <c r="O40" s="371"/>
      <c r="P40" s="371"/>
    </row>
    <row r="41" spans="2:20">
      <c r="B41" s="371"/>
      <c r="C41" s="371"/>
      <c r="D41" s="376"/>
      <c r="E41" s="376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74" t="s">
        <v>222</v>
      </c>
      <c r="C42" s="15" t="s">
        <v>223</v>
      </c>
      <c r="D42" s="377" t="s">
        <v>180</v>
      </c>
      <c r="E42" s="16" t="s">
        <v>181</v>
      </c>
      <c r="F42" s="377" t="s">
        <v>246</v>
      </c>
      <c r="G42" s="377"/>
      <c r="H42" s="377"/>
      <c r="I42" s="17" t="s">
        <v>247</v>
      </c>
      <c r="J42" s="378" t="s">
        <v>248</v>
      </c>
      <c r="K42" s="378"/>
      <c r="L42" s="378"/>
      <c r="M42" s="377" t="s">
        <v>249</v>
      </c>
      <c r="N42" s="377"/>
      <c r="O42" s="377"/>
      <c r="P42" s="377"/>
    </row>
    <row r="43" spans="2:20">
      <c r="B43" s="374"/>
      <c r="C43" s="18" t="s">
        <v>224</v>
      </c>
      <c r="D43" s="377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74"/>
      <c r="C44" s="15" t="s">
        <v>225</v>
      </c>
      <c r="D44" s="377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74"/>
      <c r="C45" s="15" t="s">
        <v>226</v>
      </c>
      <c r="D45" s="377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74"/>
      <c r="C46" s="15" t="s">
        <v>227</v>
      </c>
      <c r="D46" s="377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74"/>
      <c r="C47" s="15" t="s">
        <v>228</v>
      </c>
      <c r="D47" s="377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74"/>
      <c r="C48" s="15" t="s">
        <v>229</v>
      </c>
      <c r="D48" s="377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74"/>
      <c r="C49" s="19" t="s">
        <v>230</v>
      </c>
      <c r="D49" s="377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74"/>
      <c r="C50" s="15" t="s">
        <v>231</v>
      </c>
      <c r="D50" s="377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74"/>
      <c r="C51" s="15" t="s">
        <v>378</v>
      </c>
      <c r="D51" s="377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75" t="s">
        <v>232</v>
      </c>
      <c r="C52" s="20" t="s">
        <v>233</v>
      </c>
      <c r="D52" s="377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75"/>
      <c r="C53" s="20" t="s">
        <v>234</v>
      </c>
      <c r="D53" s="377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75"/>
      <c r="C54" s="20" t="s">
        <v>235</v>
      </c>
      <c r="D54" s="377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75"/>
      <c r="C55" s="20" t="s">
        <v>374</v>
      </c>
      <c r="D55" s="377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75"/>
      <c r="C56" s="20" t="s">
        <v>79</v>
      </c>
      <c r="D56" s="377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75"/>
      <c r="C57" s="20" t="s">
        <v>236</v>
      </c>
      <c r="D57" s="377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75"/>
      <c r="C58" s="20" t="s">
        <v>375</v>
      </c>
      <c r="D58" s="377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75"/>
      <c r="C59" s="20" t="s">
        <v>237</v>
      </c>
      <c r="D59" s="377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72" t="s">
        <v>251</v>
      </c>
      <c r="C62" s="372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469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72" t="s">
        <v>255</v>
      </c>
      <c r="C154" s="372"/>
      <c r="D154" s="372"/>
      <c r="E154" s="372"/>
      <c r="F154" s="372"/>
      <c r="G154" s="372"/>
      <c r="H154" s="372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470</v>
      </c>
      <c r="C198" s="11" t="s">
        <v>468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72" t="s">
        <v>278</v>
      </c>
      <c r="C253" s="372"/>
      <c r="D253" s="372"/>
      <c r="E253" s="372"/>
      <c r="F253" s="372"/>
      <c r="G253" s="372"/>
      <c r="H253" s="372"/>
      <c r="I253" s="372"/>
      <c r="J253" s="372"/>
      <c r="K253" s="372"/>
      <c r="L253" s="372"/>
      <c r="M253" s="372"/>
      <c r="N253" s="372"/>
      <c r="O253" s="372"/>
      <c r="P253" s="372"/>
      <c r="Q253" s="372"/>
      <c r="R253" s="372"/>
      <c r="S253" s="372"/>
      <c r="T253" s="372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469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72" t="s">
        <v>314</v>
      </c>
      <c r="C331" s="372"/>
      <c r="D331" s="372"/>
      <c r="E331" s="372"/>
      <c r="F331" s="372"/>
      <c r="G331" s="372"/>
      <c r="H331" s="372"/>
      <c r="I331" s="372"/>
      <c r="J331" s="372"/>
      <c r="K331" s="372"/>
      <c r="L331" s="372"/>
      <c r="M331" s="372"/>
      <c r="N331" s="372"/>
      <c r="O331" s="372"/>
      <c r="P331" s="372"/>
      <c r="Q331" s="372"/>
      <c r="R331" s="372"/>
      <c r="S331" s="372"/>
      <c r="T331" s="372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464</v>
      </c>
      <c r="C345" s="11" t="s">
        <v>465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468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72" t="s">
        <v>386</v>
      </c>
      <c r="C419" s="373"/>
      <c r="D419" s="373"/>
      <c r="E419" s="373"/>
      <c r="F419" s="373"/>
      <c r="G419" s="373"/>
      <c r="H419" s="373"/>
      <c r="I419" s="373"/>
      <c r="J419" s="373"/>
      <c r="K419" s="373"/>
      <c r="L419" s="373"/>
      <c r="M419" s="373"/>
      <c r="N419" s="373"/>
      <c r="O419" s="373"/>
      <c r="P419" s="373"/>
      <c r="Q419" s="373"/>
      <c r="R419" s="373"/>
      <c r="S419" s="373"/>
      <c r="T419" s="373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72" t="s">
        <v>329</v>
      </c>
      <c r="C427" s="372"/>
      <c r="D427" s="372"/>
      <c r="E427" s="372"/>
      <c r="F427" s="372"/>
      <c r="G427" s="372"/>
      <c r="H427" s="372"/>
      <c r="I427" s="372"/>
      <c r="J427" s="372"/>
      <c r="K427" s="372"/>
      <c r="L427" s="372"/>
      <c r="M427" s="372"/>
      <c r="N427" s="372"/>
      <c r="O427" s="372"/>
      <c r="P427" s="372"/>
      <c r="Q427" s="372"/>
      <c r="R427" s="372"/>
      <c r="S427" s="372"/>
      <c r="T427" s="372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72" t="s">
        <v>344</v>
      </c>
      <c r="C432" s="372"/>
      <c r="D432" s="372"/>
      <c r="E432" s="372"/>
      <c r="F432" s="372"/>
      <c r="G432" s="372"/>
      <c r="H432" s="372"/>
      <c r="I432" s="372"/>
      <c r="J432" s="372"/>
      <c r="K432" s="372"/>
      <c r="L432" s="372"/>
      <c r="M432" s="372"/>
      <c r="N432" s="372"/>
      <c r="O432" s="372"/>
      <c r="P432" s="372"/>
      <c r="Q432" s="372"/>
      <c r="R432" s="372"/>
      <c r="S432" s="372"/>
      <c r="T432" s="372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81" t="s">
        <v>292</v>
      </c>
      <c r="E4" s="181" t="s">
        <v>293</v>
      </c>
      <c r="F4" s="181" t="s">
        <v>294</v>
      </c>
      <c r="G4" s="181" t="s">
        <v>295</v>
      </c>
      <c r="H4" s="181" t="s">
        <v>296</v>
      </c>
      <c r="I4" s="181" t="s">
        <v>297</v>
      </c>
      <c r="J4" s="181" t="s">
        <v>298</v>
      </c>
      <c r="K4" s="181" t="s">
        <v>299</v>
      </c>
      <c r="L4" s="181" t="s">
        <v>300</v>
      </c>
      <c r="M4" s="181" t="s">
        <v>301</v>
      </c>
      <c r="N4" s="181" t="s">
        <v>302</v>
      </c>
      <c r="O4" s="181" t="s">
        <v>303</v>
      </c>
    </row>
    <row r="5" spans="3:16">
      <c r="C5" s="181" t="s">
        <v>437</v>
      </c>
      <c r="D5" s="182">
        <v>62425293.156965584</v>
      </c>
      <c r="E5" s="182">
        <v>79762187.59852089</v>
      </c>
      <c r="F5" s="182">
        <v>89318688.151918903</v>
      </c>
      <c r="G5" s="182">
        <v>106294081.27535464</v>
      </c>
      <c r="H5" s="182">
        <v>97189661.825924918</v>
      </c>
      <c r="I5" s="182">
        <v>105191801.34506513</v>
      </c>
      <c r="J5" s="182">
        <v>123272889.17858437</v>
      </c>
      <c r="K5" s="182">
        <v>125579133.65326507</v>
      </c>
      <c r="L5" s="182">
        <v>121047897.33843082</v>
      </c>
      <c r="M5" s="182">
        <v>114789505.85515907</v>
      </c>
      <c r="N5" s="182">
        <v>97406301.479715049</v>
      </c>
      <c r="O5" s="182">
        <v>145778958.57826602</v>
      </c>
      <c r="P5" s="182">
        <f>+SUM(D5:O5)</f>
        <v>1268056399.4371705</v>
      </c>
    </row>
    <row r="6" spans="3:16">
      <c r="C6" s="181" t="s">
        <v>438</v>
      </c>
      <c r="D6" s="182">
        <v>70632268.589999989</v>
      </c>
      <c r="E6" s="182">
        <v>81381758.450000018</v>
      </c>
      <c r="F6" s="182">
        <v>100495765.61000001</v>
      </c>
      <c r="G6" s="182">
        <v>107356417.33534782</v>
      </c>
      <c r="H6" s="182">
        <v>98816734.644163221</v>
      </c>
      <c r="I6" s="182">
        <v>107147051.5707173</v>
      </c>
      <c r="J6" s="182">
        <v>125666748.8575906</v>
      </c>
      <c r="K6" s="182">
        <v>127890096.38694921</v>
      </c>
      <c r="L6" s="182">
        <v>123465322.33433203</v>
      </c>
      <c r="M6" s="182">
        <v>117130344.73943919</v>
      </c>
      <c r="N6" s="182">
        <v>99294843.070796907</v>
      </c>
      <c r="O6" s="182">
        <v>149056317.49743444</v>
      </c>
      <c r="P6" s="182">
        <f>+SUM(D6:O6)</f>
        <v>1308333669.0867708</v>
      </c>
    </row>
    <row r="7" spans="3:16">
      <c r="C7" s="181" t="s">
        <v>439</v>
      </c>
      <c r="D7" s="182">
        <v>54757461.979999989</v>
      </c>
      <c r="E7" s="182">
        <v>75673443.909999996</v>
      </c>
      <c r="F7" s="182">
        <v>88296245.580000013</v>
      </c>
      <c r="G7" s="182">
        <v>103948239.19999999</v>
      </c>
      <c r="H7" s="182">
        <v>93997829.679999992</v>
      </c>
      <c r="I7" s="182">
        <v>99561632.659999996</v>
      </c>
      <c r="J7" s="182">
        <v>122021331.04999998</v>
      </c>
      <c r="K7" s="182">
        <v>125053427.64999999</v>
      </c>
      <c r="L7" s="182">
        <v>116342017.78000002</v>
      </c>
      <c r="M7" s="182">
        <v>117283627.60000001</v>
      </c>
      <c r="N7" s="182">
        <v>95781753.159999996</v>
      </c>
      <c r="O7" s="182">
        <v>142429369.22999999</v>
      </c>
      <c r="P7" s="18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79">
        <v>3335894492.1291356</v>
      </c>
      <c r="D3" s="379"/>
      <c r="E3" s="334">
        <v>3516156889.9792166</v>
      </c>
      <c r="F3" s="335"/>
      <c r="G3" s="335"/>
      <c r="H3" s="336"/>
    </row>
    <row r="4" spans="2:13" ht="13.5" thickTop="1">
      <c r="E4" s="83"/>
      <c r="F4" s="83"/>
      <c r="G4" s="82"/>
      <c r="H4" s="82"/>
    </row>
    <row r="5" spans="2:13" ht="13.5" thickBot="1">
      <c r="E5" s="164"/>
      <c r="F5" s="164"/>
      <c r="G5" s="164"/>
      <c r="H5" s="164"/>
    </row>
    <row r="6" spans="2:13" ht="13.5" thickTop="1">
      <c r="B6" t="s">
        <v>126</v>
      </c>
      <c r="C6" s="332">
        <v>2013</v>
      </c>
      <c r="D6" s="333"/>
      <c r="E6" s="332" t="s">
        <v>392</v>
      </c>
      <c r="F6" s="333"/>
      <c r="G6" s="332" t="s">
        <v>426</v>
      </c>
      <c r="H6" s="333"/>
      <c r="I6" s="332" t="s">
        <v>440</v>
      </c>
      <c r="J6" s="333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84" t="s">
        <v>262</v>
      </c>
      <c r="J7" s="184" t="s">
        <v>441</v>
      </c>
    </row>
    <row r="8" spans="2:13" ht="14.25" thickTop="1" thickBot="1">
      <c r="B8" s="90" t="s">
        <v>127</v>
      </c>
      <c r="C8" s="165">
        <f>C9+C17+C22+C27+C34+C39</f>
        <v>1235146379.48</v>
      </c>
      <c r="D8" s="92">
        <f>C8/C$3*100</f>
        <v>37.025942588839719</v>
      </c>
      <c r="E8" s="165">
        <f>+E9+E17+E22+E27+E34+E39+E40</f>
        <v>1276056399.4371703</v>
      </c>
      <c r="F8" s="92">
        <f>E8/E$3*100</f>
        <v>36.291224748071834</v>
      </c>
      <c r="G8" s="162">
        <f>+G9+G17+G22+G27+G34+G39+G40</f>
        <v>1316333669.0867703</v>
      </c>
      <c r="H8" s="92">
        <f>G8/E$3*100</f>
        <v>37.436716002014087</v>
      </c>
      <c r="I8" s="162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4">
        <f>SUM(C10:C16)</f>
        <v>755696459.51000011</v>
      </c>
      <c r="D9" s="95">
        <f t="shared" ref="D9:D72" si="0">C9/C$3*100</f>
        <v>22.653488031261944</v>
      </c>
      <c r="E9" s="154">
        <f>+SUM(E10:E16)</f>
        <v>797828901.35953081</v>
      </c>
      <c r="F9" s="96">
        <f t="shared" ref="F9:F73" si="1">E9/E$3*100</f>
        <v>22.690366963808792</v>
      </c>
      <c r="G9" s="154">
        <f>+SUM(G10:G16)</f>
        <v>819077478.06873</v>
      </c>
      <c r="H9" s="96">
        <f t="shared" ref="H9:H72" si="2">G9/E$3*100</f>
        <v>23.294679495190881</v>
      </c>
      <c r="I9" s="154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5">
        <v>95618433.909999996</v>
      </c>
      <c r="D10" s="98">
        <f t="shared" si="0"/>
        <v>2.8663506635358695</v>
      </c>
      <c r="E10" s="155">
        <v>96011654.614494905</v>
      </c>
      <c r="F10" s="98">
        <f t="shared" si="1"/>
        <v>2.7305850568875618</v>
      </c>
      <c r="G10" s="156">
        <v>96781150.729929999</v>
      </c>
      <c r="H10" s="98">
        <f t="shared" si="2"/>
        <v>2.7524696354064582</v>
      </c>
      <c r="I10" s="156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6">
        <v>40638726.390000008</v>
      </c>
      <c r="D11" s="98">
        <f t="shared" si="0"/>
        <v>1.2182257708055488</v>
      </c>
      <c r="E11" s="156">
        <v>44395641.531501003</v>
      </c>
      <c r="F11" s="98">
        <f t="shared" si="1"/>
        <v>1.2626183336137604</v>
      </c>
      <c r="G11" s="156">
        <v>50018934.706970006</v>
      </c>
      <c r="H11" s="98">
        <f t="shared" si="2"/>
        <v>1.4225455880401758</v>
      </c>
      <c r="I11" s="156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6">
        <v>1440565.3199999998</v>
      </c>
      <c r="D12" s="98">
        <f t="shared" si="0"/>
        <v>4.318377944503151E-2</v>
      </c>
      <c r="E12" s="156">
        <v>1544536.6728920399</v>
      </c>
      <c r="F12" s="98">
        <f t="shared" si="1"/>
        <v>4.3926841754241781E-2</v>
      </c>
      <c r="G12" s="156">
        <v>1489198.0023599996</v>
      </c>
      <c r="H12" s="98">
        <f t="shared" si="2"/>
        <v>4.2353002125818169E-2</v>
      </c>
      <c r="I12" s="156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5">
        <v>429195069.32999998</v>
      </c>
      <c r="D13" s="98">
        <f t="shared" si="0"/>
        <v>12.865966544885122</v>
      </c>
      <c r="E13" s="155">
        <v>455945630.52919102</v>
      </c>
      <c r="F13" s="98">
        <f t="shared" si="1"/>
        <v>12.967158315051353</v>
      </c>
      <c r="G13" s="156">
        <v>473642045.78458995</v>
      </c>
      <c r="H13" s="98">
        <f t="shared" si="2"/>
        <v>13.470446871538474</v>
      </c>
      <c r="I13" s="156">
        <f t="shared" si="3"/>
        <v>17696415.255398929</v>
      </c>
      <c r="J13" s="98">
        <f t="shared" si="4"/>
        <v>3.8812555862986784</v>
      </c>
      <c r="L13" s="156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6">
        <v>161445470.17000002</v>
      </c>
      <c r="D14" s="98">
        <f t="shared" si="0"/>
        <v>4.8396455748502225</v>
      </c>
      <c r="E14" s="156">
        <v>171111988.52539012</v>
      </c>
      <c r="F14" s="98">
        <f t="shared" si="1"/>
        <v>4.8664491909631922</v>
      </c>
      <c r="G14" s="156">
        <v>169158715.98390999</v>
      </c>
      <c r="H14" s="98">
        <f t="shared" si="2"/>
        <v>4.8108978432105705</v>
      </c>
      <c r="I14" s="156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6">
        <v>22269382.640000001</v>
      </c>
      <c r="D15" s="98">
        <f t="shared" si="0"/>
        <v>0.66756855447746977</v>
      </c>
      <c r="E15" s="156">
        <v>23735353.696558259</v>
      </c>
      <c r="F15" s="98">
        <f t="shared" si="1"/>
        <v>0.67503682114419394</v>
      </c>
      <c r="G15" s="156">
        <v>22781578.440719999</v>
      </c>
      <c r="H15" s="98">
        <f t="shared" si="2"/>
        <v>0.64791131776985811</v>
      </c>
      <c r="I15" s="156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6">
        <v>5088811.75</v>
      </c>
      <c r="D16" s="98">
        <f t="shared" si="0"/>
        <v>0.15254714326267749</v>
      </c>
      <c r="E16" s="156">
        <v>5084095.7895035082</v>
      </c>
      <c r="F16" s="98">
        <f t="shared" si="1"/>
        <v>0.14459240439449103</v>
      </c>
      <c r="G16" s="156">
        <v>5205854.4202499995</v>
      </c>
      <c r="H16" s="98">
        <f t="shared" si="2"/>
        <v>0.14805523709952459</v>
      </c>
      <c r="I16" s="156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6">
        <f>SUM(C18:C21)</f>
        <v>398494284.19</v>
      </c>
      <c r="D17" s="96">
        <f t="shared" si="0"/>
        <v>11.94565011364196</v>
      </c>
      <c r="E17" s="154">
        <f>+SUM(E18:E21)</f>
        <v>397823173.70918262</v>
      </c>
      <c r="F17" s="96">
        <f t="shared" si="1"/>
        <v>11.314147410286179</v>
      </c>
      <c r="G17" s="154">
        <f>+SUM(G18:G21)</f>
        <v>417559652.73636997</v>
      </c>
      <c r="H17" s="96">
        <f t="shared" si="2"/>
        <v>11.87545566940951</v>
      </c>
      <c r="I17" s="154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6">
        <v>241949355.72999999</v>
      </c>
      <c r="D18" s="98">
        <f t="shared" si="0"/>
        <v>7.2529079172277937</v>
      </c>
      <c r="E18" s="156">
        <v>234882396.70208701</v>
      </c>
      <c r="F18" s="98">
        <f t="shared" si="1"/>
        <v>6.6800886323213922</v>
      </c>
      <c r="G18" s="156">
        <v>254875867.28178996</v>
      </c>
      <c r="H18" s="98">
        <f t="shared" si="2"/>
        <v>7.2487057676000486</v>
      </c>
      <c r="I18" s="156">
        <f t="shared" si="3"/>
        <v>19993470.579702944</v>
      </c>
      <c r="J18" s="98">
        <f t="shared" si="4"/>
        <v>8.5121196225963445</v>
      </c>
      <c r="L18" s="156">
        <f>+G18-C18</f>
        <v>12926511.551789969</v>
      </c>
    </row>
    <row r="19" spans="2:12">
      <c r="B19" s="97" t="s">
        <v>23</v>
      </c>
      <c r="C19" s="156">
        <v>134703897.09</v>
      </c>
      <c r="D19" s="98">
        <f t="shared" si="0"/>
        <v>4.038014313936686</v>
      </c>
      <c r="E19" s="156">
        <v>138667298.82084399</v>
      </c>
      <c r="F19" s="98">
        <f t="shared" si="1"/>
        <v>3.9437176201106214</v>
      </c>
      <c r="G19" s="156">
        <v>139196347.37307</v>
      </c>
      <c r="H19" s="98">
        <f t="shared" si="2"/>
        <v>3.9587638358734543</v>
      </c>
      <c r="I19" s="156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6">
        <v>10770190.189999999</v>
      </c>
      <c r="D20" s="98">
        <f t="shared" si="0"/>
        <v>0.32285763879558199</v>
      </c>
      <c r="E20" s="156">
        <v>11617385.520490499</v>
      </c>
      <c r="F20" s="98">
        <f t="shared" si="1"/>
        <v>0.33040008975706336</v>
      </c>
      <c r="G20" s="156">
        <v>11434714.104369998</v>
      </c>
      <c r="H20" s="98">
        <f t="shared" si="2"/>
        <v>0.3252048888079504</v>
      </c>
      <c r="I20" s="156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6">
        <v>11070841.180000002</v>
      </c>
      <c r="D21" s="98">
        <f t="shared" si="0"/>
        <v>0.33187024368189877</v>
      </c>
      <c r="E21" s="155">
        <v>12656092.6657611</v>
      </c>
      <c r="F21" s="98">
        <f t="shared" si="1"/>
        <v>0.3599410680971038</v>
      </c>
      <c r="G21" s="156">
        <v>12052723.97714</v>
      </c>
      <c r="H21" s="98">
        <f t="shared" si="2"/>
        <v>0.34278117712805589</v>
      </c>
      <c r="I21" s="156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4">
        <f>SUM(C23:C26)</f>
        <v>27069458</v>
      </c>
      <c r="D22" s="96">
        <f t="shared" si="0"/>
        <v>0.81146025642804165</v>
      </c>
      <c r="E22" s="154">
        <f>+SUM(E23:E26)</f>
        <v>20923047.198280636</v>
      </c>
      <c r="F22" s="96">
        <f t="shared" si="1"/>
        <v>0.59505442598166625</v>
      </c>
      <c r="G22" s="154">
        <f>+SUM(G23:G26)</f>
        <v>19923047.198280636</v>
      </c>
      <c r="H22" s="96">
        <f t="shared" si="2"/>
        <v>0.56661428433582772</v>
      </c>
      <c r="I22" s="154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6">
        <v>7881462.9399999995</v>
      </c>
      <c r="D23" s="98">
        <f t="shared" si="0"/>
        <v>0.23626235657620134</v>
      </c>
      <c r="E23" s="156">
        <v>8144616.5029747505</v>
      </c>
      <c r="F23" s="98">
        <f t="shared" si="1"/>
        <v>0.23163404699563594</v>
      </c>
      <c r="G23" s="156">
        <v>8144616.5029747505</v>
      </c>
      <c r="H23" s="98">
        <f t="shared" si="2"/>
        <v>0.23163404699563594</v>
      </c>
      <c r="I23" s="156">
        <f t="shared" si="3"/>
        <v>0</v>
      </c>
      <c r="J23" s="98">
        <f t="shared" si="4"/>
        <v>0</v>
      </c>
    </row>
    <row r="24" spans="2:12">
      <c r="B24" s="97" t="s">
        <v>32</v>
      </c>
      <c r="C24" s="156">
        <v>4557791.26</v>
      </c>
      <c r="D24" s="98">
        <f t="shared" si="0"/>
        <v>0.13662875941531916</v>
      </c>
      <c r="E24" s="156">
        <v>3676083.5729169641</v>
      </c>
      <c r="F24" s="98">
        <f t="shared" si="1"/>
        <v>0.10454833751569864</v>
      </c>
      <c r="G24" s="156">
        <v>5176083.5729169641</v>
      </c>
      <c r="H24" s="98">
        <f t="shared" si="2"/>
        <v>0.14720854998445643</v>
      </c>
      <c r="I24" s="156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6">
        <v>767936.98999999987</v>
      </c>
      <c r="D25" s="98">
        <f t="shared" si="0"/>
        <v>2.3020422013103413E-2</v>
      </c>
      <c r="E25" s="156">
        <v>762511.44191594806</v>
      </c>
      <c r="F25" s="98">
        <f t="shared" si="1"/>
        <v>2.1685933414662142E-2</v>
      </c>
      <c r="G25" s="156">
        <v>762511.44191594806</v>
      </c>
      <c r="H25" s="98">
        <f t="shared" si="2"/>
        <v>2.1685933414662142E-2</v>
      </c>
      <c r="I25" s="156">
        <f t="shared" si="3"/>
        <v>0</v>
      </c>
      <c r="J25" s="98">
        <f t="shared" si="4"/>
        <v>0</v>
      </c>
    </row>
    <row r="26" spans="2:12">
      <c r="B26" s="97" t="s">
        <v>37</v>
      </c>
      <c r="C26" s="155">
        <v>13862266.809999999</v>
      </c>
      <c r="D26" s="98">
        <f t="shared" si="0"/>
        <v>0.41554871842341756</v>
      </c>
      <c r="E26" s="155">
        <v>8339835.6804729737</v>
      </c>
      <c r="F26" s="98">
        <f t="shared" si="1"/>
        <v>0.23718610805566953</v>
      </c>
      <c r="G26" s="155">
        <v>5839835.6804729737</v>
      </c>
      <c r="H26" s="98">
        <f t="shared" si="2"/>
        <v>0.16608575394107319</v>
      </c>
      <c r="I26" s="155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4">
        <f>SUM(C28:C33)</f>
        <v>13233490.18</v>
      </c>
      <c r="D27" s="96">
        <f t="shared" si="0"/>
        <v>0.39669990196703492</v>
      </c>
      <c r="E27" s="154">
        <f>+SUM(E28:E33)</f>
        <v>13024243.76827177</v>
      </c>
      <c r="F27" s="96">
        <f t="shared" si="1"/>
        <v>0.37041133759957889</v>
      </c>
      <c r="G27" s="154">
        <f>+SUM(G28:G33)</f>
        <v>12724243.76827177</v>
      </c>
      <c r="H27" s="96">
        <f t="shared" si="2"/>
        <v>0.36187929510582734</v>
      </c>
      <c r="I27" s="154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6">
        <v>647266.8600000001</v>
      </c>
      <c r="D28" s="98">
        <f t="shared" si="0"/>
        <v>1.9403097475870164E-2</v>
      </c>
      <c r="E28" s="156">
        <v>698651.48499726248</v>
      </c>
      <c r="F28" s="98">
        <f t="shared" si="1"/>
        <v>1.9869747194397578E-2</v>
      </c>
      <c r="G28" s="156">
        <v>698651.48499726248</v>
      </c>
      <c r="H28" s="98">
        <f t="shared" si="2"/>
        <v>1.9869747194397578E-2</v>
      </c>
      <c r="I28" s="156">
        <f t="shared" si="3"/>
        <v>0</v>
      </c>
      <c r="J28" s="98">
        <f t="shared" si="4"/>
        <v>0</v>
      </c>
    </row>
    <row r="29" spans="2:12">
      <c r="B29" s="97" t="s">
        <v>42</v>
      </c>
      <c r="C29" s="156">
        <v>1995183.6300000001</v>
      </c>
      <c r="D29" s="98">
        <f t="shared" si="0"/>
        <v>5.9809554370125591E-2</v>
      </c>
      <c r="E29" s="156">
        <v>1997965.7673730874</v>
      </c>
      <c r="F29" s="98">
        <f t="shared" si="1"/>
        <v>5.6822429427627073E-2</v>
      </c>
      <c r="G29" s="156">
        <v>1997965.7673730874</v>
      </c>
      <c r="H29" s="98">
        <f t="shared" si="2"/>
        <v>5.6822429427627073E-2</v>
      </c>
      <c r="I29" s="156">
        <f t="shared" si="3"/>
        <v>0</v>
      </c>
      <c r="J29" s="98">
        <f t="shared" si="4"/>
        <v>0</v>
      </c>
    </row>
    <row r="30" spans="2:12">
      <c r="B30" s="97" t="s">
        <v>45</v>
      </c>
      <c r="C30" s="156">
        <v>309851.25</v>
      </c>
      <c r="D30" s="98">
        <f t="shared" si="0"/>
        <v>9.2884007791936302E-3</v>
      </c>
      <c r="E30" s="156">
        <v>424373.88097611902</v>
      </c>
      <c r="F30" s="98">
        <f t="shared" si="1"/>
        <v>1.2069253285755047E-2</v>
      </c>
      <c r="G30" s="156">
        <v>424373.88097611902</v>
      </c>
      <c r="H30" s="98">
        <f t="shared" si="2"/>
        <v>1.2069253285755047E-2</v>
      </c>
      <c r="I30" s="156">
        <f t="shared" si="3"/>
        <v>0</v>
      </c>
      <c r="J30" s="98">
        <f t="shared" si="4"/>
        <v>0</v>
      </c>
    </row>
    <row r="31" spans="2:12">
      <c r="B31" s="97" t="s">
        <v>47</v>
      </c>
      <c r="C31" s="156">
        <v>3324177.16</v>
      </c>
      <c r="D31" s="98">
        <f t="shared" si="0"/>
        <v>9.9648749918296836E-2</v>
      </c>
      <c r="E31" s="156">
        <v>3266343.0516235088</v>
      </c>
      <c r="F31" s="98">
        <f t="shared" si="1"/>
        <v>9.2895259052073062E-2</v>
      </c>
      <c r="G31" s="156">
        <v>3666343.0516235088</v>
      </c>
      <c r="H31" s="98">
        <f t="shared" si="2"/>
        <v>0.10427131571040847</v>
      </c>
      <c r="I31" s="156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6">
        <v>3659024.1899999995</v>
      </c>
      <c r="D32" s="98">
        <f t="shared" si="0"/>
        <v>0.10968644837638813</v>
      </c>
      <c r="E32" s="156">
        <v>3355752.0175728933</v>
      </c>
      <c r="F32" s="98">
        <f t="shared" si="1"/>
        <v>9.5438062708081514E-2</v>
      </c>
      <c r="G32" s="156">
        <v>3355752.0175728933</v>
      </c>
      <c r="H32" s="98">
        <f t="shared" si="2"/>
        <v>9.5438062708081514E-2</v>
      </c>
      <c r="I32" s="156">
        <f t="shared" si="3"/>
        <v>0</v>
      </c>
      <c r="J32" s="98">
        <f t="shared" si="4"/>
        <v>0</v>
      </c>
    </row>
    <row r="33" spans="2:10">
      <c r="B33" s="97" t="s">
        <v>51</v>
      </c>
      <c r="C33" s="156">
        <v>3297987.09</v>
      </c>
      <c r="D33" s="98">
        <f t="shared" si="0"/>
        <v>9.8863651047160633E-2</v>
      </c>
      <c r="E33" s="156">
        <v>3281157.5657288986</v>
      </c>
      <c r="F33" s="98">
        <f t="shared" si="1"/>
        <v>9.331658593164463E-2</v>
      </c>
      <c r="G33" s="156">
        <v>2581157.5657288986</v>
      </c>
      <c r="H33" s="98">
        <f t="shared" si="2"/>
        <v>7.340848677955765E-2</v>
      </c>
      <c r="I33" s="156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4">
        <f>SUM(C35:C38)</f>
        <v>33088194.540000003</v>
      </c>
      <c r="D34" s="96">
        <f t="shared" si="0"/>
        <v>0.99188372468223518</v>
      </c>
      <c r="E34" s="154">
        <f>+SUM(E35:E38)</f>
        <v>31410770.914738216</v>
      </c>
      <c r="F34" s="96">
        <f t="shared" si="1"/>
        <v>0.89332677402013982</v>
      </c>
      <c r="G34" s="154">
        <f>+SUM(G35:G38)</f>
        <v>31310770.914738216</v>
      </c>
      <c r="H34" s="96">
        <f t="shared" si="2"/>
        <v>0.89048275985555603</v>
      </c>
      <c r="I34" s="154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6">
        <v>6034873.3200000003</v>
      </c>
      <c r="D35" s="98">
        <f t="shared" si="0"/>
        <v>0.18090719998006413</v>
      </c>
      <c r="E35" s="156">
        <v>5533606.7424404304</v>
      </c>
      <c r="F35" s="98">
        <f t="shared" si="1"/>
        <v>0.15737655956737298</v>
      </c>
      <c r="G35" s="156">
        <v>6533606.7424404304</v>
      </c>
      <c r="H35" s="98">
        <f t="shared" si="2"/>
        <v>0.1858167012132115</v>
      </c>
      <c r="I35" s="156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6">
        <v>12316700.43</v>
      </c>
      <c r="D36" s="98">
        <f t="shared" si="0"/>
        <v>0.36921732563966259</v>
      </c>
      <c r="E36" s="156">
        <v>11824073.889814863</v>
      </c>
      <c r="F36" s="98">
        <f t="shared" si="1"/>
        <v>0.33627833625719566</v>
      </c>
      <c r="G36" s="156">
        <v>12424073.889814863</v>
      </c>
      <c r="H36" s="98">
        <f t="shared" si="2"/>
        <v>0.35334242124469878</v>
      </c>
      <c r="I36" s="156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6">
        <v>2179410.2600000002</v>
      </c>
      <c r="D37" s="98">
        <f t="shared" si="0"/>
        <v>6.5332110027526411E-2</v>
      </c>
      <c r="E37" s="156">
        <v>2220205.3434794326</v>
      </c>
      <c r="F37" s="98">
        <f t="shared" si="1"/>
        <v>6.3142954451402653E-2</v>
      </c>
      <c r="G37" s="156">
        <v>2220205.3434794326</v>
      </c>
      <c r="H37" s="98">
        <f t="shared" si="2"/>
        <v>6.3142954451402653E-2</v>
      </c>
      <c r="I37" s="156">
        <f t="shared" si="3"/>
        <v>0</v>
      </c>
      <c r="J37" s="98">
        <f t="shared" si="4"/>
        <v>0</v>
      </c>
    </row>
    <row r="38" spans="2:10">
      <c r="B38" s="97" t="s">
        <v>53</v>
      </c>
      <c r="C38" s="156">
        <v>12557210.530000001</v>
      </c>
      <c r="D38" s="98">
        <f t="shared" si="0"/>
        <v>0.37642708903498195</v>
      </c>
      <c r="E38" s="156">
        <v>11832884.939003492</v>
      </c>
      <c r="F38" s="98">
        <f t="shared" si="1"/>
        <v>0.33652892374416871</v>
      </c>
      <c r="G38" s="156">
        <v>10132884.939003492</v>
      </c>
      <c r="H38" s="98">
        <f t="shared" si="2"/>
        <v>0.28818068294624322</v>
      </c>
      <c r="I38" s="156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54">
        <v>7564493.0600000005</v>
      </c>
      <c r="D39" s="96">
        <f t="shared" si="0"/>
        <v>0.22676056085850488</v>
      </c>
      <c r="E39" s="154">
        <v>7046262.4871663069</v>
      </c>
      <c r="F39" s="96">
        <f t="shared" si="1"/>
        <v>0.20039670320876826</v>
      </c>
      <c r="G39" s="154">
        <v>7738476.4003799995</v>
      </c>
      <c r="H39" s="96">
        <f t="shared" si="2"/>
        <v>0.22008336494978584</v>
      </c>
      <c r="I39" s="154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6">
        <v>6615451.54</v>
      </c>
      <c r="D40" s="98">
        <f t="shared" si="0"/>
        <v>0.19831117427750797</v>
      </c>
      <c r="E40" s="154">
        <v>8000000</v>
      </c>
      <c r="F40" s="96">
        <f t="shared" si="1"/>
        <v>0.22752113316670824</v>
      </c>
      <c r="G40" s="154">
        <v>8000000</v>
      </c>
      <c r="H40" s="96">
        <f t="shared" si="2"/>
        <v>0.22752113316670824</v>
      </c>
      <c r="I40" s="154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54">
        <v>366128508.17291778</v>
      </c>
      <c r="D44" s="96">
        <f t="shared" si="0"/>
        <v>10.975422305375018</v>
      </c>
      <c r="E44" s="154">
        <v>386488693.71999997</v>
      </c>
      <c r="F44" s="96">
        <f t="shared" si="1"/>
        <v>10.991793193911903</v>
      </c>
      <c r="G44" s="154">
        <v>386488693.71999997</v>
      </c>
      <c r="H44" s="96">
        <f t="shared" si="2"/>
        <v>10.991793193911903</v>
      </c>
      <c r="I44" s="154">
        <f t="shared" si="5"/>
        <v>0</v>
      </c>
      <c r="J44" s="96">
        <f t="shared" si="4"/>
        <v>0</v>
      </c>
    </row>
    <row r="45" spans="2:10">
      <c r="B45" s="93" t="s">
        <v>74</v>
      </c>
      <c r="C45" s="154">
        <v>12022159.040000001</v>
      </c>
      <c r="D45" s="96">
        <f t="shared" si="0"/>
        <v>0.36038786803256645</v>
      </c>
      <c r="E45" s="154">
        <v>11478163.960000001</v>
      </c>
      <c r="F45" s="96">
        <f t="shared" si="1"/>
        <v>0.3264406088565589</v>
      </c>
      <c r="G45" s="154">
        <v>11478163.960000001</v>
      </c>
      <c r="H45" s="96">
        <f t="shared" si="2"/>
        <v>0.3264406088565589</v>
      </c>
      <c r="I45" s="154">
        <f t="shared" si="5"/>
        <v>0</v>
      </c>
      <c r="J45" s="96">
        <f t="shared" si="4"/>
        <v>0</v>
      </c>
    </row>
    <row r="46" spans="2:10">
      <c r="B46" s="93" t="s">
        <v>428</v>
      </c>
      <c r="C46" s="154">
        <v>90442340.840000004</v>
      </c>
      <c r="D46" s="96">
        <f t="shared" si="0"/>
        <v>2.7111870910004456</v>
      </c>
      <c r="E46" s="154">
        <v>89210330.25999999</v>
      </c>
      <c r="F46" s="96">
        <f t="shared" si="1"/>
        <v>2.5371544288664349</v>
      </c>
      <c r="G46" s="154">
        <v>29295302.830000002</v>
      </c>
      <c r="H46" s="96">
        <f t="shared" si="2"/>
        <v>0.83316256204293437</v>
      </c>
      <c r="I46" s="154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54"/>
      <c r="D47" s="96">
        <f t="shared" si="0"/>
        <v>0</v>
      </c>
      <c r="E47" s="154"/>
      <c r="F47" s="96">
        <f t="shared" si="1"/>
        <v>0</v>
      </c>
      <c r="G47" s="154">
        <v>40692845.799999997</v>
      </c>
      <c r="H47" s="96">
        <f t="shared" si="2"/>
        <v>1.1573102985242654</v>
      </c>
      <c r="I47" s="154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54">
        <v>20416485.639999997</v>
      </c>
      <c r="D48" s="96">
        <f t="shared" si="0"/>
        <v>0.61202432175752564</v>
      </c>
      <c r="E48" s="154">
        <v>21655403.200000003</v>
      </c>
      <c r="F48" s="96">
        <f t="shared" si="1"/>
        <v>0.61588273440574504</v>
      </c>
      <c r="G48" s="154">
        <v>21655403.200000003</v>
      </c>
      <c r="H48" s="96">
        <f t="shared" si="2"/>
        <v>0.61588273440574504</v>
      </c>
      <c r="I48" s="154">
        <f t="shared" si="5"/>
        <v>0</v>
      </c>
      <c r="J48" s="96">
        <f t="shared" si="4"/>
        <v>0</v>
      </c>
    </row>
    <row r="49" spans="2:10">
      <c r="B49" s="93" t="s">
        <v>79</v>
      </c>
      <c r="C49" s="154">
        <v>67427730.789999992</v>
      </c>
      <c r="D49" s="96">
        <f t="shared" si="0"/>
        <v>2.0212788788462022</v>
      </c>
      <c r="E49" s="154">
        <v>73316123.120000005</v>
      </c>
      <c r="F49" s="96">
        <f t="shared" si="1"/>
        <v>2.0851209264565371</v>
      </c>
      <c r="G49" s="154">
        <v>73316123.120000005</v>
      </c>
      <c r="H49" s="96">
        <f t="shared" si="2"/>
        <v>2.0851209264565371</v>
      </c>
      <c r="I49" s="154">
        <f t="shared" si="5"/>
        <v>0</v>
      </c>
      <c r="J49" s="96">
        <f t="shared" si="4"/>
        <v>0</v>
      </c>
    </row>
    <row r="50" spans="2:10">
      <c r="B50" s="93" t="s">
        <v>81</v>
      </c>
      <c r="C50" s="154">
        <v>7928041.8100000005</v>
      </c>
      <c r="D50" s="96">
        <f t="shared" si="0"/>
        <v>0.23765864983757101</v>
      </c>
      <c r="E50" s="154">
        <v>8172802.1399999997</v>
      </c>
      <c r="F50" s="96">
        <f t="shared" si="1"/>
        <v>0.23243565050501225</v>
      </c>
      <c r="G50" s="154">
        <v>8172802.1399999997</v>
      </c>
      <c r="H50" s="96">
        <f t="shared" si="2"/>
        <v>0.23243565050501225</v>
      </c>
      <c r="I50" s="154">
        <f t="shared" si="5"/>
        <v>0</v>
      </c>
      <c r="J50" s="96">
        <f t="shared" si="4"/>
        <v>0</v>
      </c>
    </row>
    <row r="51" spans="2:10">
      <c r="B51" s="93" t="s">
        <v>83</v>
      </c>
      <c r="C51" s="154">
        <v>17426749.959999997</v>
      </c>
      <c r="D51" s="96">
        <f t="shared" si="0"/>
        <v>0.52240111313824467</v>
      </c>
      <c r="E51" s="154">
        <v>18874600</v>
      </c>
      <c r="F51" s="96">
        <f t="shared" si="1"/>
        <v>0.53679629750854385</v>
      </c>
      <c r="G51" s="154">
        <v>18874600</v>
      </c>
      <c r="H51" s="96">
        <f t="shared" si="2"/>
        <v>0.53679629750854385</v>
      </c>
      <c r="I51" s="154">
        <f t="shared" si="5"/>
        <v>0</v>
      </c>
      <c r="J51" s="96">
        <f t="shared" si="4"/>
        <v>0</v>
      </c>
    </row>
    <row r="52" spans="2:10">
      <c r="B52" s="93" t="s">
        <v>85</v>
      </c>
      <c r="C52" s="154">
        <v>6279093.0100000007</v>
      </c>
      <c r="D52" s="96">
        <f t="shared" si="0"/>
        <v>0.18822816563339112</v>
      </c>
      <c r="E52" s="154">
        <v>5827393.7300000023</v>
      </c>
      <c r="F52" s="96">
        <f t="shared" si="1"/>
        <v>0.16573190310727137</v>
      </c>
      <c r="G52" s="154">
        <v>25049575.370000001</v>
      </c>
      <c r="H52" s="96">
        <f t="shared" si="2"/>
        <v>0.71241347169090818</v>
      </c>
      <c r="I52" s="154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54">
        <v>12216538.75</v>
      </c>
      <c r="D53" s="160">
        <f t="shared" si="0"/>
        <v>0.36621478223679643</v>
      </c>
      <c r="E53" s="154"/>
      <c r="F53" s="160">
        <f t="shared" si="1"/>
        <v>0</v>
      </c>
      <c r="G53" s="154">
        <v>10502963.32</v>
      </c>
      <c r="H53" s="160">
        <f t="shared" si="2"/>
        <v>0.2987057645218465</v>
      </c>
      <c r="I53" s="154">
        <f t="shared" si="5"/>
        <v>10502963.32</v>
      </c>
      <c r="J53" s="160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6">
        <v>64036543.990000002</v>
      </c>
      <c r="D55" s="98">
        <f t="shared" si="0"/>
        <v>1.919621383142986</v>
      </c>
      <c r="E55" s="156">
        <v>58645000</v>
      </c>
      <c r="F55" s="98">
        <f t="shared" si="1"/>
        <v>1.6678721068202007</v>
      </c>
      <c r="G55" s="156">
        <v>58645000</v>
      </c>
      <c r="H55" s="98">
        <f t="shared" si="2"/>
        <v>1.6678721068202007</v>
      </c>
      <c r="I55" s="156">
        <f t="shared" si="5"/>
        <v>0</v>
      </c>
      <c r="J55" s="98">
        <f t="shared" si="4"/>
        <v>0</v>
      </c>
    </row>
    <row r="56" spans="2:10">
      <c r="B56" s="97" t="s">
        <v>90</v>
      </c>
      <c r="C56" s="156">
        <v>13086355.520000001</v>
      </c>
      <c r="D56" s="98">
        <f t="shared" si="0"/>
        <v>0.39228925108022916</v>
      </c>
      <c r="E56" s="156">
        <v>20758124</v>
      </c>
      <c r="F56" s="98">
        <f t="shared" si="1"/>
        <v>0.59036398686188019</v>
      </c>
      <c r="G56" s="156">
        <v>20758124</v>
      </c>
      <c r="H56" s="98">
        <f t="shared" si="2"/>
        <v>0.59036398686188019</v>
      </c>
      <c r="I56" s="156">
        <f t="shared" si="5"/>
        <v>0</v>
      </c>
      <c r="J56" s="98">
        <f t="shared" si="4"/>
        <v>0</v>
      </c>
    </row>
    <row r="57" spans="2:10">
      <c r="B57" s="97" t="s">
        <v>92</v>
      </c>
      <c r="C57" s="156">
        <v>383190248.31999987</v>
      </c>
      <c r="D57" s="98">
        <f t="shared" si="0"/>
        <v>11.486881531298929</v>
      </c>
      <c r="E57" s="156">
        <v>397320274.96999997</v>
      </c>
      <c r="F57" s="98">
        <f t="shared" si="1"/>
        <v>11.299844898910312</v>
      </c>
      <c r="G57" s="156">
        <v>397320274.96999997</v>
      </c>
      <c r="H57" s="98">
        <f t="shared" si="2"/>
        <v>11.299844898910312</v>
      </c>
      <c r="I57" s="156">
        <f t="shared" si="5"/>
        <v>0</v>
      </c>
      <c r="J57" s="98">
        <f t="shared" si="4"/>
        <v>0</v>
      </c>
    </row>
    <row r="58" spans="2:10">
      <c r="B58" s="97" t="s">
        <v>94</v>
      </c>
      <c r="C58" s="156">
        <v>14792096.089999998</v>
      </c>
      <c r="D58" s="98">
        <f t="shared" si="0"/>
        <v>0.44342218031478986</v>
      </c>
      <c r="E58" s="156">
        <v>14500000</v>
      </c>
      <c r="F58" s="98">
        <f t="shared" si="1"/>
        <v>0.4123820538646587</v>
      </c>
      <c r="G58" s="156">
        <v>14500000</v>
      </c>
      <c r="H58" s="98">
        <f t="shared" si="2"/>
        <v>0.4123820538646587</v>
      </c>
      <c r="I58" s="156">
        <f t="shared" si="5"/>
        <v>0</v>
      </c>
      <c r="J58" s="98">
        <f t="shared" si="4"/>
        <v>0</v>
      </c>
    </row>
    <row r="59" spans="2:10">
      <c r="B59" s="97" t="s">
        <v>431</v>
      </c>
      <c r="C59" s="156">
        <v>7862525.3600000013</v>
      </c>
      <c r="D59" s="98">
        <f t="shared" si="0"/>
        <v>0.23569466536040659</v>
      </c>
      <c r="E59" s="156">
        <v>7000000</v>
      </c>
      <c r="F59" s="98">
        <f t="shared" si="1"/>
        <v>0.19908099152086972</v>
      </c>
      <c r="G59" s="156">
        <v>7000000</v>
      </c>
      <c r="H59" s="98">
        <f t="shared" si="2"/>
        <v>0.19908099152086972</v>
      </c>
      <c r="I59" s="156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6">
        <v>94307106.209999993</v>
      </c>
      <c r="D61" s="98">
        <f t="shared" si="0"/>
        <v>2.8270410359953697</v>
      </c>
      <c r="E61" s="156">
        <v>101040047.61999999</v>
      </c>
      <c r="F61" s="98">
        <f t="shared" si="1"/>
        <v>2.8735932662150696</v>
      </c>
      <c r="G61" s="156">
        <v>101040047.61999999</v>
      </c>
      <c r="H61" s="98">
        <f t="shared" si="2"/>
        <v>2.8735932662150696</v>
      </c>
      <c r="I61" s="156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6"/>
      <c r="D62" s="98">
        <f t="shared" si="0"/>
        <v>0</v>
      </c>
      <c r="E62" s="156"/>
      <c r="F62" s="98">
        <f t="shared" si="1"/>
        <v>0</v>
      </c>
      <c r="G62" s="156"/>
      <c r="H62" s="98">
        <f t="shared" si="2"/>
        <v>0</v>
      </c>
      <c r="I62" s="156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62">
        <v>61785502.860000007</v>
      </c>
      <c r="D63" s="92">
        <f t="shared" si="0"/>
        <v>1.8521419968700925</v>
      </c>
      <c r="E63" s="162">
        <v>101820500</v>
      </c>
      <c r="F63" s="92">
        <f t="shared" si="1"/>
        <v>2.8957894424501021</v>
      </c>
      <c r="G63" s="162">
        <v>101820500</v>
      </c>
      <c r="H63" s="92">
        <f t="shared" si="2"/>
        <v>2.8957894424501021</v>
      </c>
      <c r="I63" s="162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54">
        <v>2752781.9799999995</v>
      </c>
      <c r="D64" s="96">
        <f t="shared" si="0"/>
        <v>8.2520055310353516E-2</v>
      </c>
      <c r="E64" s="154">
        <v>2140000</v>
      </c>
      <c r="F64" s="96">
        <f t="shared" si="1"/>
        <v>6.0861903122094448E-2</v>
      </c>
      <c r="G64" s="154">
        <v>2140000</v>
      </c>
      <c r="H64" s="96">
        <f t="shared" si="2"/>
        <v>6.0861903122094448E-2</v>
      </c>
      <c r="I64" s="154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54">
        <v>14126844.789999999</v>
      </c>
      <c r="D65" s="96">
        <f t="shared" si="0"/>
        <v>0.42347996386970665</v>
      </c>
      <c r="E65" s="154">
        <v>8854649.7699999996</v>
      </c>
      <c r="F65" s="96">
        <f t="shared" si="1"/>
        <v>0.25182749368309154</v>
      </c>
      <c r="G65" s="154">
        <v>8854649.7699999996</v>
      </c>
      <c r="H65" s="96">
        <f t="shared" si="2"/>
        <v>0.25182749368309154</v>
      </c>
      <c r="I65" s="154">
        <f t="shared" si="5"/>
        <v>0</v>
      </c>
      <c r="J65" s="96">
        <f t="shared" si="4"/>
        <v>0</v>
      </c>
    </row>
    <row r="66" spans="2:10" ht="14.25" thickTop="1" thickBot="1">
      <c r="B66" s="148" t="s">
        <v>112</v>
      </c>
      <c r="C66" s="163">
        <v>107239350.92999999</v>
      </c>
      <c r="D66" s="150">
        <f t="shared" si="0"/>
        <v>3.2147105126683559</v>
      </c>
      <c r="E66" s="163">
        <v>0</v>
      </c>
      <c r="F66" s="150">
        <f t="shared" si="1"/>
        <v>0</v>
      </c>
      <c r="G66" s="163">
        <v>5153201.26</v>
      </c>
      <c r="H66" s="150">
        <f t="shared" si="2"/>
        <v>0.14655777376391357</v>
      </c>
      <c r="I66" s="163">
        <f t="shared" si="5"/>
        <v>5153201.26</v>
      </c>
      <c r="J66" s="150" t="e">
        <f t="shared" si="4"/>
        <v>#DIV/0!</v>
      </c>
    </row>
    <row r="67" spans="2:10" ht="14.25" thickTop="1" thickBot="1">
      <c r="B67" s="183" t="s">
        <v>151</v>
      </c>
      <c r="C67" s="154">
        <v>0</v>
      </c>
      <c r="D67" s="96">
        <f t="shared" si="0"/>
        <v>0</v>
      </c>
      <c r="E67" s="154">
        <v>0</v>
      </c>
      <c r="F67" s="96">
        <f t="shared" si="1"/>
        <v>0</v>
      </c>
      <c r="G67" s="154">
        <v>0</v>
      </c>
      <c r="H67" s="96">
        <f t="shared" si="2"/>
        <v>0</v>
      </c>
      <c r="I67" s="154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6">
        <v>112695950.91</v>
      </c>
      <c r="D71" s="98">
        <f t="shared" si="0"/>
        <v>3.3782828316632929</v>
      </c>
      <c r="E71" s="156">
        <v>30008345.27</v>
      </c>
      <c r="F71" s="98">
        <f t="shared" si="1"/>
        <v>0.8534415900360286</v>
      </c>
      <c r="G71" s="156">
        <v>30008345.27</v>
      </c>
      <c r="H71" s="98">
        <f t="shared" si="2"/>
        <v>0.8534415900360286</v>
      </c>
      <c r="I71" s="156">
        <f t="shared" si="5"/>
        <v>0</v>
      </c>
      <c r="J71" s="98">
        <f t="shared" si="4"/>
        <v>0</v>
      </c>
    </row>
    <row r="72" spans="2:10">
      <c r="B72" s="97" t="s">
        <v>136</v>
      </c>
      <c r="C72" s="156">
        <v>68802905.489999995</v>
      </c>
      <c r="D72" s="98">
        <f t="shared" si="0"/>
        <v>2.0625024458158605</v>
      </c>
      <c r="E72" s="156">
        <v>108080400.25</v>
      </c>
      <c r="F72" s="98">
        <f t="shared" si="1"/>
        <v>3.073821892248922</v>
      </c>
      <c r="G72" s="156">
        <v>108080400.25</v>
      </c>
      <c r="H72" s="98">
        <f t="shared" si="2"/>
        <v>3.073821892248922</v>
      </c>
      <c r="I72" s="156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6">
        <v>60278571.609999992</v>
      </c>
      <c r="D73" s="98">
        <f t="shared" ref="D73:D79" si="6">C73/C$3*100</f>
        <v>1.8069687681137414</v>
      </c>
      <c r="E73" s="156">
        <v>33338159.969999999</v>
      </c>
      <c r="F73" s="98">
        <f t="shared" si="1"/>
        <v>0.94814199175842395</v>
      </c>
      <c r="G73" s="156">
        <v>33338159.969999999</v>
      </c>
      <c r="H73" s="98">
        <f t="shared" ref="H73:H79" si="7">G73/E$3*100</f>
        <v>0.94814199175842395</v>
      </c>
      <c r="I73" s="156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6">
        <v>102834751.84999999</v>
      </c>
      <c r="D76" s="98">
        <f t="shared" si="6"/>
        <v>3.0826739902186082</v>
      </c>
      <c r="E76" s="156">
        <v>0</v>
      </c>
      <c r="F76" s="98">
        <f t="shared" si="8"/>
        <v>0</v>
      </c>
      <c r="G76" s="185">
        <v>0</v>
      </c>
      <c r="H76" s="186">
        <f t="shared" si="7"/>
        <v>0</v>
      </c>
      <c r="I76" s="156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6">
        <v>230537476.81999999</v>
      </c>
      <c r="D77" s="98">
        <f t="shared" si="6"/>
        <v>6.910814396676539</v>
      </c>
      <c r="E77" s="156">
        <v>227975575.86282945</v>
      </c>
      <c r="F77" s="98">
        <f t="shared" si="8"/>
        <v>6.4836576693304764</v>
      </c>
      <c r="G77" s="185">
        <v>227975575.86282945</v>
      </c>
      <c r="H77" s="186">
        <f t="shared" si="7"/>
        <v>6.4836576693304764</v>
      </c>
      <c r="I77" s="156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6">
        <v>11948846.35</v>
      </c>
      <c r="D78" s="104">
        <f t="shared" si="6"/>
        <v>0.35819017592410862</v>
      </c>
      <c r="E78" s="156">
        <v>5000000</v>
      </c>
      <c r="F78" s="104">
        <f t="shared" si="8"/>
        <v>0.14220070822919265</v>
      </c>
      <c r="G78" s="185">
        <v>5000000</v>
      </c>
      <c r="H78" s="186">
        <f t="shared" si="7"/>
        <v>0.14220070822919265</v>
      </c>
      <c r="I78" s="156">
        <f t="shared" si="9"/>
        <v>0</v>
      </c>
      <c r="J78" s="104">
        <f t="shared" si="10"/>
        <v>0</v>
      </c>
    </row>
    <row r="79" spans="2:10" ht="14.25" thickTop="1" thickBot="1">
      <c r="B79" s="148" t="s">
        <v>124</v>
      </c>
      <c r="C79" s="149">
        <f>-C74-SUM(C76:C78)</f>
        <v>24776977.5729177</v>
      </c>
      <c r="D79" s="150">
        <f t="shared" si="6"/>
        <v>0.74273864570290371</v>
      </c>
      <c r="E79" s="149">
        <f>-E74-SUM(E76:E78)</f>
        <v>-10502963.319999933</v>
      </c>
      <c r="F79" s="150">
        <f t="shared" si="8"/>
        <v>-0.29870576452184461</v>
      </c>
      <c r="G79" s="187">
        <f>-G74-SUM(G76:G78)</f>
        <v>-27124068.379600048</v>
      </c>
      <c r="H79" s="188">
        <f t="shared" si="7"/>
        <v>-0.77141234672723535</v>
      </c>
      <c r="I79" s="149">
        <f t="shared" si="9"/>
        <v>-16621105.059600115</v>
      </c>
      <c r="J79" s="150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444</v>
      </c>
      <c r="E4">
        <v>2015</v>
      </c>
      <c r="F4">
        <v>2016</v>
      </c>
      <c r="G4">
        <v>2017</v>
      </c>
    </row>
    <row r="5" spans="3:7">
      <c r="C5" t="s">
        <v>442</v>
      </c>
      <c r="D5" s="182">
        <v>-26424601.993229389</v>
      </c>
      <c r="E5" s="182">
        <v>-24569497.372829676</v>
      </c>
      <c r="F5" s="182">
        <v>33498994.005818129</v>
      </c>
      <c r="G5" s="182">
        <v>103834080.12588143</v>
      </c>
    </row>
    <row r="6" spans="3:7">
      <c r="C6" t="s">
        <v>443</v>
      </c>
      <c r="D6" s="182">
        <v>-51424601.993229389</v>
      </c>
      <c r="E6" s="182">
        <v>-149569497.37282968</v>
      </c>
      <c r="F6" s="182">
        <v>-191501005.99418187</v>
      </c>
      <c r="G6" s="18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Central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branko.krvavac</cp:lastModifiedBy>
  <cp:lastPrinted>2016-06-30T08:34:04Z</cp:lastPrinted>
  <dcterms:created xsi:type="dcterms:W3CDTF">2008-03-17T08:49:23Z</dcterms:created>
  <dcterms:modified xsi:type="dcterms:W3CDTF">2018-02-20T09:28:03Z</dcterms:modified>
</cp:coreProperties>
</file>