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anko.krvavac\Dropbox\MINISTARSTVO FINANSIJA\SEP\99_Arhiva\01_Analize\Bilten - 2017\Bilten - 2017 - IV kvartal - Analiza\"/>
    </mc:Choice>
  </mc:AlternateContent>
  <bookViews>
    <workbookView xWindow="0" yWindow="0" windowWidth="15600" windowHeight="5985" tabRatio="817" activeTab="1"/>
  </bookViews>
  <sheets>
    <sheet name="Central Budget" sheetId="10" r:id="rId1"/>
    <sheet name="Local Government" sheetId="32" r:id="rId2"/>
    <sheet name="Public Expenditure" sheetId="33" r:id="rId3"/>
    <sheet name="PRIMICI" sheetId="29" state="hidden" r:id="rId4"/>
    <sheet name="DEFICIT Tabela" sheetId="30" state="hidden" r:id="rId5"/>
    <sheet name="MasterSheet" sheetId="13" state="hidden" r:id="rId6"/>
    <sheet name="Sheet1" sheetId="31" state="hidden" r:id="rId7"/>
    <sheet name="Sheet2" sheetId="36" state="hidden" r:id="rId8"/>
    <sheet name="Sheet3" sheetId="37" state="hidden" r:id="rId9"/>
  </sheets>
  <externalReferences>
    <externalReference r:id="rId10"/>
  </externalReferences>
  <definedNames>
    <definedName name="_Order1" hidden="1">0</definedName>
    <definedName name="_Order2" hidden="1">0</definedName>
    <definedName name="_Regression_Out" localSheetId="4" hidden="1">#REF!</definedName>
    <definedName name="_Regression_Out" localSheetId="1" hidden="1">#REF!</definedName>
    <definedName name="_Regression_Out" localSheetId="3" hidden="1">#REF!</definedName>
    <definedName name="_Regression_Out" localSheetId="2" hidden="1">#REF!</definedName>
    <definedName name="_Regression_Out" hidden="1">#REF!</definedName>
    <definedName name="_Regression_X" localSheetId="4" hidden="1">#REF!</definedName>
    <definedName name="_Regression_X" localSheetId="1" hidden="1">#REF!</definedName>
    <definedName name="_Regression_X" localSheetId="3" hidden="1">#REF!</definedName>
    <definedName name="_Regression_X" localSheetId="2" hidden="1">#REF!</definedName>
    <definedName name="_Regression_X" hidden="1">#REF!</definedName>
    <definedName name="_Regression_Y" localSheetId="1" hidden="1">#REF!</definedName>
    <definedName name="_Regression_Y" localSheetId="2" hidden="1">#REF!</definedName>
    <definedName name="_Regression_Y" hidden="1">#REF!</definedName>
    <definedName name="a" hidden="1">#REF!</definedName>
    <definedName name="Z_05AB59A7_9F04_4F70_A17E_8EF60EF35C7C_.wvu.PrintArea" localSheetId="0" hidden="1">'Central Budget'!$B$13:$C$75</definedName>
    <definedName name="Z_05AB59A7_9F04_4F70_A17E_8EF60EF35C7C_.wvu.PrintArea" localSheetId="1" hidden="1">'Local Government'!$B$13:$M$73</definedName>
    <definedName name="Z_05AB59A7_9F04_4F70_A17E_8EF60EF35C7C_.wvu.PrintArea" localSheetId="2" hidden="1">'Public Expenditure'!$B$13:$M$74</definedName>
    <definedName name="Z_636A372C_EE02_4B23_8381_E3299ADF8816_.wvu.Cols" localSheetId="0" hidden="1">'Central Budget'!#REF!</definedName>
    <definedName name="Z_636A372C_EE02_4B23_8381_E3299ADF8816_.wvu.Cols" localSheetId="1" hidden="1">'Local Government'!#REF!</definedName>
    <definedName name="Z_636A372C_EE02_4B23_8381_E3299ADF8816_.wvu.Cols" localSheetId="2" hidden="1">'Public Expenditure'!#REF!</definedName>
    <definedName name="Z_7AC1CC92_093E_4DA9_98F8_470D5521A68C_.wvu.Rows" localSheetId="0" hidden="1">'Central Budget'!#REF!,'Central Budget'!#REF!,'Central Budget'!#REF!,'Central Budget'!#REF!</definedName>
    <definedName name="Z_7AC1CC92_093E_4DA9_98F8_470D5521A68C_.wvu.Rows" localSheetId="1" hidden="1">'Local Government'!#REF!,'Local Government'!#REF!,'Local Government'!#REF!,'Local Government'!#REF!</definedName>
    <definedName name="Z_7AC1CC92_093E_4DA9_98F8_470D5521A68C_.wvu.Rows" localSheetId="2" hidden="1">'Public Expenditure'!#REF!,'Public Expenditure'!#REF!,'Public Expenditure'!#REF!,'Public Expenditure'!#REF!</definedName>
    <definedName name="Z_A32CDCC2_9D7B_41FA_91EC_562A88521235_.wvu.Cols" localSheetId="0" hidden="1">'Central Budget'!#REF!,'Central Budget'!#REF!</definedName>
    <definedName name="Z_A32CDCC2_9D7B_41FA_91EC_562A88521235_.wvu.Cols" localSheetId="1" hidden="1">'Local Government'!#REF!,'Local Government'!#REF!</definedName>
    <definedName name="Z_A32CDCC2_9D7B_41FA_91EC_562A88521235_.wvu.Cols" localSheetId="2" hidden="1">'Public Expenditure'!#REF!,'Public Expenditure'!#REF!</definedName>
    <definedName name="Z_F37FAB72_D883_4CEB_A5EC_0FA851AD2DC3_.wvu.Cols" localSheetId="0" hidden="1">'Central Budget'!#REF!</definedName>
    <definedName name="Z_F37FAB72_D883_4CEB_A5EC_0FA851AD2DC3_.wvu.Cols" localSheetId="1" hidden="1">'Local Government'!#REF!</definedName>
    <definedName name="Z_F37FAB72_D883_4CEB_A5EC_0FA851AD2DC3_.wvu.Cols" localSheetId="2" hidden="1">'Public Expenditure'!#REF!</definedName>
  </definedNames>
  <calcPr calcId="162913"/>
  <customWorkbookViews>
    <customWorkbookView name="RATKO - Personal View" guid="{A4D59F75-8091-4878-A19C-E6F7EFCC98D0}" mergeInterval="0" personalView="1" maximized="1" windowWidth="1276" windowHeight="850" activeSheetId="5"/>
    <customWorkbookView name="pc - Personal View" guid="{5F444141-AB98-4370-9413-F1F0A45DC16B}" mergeInterval="0" personalView="1" maximized="1" windowWidth="1276" windowHeight="874" activeSheetId="5"/>
    <customWorkbookView name="iva.vukovic - Personal View" guid="{E484E83A-8AE1-4ACE-A5D4-7D98A52A9B4B}" mergeInterval="0" personalView="1" maximized="1" windowWidth="1276" windowHeight="856" tabRatio="796" activeSheetId="3"/>
  </customWorkbookViews>
  <fileRecoveryPr autoRecover="0"/>
</workbook>
</file>

<file path=xl/calcChain.xml><?xml version="1.0" encoding="utf-8"?>
<calcChain xmlns="http://schemas.openxmlformats.org/spreadsheetml/2006/main">
  <c r="L59" i="32" l="1"/>
  <c r="I59" i="32"/>
  <c r="H59" i="32"/>
  <c r="M59" i="32"/>
  <c r="K59" i="32"/>
  <c r="G59" i="32"/>
  <c r="E59" i="32"/>
  <c r="D71" i="10" l="1"/>
  <c r="D36" i="33"/>
  <c r="J54" i="33" l="1"/>
  <c r="J41" i="33"/>
  <c r="F41" i="33"/>
  <c r="D41" i="33"/>
  <c r="J21" i="32" l="1"/>
  <c r="D33" i="32" l="1"/>
  <c r="D21" i="32"/>
  <c r="D72" i="33" l="1"/>
  <c r="F65" i="33"/>
  <c r="F66" i="33"/>
  <c r="F67" i="33"/>
  <c r="F70" i="33"/>
  <c r="F71" i="33"/>
  <c r="F72" i="33"/>
  <c r="F73" i="33"/>
  <c r="F64" i="33" l="1"/>
  <c r="F48" i="10"/>
  <c r="F54" i="10"/>
  <c r="F54" i="33" s="1"/>
  <c r="D70" i="33" l="1"/>
  <c r="D73" i="33"/>
  <c r="D71" i="33"/>
  <c r="D67" i="33"/>
  <c r="D66" i="33"/>
  <c r="D65" i="33"/>
  <c r="D59" i="33"/>
  <c r="D57" i="33"/>
  <c r="D56" i="33"/>
  <c r="D55" i="33"/>
  <c r="D53" i="33"/>
  <c r="D52" i="33"/>
  <c r="D51" i="33"/>
  <c r="D50" i="33"/>
  <c r="D49" i="33"/>
  <c r="D46" i="33"/>
  <c r="D45" i="33"/>
  <c r="D44" i="33"/>
  <c r="D43" i="33"/>
  <c r="D42" i="33"/>
  <c r="D40" i="33"/>
  <c r="D39" i="33"/>
  <c r="D35" i="33"/>
  <c r="D34" i="33"/>
  <c r="D30" i="33"/>
  <c r="D29" i="33"/>
  <c r="D28" i="33"/>
  <c r="D27" i="33"/>
  <c r="D25" i="33"/>
  <c r="D24" i="33"/>
  <c r="D23" i="33"/>
  <c r="D22" i="33"/>
  <c r="D21" i="33"/>
  <c r="D20" i="33"/>
  <c r="D19" i="33"/>
  <c r="D18" i="33"/>
  <c r="F60" i="33" l="1"/>
  <c r="F59" i="33"/>
  <c r="F58" i="33"/>
  <c r="F57" i="33"/>
  <c r="F56" i="33"/>
  <c r="F55" i="33"/>
  <c r="F53" i="33"/>
  <c r="F52" i="33"/>
  <c r="F51" i="33"/>
  <c r="F50" i="33"/>
  <c r="F49" i="33"/>
  <c r="F47" i="33"/>
  <c r="F46" i="33"/>
  <c r="F45" i="33"/>
  <c r="F44" i="33"/>
  <c r="F43" i="33"/>
  <c r="F42" i="33"/>
  <c r="F40" i="33"/>
  <c r="F39" i="33"/>
  <c r="F22" i="33"/>
  <c r="F21" i="33"/>
  <c r="F20" i="33"/>
  <c r="F19" i="33"/>
  <c r="F18" i="33"/>
  <c r="J73" i="33"/>
  <c r="J71" i="33"/>
  <c r="J70" i="33"/>
  <c r="J66" i="33"/>
  <c r="J65" i="33"/>
  <c r="J60" i="33"/>
  <c r="J59" i="33"/>
  <c r="J58" i="33"/>
  <c r="J57" i="33"/>
  <c r="J56" i="33"/>
  <c r="J55" i="33"/>
  <c r="J53" i="33"/>
  <c r="J52" i="33"/>
  <c r="J51" i="33"/>
  <c r="J50" i="33"/>
  <c r="J49" i="33"/>
  <c r="J47" i="33"/>
  <c r="J45" i="33"/>
  <c r="J44" i="33"/>
  <c r="J43" i="33"/>
  <c r="J42" i="33"/>
  <c r="J40" i="33"/>
  <c r="J39" i="33"/>
  <c r="J35" i="33"/>
  <c r="J34" i="33"/>
  <c r="J28" i="33"/>
  <c r="J29" i="33"/>
  <c r="J30" i="33"/>
  <c r="J27" i="33"/>
  <c r="J25" i="33"/>
  <c r="J24" i="33"/>
  <c r="J23" i="33"/>
  <c r="J22" i="33"/>
  <c r="J21" i="33"/>
  <c r="J20" i="33"/>
  <c r="J19" i="33"/>
  <c r="J18" i="33"/>
  <c r="F64" i="32"/>
  <c r="J11" i="33"/>
  <c r="J11" i="32"/>
  <c r="F66" i="10"/>
  <c r="I57" i="10"/>
  <c r="I58" i="10"/>
  <c r="I59" i="10"/>
  <c r="I60" i="10"/>
  <c r="I61" i="10"/>
  <c r="I62" i="10"/>
  <c r="I64" i="10"/>
  <c r="I67" i="10"/>
  <c r="I68" i="10"/>
  <c r="I69" i="10"/>
  <c r="I72" i="10"/>
  <c r="I73" i="10"/>
  <c r="I74" i="10"/>
  <c r="H57" i="10"/>
  <c r="H58" i="10"/>
  <c r="H59" i="10"/>
  <c r="H60" i="10"/>
  <c r="H61" i="10"/>
  <c r="H62" i="10"/>
  <c r="H64" i="10"/>
  <c r="H67" i="10"/>
  <c r="H68" i="10"/>
  <c r="H69" i="10"/>
  <c r="H72" i="10"/>
  <c r="H73" i="10"/>
  <c r="H74" i="10"/>
  <c r="G57" i="10"/>
  <c r="G58" i="10"/>
  <c r="G59" i="10"/>
  <c r="G60" i="10"/>
  <c r="G61" i="10"/>
  <c r="G62" i="10"/>
  <c r="G64" i="10"/>
  <c r="G67" i="10"/>
  <c r="G68" i="10"/>
  <c r="G69" i="10"/>
  <c r="G72" i="10"/>
  <c r="G73" i="10"/>
  <c r="G74" i="10"/>
  <c r="I38" i="10"/>
  <c r="I39" i="10"/>
  <c r="I40" i="10"/>
  <c r="I41" i="10"/>
  <c r="I42" i="10"/>
  <c r="I43" i="10"/>
  <c r="I44" i="10"/>
  <c r="I45" i="10"/>
  <c r="I46" i="10"/>
  <c r="I47" i="10"/>
  <c r="I49" i="10"/>
  <c r="I50" i="10"/>
  <c r="I51" i="10"/>
  <c r="I52" i="10"/>
  <c r="I53" i="10"/>
  <c r="I55" i="10"/>
  <c r="I56" i="10"/>
  <c r="H38" i="10"/>
  <c r="H39" i="10"/>
  <c r="H40" i="10"/>
  <c r="H41" i="10"/>
  <c r="H42" i="10"/>
  <c r="H43" i="10"/>
  <c r="H44" i="10"/>
  <c r="H45" i="10"/>
  <c r="H46" i="10"/>
  <c r="H47" i="10"/>
  <c r="H49" i="10"/>
  <c r="H50" i="10"/>
  <c r="H51" i="10"/>
  <c r="H52" i="10"/>
  <c r="H53" i="10"/>
  <c r="H55" i="10"/>
  <c r="H56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F37" i="10"/>
  <c r="I24" i="10"/>
  <c r="I26" i="10"/>
  <c r="I27" i="10"/>
  <c r="I28" i="10"/>
  <c r="I29" i="10"/>
  <c r="I30" i="10"/>
  <c r="I31" i="10"/>
  <c r="I32" i="10"/>
  <c r="I33" i="10"/>
  <c r="I34" i="10"/>
  <c r="H26" i="10"/>
  <c r="H27" i="10"/>
  <c r="H28" i="10"/>
  <c r="H29" i="10"/>
  <c r="H30" i="10"/>
  <c r="H31" i="10"/>
  <c r="H32" i="10"/>
  <c r="H33" i="10"/>
  <c r="H34" i="10"/>
  <c r="G26" i="10"/>
  <c r="G27" i="10"/>
  <c r="G28" i="10"/>
  <c r="G29" i="10"/>
  <c r="G30" i="10"/>
  <c r="G31" i="10"/>
  <c r="G32" i="10"/>
  <c r="G33" i="10"/>
  <c r="G34" i="10"/>
  <c r="I19" i="10"/>
  <c r="I20" i="10"/>
  <c r="I21" i="10"/>
  <c r="I22" i="10"/>
  <c r="I23" i="10"/>
  <c r="I18" i="10"/>
  <c r="H19" i="10"/>
  <c r="H20" i="10"/>
  <c r="H21" i="10"/>
  <c r="H22" i="10"/>
  <c r="H23" i="10"/>
  <c r="H24" i="10"/>
  <c r="H18" i="10"/>
  <c r="G19" i="10"/>
  <c r="G20" i="10"/>
  <c r="G21" i="10"/>
  <c r="G22" i="10"/>
  <c r="G23" i="10"/>
  <c r="G24" i="10"/>
  <c r="G18" i="10"/>
  <c r="F17" i="10"/>
  <c r="F25" i="10"/>
  <c r="G25" i="10" s="1"/>
  <c r="F16" i="10" l="1"/>
  <c r="G16" i="10" s="1"/>
  <c r="G17" i="10"/>
  <c r="F35" i="10"/>
  <c r="F63" i="10" s="1"/>
  <c r="G37" i="10"/>
  <c r="G66" i="10"/>
  <c r="G35" i="10" l="1"/>
  <c r="F36" i="10"/>
  <c r="G63" i="10"/>
  <c r="F65" i="10"/>
  <c r="F70" i="10"/>
  <c r="G36" i="10" l="1"/>
  <c r="F75" i="10"/>
  <c r="G70" i="10"/>
  <c r="G65" i="10"/>
  <c r="F71" i="10" l="1"/>
  <c r="G75" i="10"/>
  <c r="G71" i="10" l="1"/>
  <c r="P69" i="10" l="1"/>
  <c r="O69" i="10"/>
  <c r="M69" i="10"/>
  <c r="L69" i="10"/>
  <c r="Q69" i="10" s="1"/>
  <c r="J66" i="10"/>
  <c r="J33" i="32" l="1"/>
  <c r="J33" i="33" s="1"/>
  <c r="J31" i="33" l="1"/>
  <c r="D33" i="33" l="1"/>
  <c r="F17" i="32" l="1"/>
  <c r="F16" i="32" s="1"/>
  <c r="F42" i="32"/>
  <c r="F51" i="32"/>
  <c r="F40" i="32" l="1"/>
  <c r="F41" i="32" s="1"/>
  <c r="J72" i="33"/>
  <c r="J27" i="32" l="1"/>
  <c r="J32" i="33" s="1"/>
  <c r="D64" i="32" l="1"/>
  <c r="D54" i="10" l="1"/>
  <c r="D54" i="33" s="1"/>
  <c r="O54" i="10"/>
  <c r="J54" i="10"/>
  <c r="D17" i="10"/>
  <c r="D25" i="10"/>
  <c r="D37" i="10"/>
  <c r="D48" i="10"/>
  <c r="D66" i="10"/>
  <c r="F61" i="32"/>
  <c r="H60" i="32"/>
  <c r="K51" i="33"/>
  <c r="K43" i="33"/>
  <c r="J46" i="33"/>
  <c r="I51" i="33"/>
  <c r="L49" i="33"/>
  <c r="H53" i="33"/>
  <c r="H39" i="33"/>
  <c r="H42" i="33"/>
  <c r="I44" i="33"/>
  <c r="D47" i="33"/>
  <c r="H47" i="33" s="1"/>
  <c r="M56" i="33"/>
  <c r="D58" i="33"/>
  <c r="H58" i="33" s="1"/>
  <c r="L59" i="33"/>
  <c r="D60" i="33"/>
  <c r="D11" i="32"/>
  <c r="J17" i="32"/>
  <c r="L21" i="33"/>
  <c r="F23" i="33"/>
  <c r="F24" i="33"/>
  <c r="F25" i="33"/>
  <c r="F27" i="33"/>
  <c r="F28" i="33"/>
  <c r="F29" i="33"/>
  <c r="F30" i="33"/>
  <c r="F31" i="33"/>
  <c r="F32" i="33"/>
  <c r="F33" i="33"/>
  <c r="F34" i="33"/>
  <c r="F35" i="33"/>
  <c r="D17" i="32"/>
  <c r="D27" i="32"/>
  <c r="D32" i="33" s="1"/>
  <c r="D42" i="32"/>
  <c r="I42" i="32" s="1"/>
  <c r="D51" i="32"/>
  <c r="L51" i="32" s="1"/>
  <c r="D26" i="33"/>
  <c r="J51" i="32"/>
  <c r="J42" i="32"/>
  <c r="J64" i="32"/>
  <c r="M64" i="32" s="1"/>
  <c r="J37" i="10"/>
  <c r="K37" i="10" s="1"/>
  <c r="J48" i="10"/>
  <c r="L48" i="10" s="1"/>
  <c r="K56" i="10"/>
  <c r="L56" i="10"/>
  <c r="M56" i="10"/>
  <c r="K55" i="10"/>
  <c r="L55" i="10"/>
  <c r="M55" i="10"/>
  <c r="N37" i="10"/>
  <c r="N48" i="10"/>
  <c r="Q48" i="10" s="1"/>
  <c r="O56" i="10"/>
  <c r="P56" i="10"/>
  <c r="Q56" i="10"/>
  <c r="O55" i="10"/>
  <c r="P55" i="10"/>
  <c r="Q55" i="10"/>
  <c r="C33" i="10"/>
  <c r="N18" i="33"/>
  <c r="N19" i="33"/>
  <c r="N20" i="33"/>
  <c r="N21" i="33"/>
  <c r="N22" i="33"/>
  <c r="O22" i="33" s="1"/>
  <c r="N23" i="33"/>
  <c r="N24" i="33"/>
  <c r="N25" i="33"/>
  <c r="N34" i="33"/>
  <c r="N35" i="33"/>
  <c r="N39" i="33"/>
  <c r="N40" i="33"/>
  <c r="N41" i="33"/>
  <c r="N42" i="33"/>
  <c r="N43" i="33"/>
  <c r="N44" i="33"/>
  <c r="N45" i="33"/>
  <c r="N46" i="33"/>
  <c r="N55" i="33"/>
  <c r="N59" i="33"/>
  <c r="O59" i="33" s="1"/>
  <c r="N65" i="33"/>
  <c r="N66" i="33"/>
  <c r="N67" i="33"/>
  <c r="O67" i="33" s="1"/>
  <c r="N70" i="33"/>
  <c r="N71" i="33"/>
  <c r="N73" i="33"/>
  <c r="I38" i="32"/>
  <c r="L14" i="32"/>
  <c r="D15" i="32"/>
  <c r="E15" i="32"/>
  <c r="F15" i="32"/>
  <c r="G15" i="32"/>
  <c r="H15" i="32"/>
  <c r="J15" i="32"/>
  <c r="K15" i="32"/>
  <c r="L15" i="32"/>
  <c r="C16" i="32"/>
  <c r="C17" i="32"/>
  <c r="C18" i="32"/>
  <c r="H18" i="32"/>
  <c r="I18" i="32"/>
  <c r="L18" i="32"/>
  <c r="M18" i="32"/>
  <c r="C19" i="32"/>
  <c r="H19" i="32"/>
  <c r="I19" i="32"/>
  <c r="L19" i="32"/>
  <c r="M19" i="32"/>
  <c r="H20" i="32"/>
  <c r="I20" i="32"/>
  <c r="L20" i="32"/>
  <c r="M20" i="32"/>
  <c r="C21" i="32"/>
  <c r="C22" i="32"/>
  <c r="H22" i="32"/>
  <c r="I22" i="32"/>
  <c r="L22" i="32"/>
  <c r="M22" i="32"/>
  <c r="C23" i="32"/>
  <c r="H23" i="32"/>
  <c r="I23" i="32"/>
  <c r="L23" i="32"/>
  <c r="M23" i="32"/>
  <c r="H24" i="32"/>
  <c r="I24" i="32"/>
  <c r="L24" i="32"/>
  <c r="M24" i="32"/>
  <c r="H25" i="32"/>
  <c r="I25" i="32"/>
  <c r="L25" i="32"/>
  <c r="M25" i="32"/>
  <c r="H26" i="32"/>
  <c r="I26" i="32"/>
  <c r="L26" i="32"/>
  <c r="M26" i="32"/>
  <c r="C27" i="32"/>
  <c r="C28" i="32"/>
  <c r="H28" i="32"/>
  <c r="I28" i="32"/>
  <c r="L28" i="32"/>
  <c r="M28" i="32"/>
  <c r="C29" i="32"/>
  <c r="H29" i="32"/>
  <c r="I29" i="32"/>
  <c r="L29" i="32"/>
  <c r="M29" i="32"/>
  <c r="H30" i="32"/>
  <c r="I30" i="32"/>
  <c r="L30" i="32"/>
  <c r="M30" i="32"/>
  <c r="H31" i="32"/>
  <c r="I31" i="32"/>
  <c r="L31" i="32"/>
  <c r="M31" i="32"/>
  <c r="C32" i="32"/>
  <c r="H32" i="32"/>
  <c r="I32" i="32"/>
  <c r="L32" i="32"/>
  <c r="M32" i="32"/>
  <c r="C33" i="32"/>
  <c r="C34" i="32"/>
  <c r="H34" i="32"/>
  <c r="I34" i="32"/>
  <c r="L34" i="32"/>
  <c r="M34" i="32"/>
  <c r="C35" i="32"/>
  <c r="H35" i="32"/>
  <c r="I35" i="32"/>
  <c r="L35" i="32"/>
  <c r="M35" i="32"/>
  <c r="C36" i="32"/>
  <c r="H36" i="32"/>
  <c r="I36" i="32"/>
  <c r="L36" i="32"/>
  <c r="M36" i="32"/>
  <c r="C37" i="32"/>
  <c r="H37" i="32"/>
  <c r="I37" i="32"/>
  <c r="L37" i="32"/>
  <c r="M37" i="32"/>
  <c r="C38" i="32"/>
  <c r="H38" i="32"/>
  <c r="L38" i="32"/>
  <c r="M38" i="32"/>
  <c r="H39" i="32"/>
  <c r="I39" i="32"/>
  <c r="L39" i="32"/>
  <c r="M39" i="32"/>
  <c r="C40" i="32"/>
  <c r="C41" i="32"/>
  <c r="C42" i="32"/>
  <c r="C43" i="32"/>
  <c r="H43" i="32"/>
  <c r="I43" i="32"/>
  <c r="L43" i="32"/>
  <c r="M43" i="32"/>
  <c r="C44" i="32"/>
  <c r="H44" i="32"/>
  <c r="I44" i="32"/>
  <c r="L44" i="32"/>
  <c r="M44" i="32"/>
  <c r="H45" i="32"/>
  <c r="I45" i="32"/>
  <c r="L45" i="32"/>
  <c r="M45" i="32"/>
  <c r="C46" i="32"/>
  <c r="H46" i="32"/>
  <c r="I46" i="32"/>
  <c r="L46" i="32"/>
  <c r="M46" i="32"/>
  <c r="C47" i="32"/>
  <c r="H47" i="32"/>
  <c r="I47" i="32"/>
  <c r="L47" i="32"/>
  <c r="M47" i="32"/>
  <c r="C48" i="32"/>
  <c r="H48" i="32"/>
  <c r="I48" i="32"/>
  <c r="L48" i="32"/>
  <c r="M48" i="32"/>
  <c r="C49" i="32"/>
  <c r="H49" i="32"/>
  <c r="I49" i="32"/>
  <c r="L49" i="32"/>
  <c r="M49" i="32"/>
  <c r="C50" i="32"/>
  <c r="H50" i="32"/>
  <c r="I50" i="32"/>
  <c r="L50" i="32"/>
  <c r="M50" i="32"/>
  <c r="C51" i="32"/>
  <c r="H52" i="32"/>
  <c r="I52" i="32"/>
  <c r="L52" i="32"/>
  <c r="M52" i="32"/>
  <c r="H53" i="32"/>
  <c r="I53" i="32"/>
  <c r="L53" i="32"/>
  <c r="M53" i="32"/>
  <c r="C54" i="32"/>
  <c r="C55" i="32"/>
  <c r="H55" i="32"/>
  <c r="I55" i="32"/>
  <c r="L55" i="32"/>
  <c r="M55" i="32"/>
  <c r="C56" i="32"/>
  <c r="H56" i="32"/>
  <c r="I56" i="32"/>
  <c r="L56" i="32"/>
  <c r="M56" i="32"/>
  <c r="C57" i="32"/>
  <c r="H57" i="32"/>
  <c r="I57" i="32"/>
  <c r="L57" i="32"/>
  <c r="M57" i="32"/>
  <c r="H58" i="32"/>
  <c r="I58" i="32"/>
  <c r="L58" i="32"/>
  <c r="M58" i="32"/>
  <c r="L60" i="32"/>
  <c r="C61" i="32"/>
  <c r="C63" i="32"/>
  <c r="C64" i="32"/>
  <c r="C65" i="32"/>
  <c r="H65" i="32"/>
  <c r="I65" i="32"/>
  <c r="L65" i="32"/>
  <c r="M65" i="32"/>
  <c r="C66" i="32"/>
  <c r="H66" i="32"/>
  <c r="I66" i="32"/>
  <c r="L66" i="32"/>
  <c r="M66" i="32"/>
  <c r="C67" i="32"/>
  <c r="H67" i="32"/>
  <c r="I67" i="32"/>
  <c r="L67" i="32"/>
  <c r="M67" i="32"/>
  <c r="C68" i="32"/>
  <c r="C69" i="32"/>
  <c r="C70" i="32"/>
  <c r="H70" i="32"/>
  <c r="I70" i="32"/>
  <c r="L70" i="32"/>
  <c r="M70" i="32"/>
  <c r="C71" i="32"/>
  <c r="H71" i="32"/>
  <c r="I71" i="32"/>
  <c r="L71" i="32"/>
  <c r="M71" i="32"/>
  <c r="C72" i="32"/>
  <c r="H72" i="32"/>
  <c r="I72" i="32"/>
  <c r="L72" i="32"/>
  <c r="M72" i="32"/>
  <c r="C73" i="32"/>
  <c r="H74" i="32"/>
  <c r="I74" i="32"/>
  <c r="L74" i="32"/>
  <c r="M74" i="32"/>
  <c r="I33" i="32"/>
  <c r="N33" i="33"/>
  <c r="M33" i="32"/>
  <c r="H17" i="32"/>
  <c r="L33" i="32"/>
  <c r="H33" i="32"/>
  <c r="I17" i="32"/>
  <c r="E56" i="10"/>
  <c r="E55" i="10"/>
  <c r="P74" i="10"/>
  <c r="E17" i="10"/>
  <c r="N66" i="10"/>
  <c r="O66" i="10" s="1"/>
  <c r="L66" i="10"/>
  <c r="N17" i="10"/>
  <c r="P17" i="10" s="1"/>
  <c r="N25" i="10"/>
  <c r="L74" i="10"/>
  <c r="Q74" i="10"/>
  <c r="L73" i="10"/>
  <c r="Q73" i="10" s="1"/>
  <c r="L72" i="10"/>
  <c r="Q72" i="10" s="1"/>
  <c r="Q59" i="10"/>
  <c r="Q58" i="10"/>
  <c r="Q57" i="10"/>
  <c r="Q53" i="10"/>
  <c r="Q52" i="10"/>
  <c r="Q51" i="10"/>
  <c r="Q50" i="10"/>
  <c r="Q49" i="10"/>
  <c r="Q47" i="10"/>
  <c r="Q46" i="10"/>
  <c r="Q45" i="10"/>
  <c r="Q44" i="10"/>
  <c r="Q43" i="10"/>
  <c r="Q42" i="10"/>
  <c r="Q41" i="10"/>
  <c r="Q40" i="10"/>
  <c r="Q39" i="10"/>
  <c r="Q38" i="10"/>
  <c r="Q34" i="10"/>
  <c r="Q33" i="10"/>
  <c r="Q32" i="10"/>
  <c r="Q31" i="10"/>
  <c r="Q30" i="10"/>
  <c r="Q29" i="10"/>
  <c r="Q28" i="10"/>
  <c r="Q27" i="10"/>
  <c r="Q26" i="10"/>
  <c r="Q24" i="10"/>
  <c r="Q23" i="10"/>
  <c r="Q22" i="10"/>
  <c r="Q21" i="10"/>
  <c r="Q20" i="10"/>
  <c r="Q19" i="10"/>
  <c r="Q18" i="10"/>
  <c r="P57" i="10"/>
  <c r="Q60" i="10"/>
  <c r="J25" i="10"/>
  <c r="V21" i="10" s="1"/>
  <c r="J17" i="10"/>
  <c r="M17" i="10" s="1"/>
  <c r="G79" i="36"/>
  <c r="J78" i="36"/>
  <c r="I78" i="36"/>
  <c r="H78" i="36"/>
  <c r="F78" i="36"/>
  <c r="D78" i="36"/>
  <c r="J77" i="36"/>
  <c r="I77" i="36"/>
  <c r="H77" i="36"/>
  <c r="F77" i="36"/>
  <c r="D77" i="36"/>
  <c r="J76" i="36"/>
  <c r="I76" i="36"/>
  <c r="H76" i="36"/>
  <c r="F76" i="36"/>
  <c r="D76" i="36"/>
  <c r="H74" i="36"/>
  <c r="J73" i="36"/>
  <c r="I73" i="36"/>
  <c r="H73" i="36"/>
  <c r="F73" i="36"/>
  <c r="D73" i="36"/>
  <c r="J72" i="36"/>
  <c r="I72" i="36"/>
  <c r="H72" i="36"/>
  <c r="F72" i="36"/>
  <c r="D72" i="36"/>
  <c r="J71" i="36"/>
  <c r="I71" i="36"/>
  <c r="H71" i="36"/>
  <c r="F71" i="36"/>
  <c r="D71" i="36"/>
  <c r="G70" i="36"/>
  <c r="H70" i="36"/>
  <c r="E70" i="36"/>
  <c r="F70" i="36" s="1"/>
  <c r="J70" i="36"/>
  <c r="C70" i="36"/>
  <c r="D70" i="36"/>
  <c r="J67" i="36"/>
  <c r="I67" i="36"/>
  <c r="H67" i="36"/>
  <c r="F67" i="36"/>
  <c r="D67" i="36"/>
  <c r="J66" i="36"/>
  <c r="I66" i="36"/>
  <c r="H66" i="36"/>
  <c r="F66" i="36"/>
  <c r="D66" i="36"/>
  <c r="J65" i="36"/>
  <c r="I65" i="36"/>
  <c r="H65" i="36"/>
  <c r="F65" i="36"/>
  <c r="D65" i="36"/>
  <c r="J64" i="36"/>
  <c r="I64" i="36"/>
  <c r="H64" i="36"/>
  <c r="F64" i="36"/>
  <c r="D64" i="36"/>
  <c r="J63" i="36"/>
  <c r="I63" i="36"/>
  <c r="H63" i="36"/>
  <c r="F63" i="36"/>
  <c r="D63" i="36"/>
  <c r="J62" i="36"/>
  <c r="I62" i="36"/>
  <c r="H62" i="36"/>
  <c r="F62" i="36"/>
  <c r="D62" i="36"/>
  <c r="J61" i="36"/>
  <c r="I61" i="36"/>
  <c r="H61" i="36"/>
  <c r="F61" i="36"/>
  <c r="D61" i="36"/>
  <c r="G60" i="36"/>
  <c r="E60" i="36"/>
  <c r="J60" i="36" s="1"/>
  <c r="C60" i="36"/>
  <c r="D60" i="36" s="1"/>
  <c r="J59" i="36"/>
  <c r="I59" i="36"/>
  <c r="H59" i="36"/>
  <c r="F59" i="36"/>
  <c r="D59" i="36"/>
  <c r="J58" i="36"/>
  <c r="I58" i="36"/>
  <c r="H58" i="36"/>
  <c r="F58" i="36"/>
  <c r="D58" i="36"/>
  <c r="J57" i="36"/>
  <c r="I57" i="36"/>
  <c r="H57" i="36"/>
  <c r="F57" i="36"/>
  <c r="D57" i="36"/>
  <c r="J56" i="36"/>
  <c r="I56" i="36"/>
  <c r="H56" i="36"/>
  <c r="F56" i="36"/>
  <c r="D56" i="36"/>
  <c r="J55" i="36"/>
  <c r="I55" i="36"/>
  <c r="H55" i="36"/>
  <c r="F55" i="36"/>
  <c r="D55" i="36"/>
  <c r="G54" i="36"/>
  <c r="I54" i="36" s="1"/>
  <c r="H54" i="36"/>
  <c r="E54" i="36"/>
  <c r="F54" i="36" s="1"/>
  <c r="C54" i="36"/>
  <c r="D54" i="36"/>
  <c r="J53" i="36"/>
  <c r="I53" i="36"/>
  <c r="H53" i="36"/>
  <c r="F53" i="36"/>
  <c r="D53" i="36"/>
  <c r="J52" i="36"/>
  <c r="I52" i="36"/>
  <c r="H52" i="36"/>
  <c r="F52" i="36"/>
  <c r="D52" i="36"/>
  <c r="J51" i="36"/>
  <c r="I51" i="36"/>
  <c r="H51" i="36"/>
  <c r="F51" i="36"/>
  <c r="D51" i="36"/>
  <c r="J50" i="36"/>
  <c r="I50" i="36"/>
  <c r="H50" i="36"/>
  <c r="F50" i="36"/>
  <c r="D50" i="36"/>
  <c r="J49" i="36"/>
  <c r="I49" i="36"/>
  <c r="H49" i="36"/>
  <c r="F49" i="36"/>
  <c r="D49" i="36"/>
  <c r="J48" i="36"/>
  <c r="I48" i="36"/>
  <c r="H48" i="36"/>
  <c r="F48" i="36"/>
  <c r="D48" i="36"/>
  <c r="J47" i="36"/>
  <c r="I47" i="36"/>
  <c r="H47" i="36"/>
  <c r="F47" i="36"/>
  <c r="D47" i="36"/>
  <c r="J46" i="36"/>
  <c r="I46" i="36"/>
  <c r="H46" i="36"/>
  <c r="F46" i="36"/>
  <c r="D46" i="36"/>
  <c r="J45" i="36"/>
  <c r="I45" i="36"/>
  <c r="H45" i="36"/>
  <c r="F45" i="36"/>
  <c r="D45" i="36"/>
  <c r="J44" i="36"/>
  <c r="I44" i="36"/>
  <c r="H44" i="36"/>
  <c r="F44" i="36"/>
  <c r="D44" i="36"/>
  <c r="G43" i="36"/>
  <c r="I43" i="36" s="1"/>
  <c r="E43" i="36"/>
  <c r="F43" i="36" s="1"/>
  <c r="C43" i="36"/>
  <c r="D43" i="36"/>
  <c r="J40" i="36"/>
  <c r="I40" i="36"/>
  <c r="H40" i="36"/>
  <c r="F40" i="36"/>
  <c r="D40" i="36"/>
  <c r="J39" i="36"/>
  <c r="I39" i="36"/>
  <c r="H39" i="36"/>
  <c r="F39" i="36"/>
  <c r="D39" i="36"/>
  <c r="J38" i="36"/>
  <c r="I38" i="36"/>
  <c r="H38" i="36"/>
  <c r="F38" i="36"/>
  <c r="D38" i="36"/>
  <c r="J37" i="36"/>
  <c r="I37" i="36"/>
  <c r="H37" i="36"/>
  <c r="F37" i="36"/>
  <c r="D37" i="36"/>
  <c r="J36" i="36"/>
  <c r="I36" i="36"/>
  <c r="H36" i="36"/>
  <c r="F36" i="36"/>
  <c r="D36" i="36"/>
  <c r="J35" i="36"/>
  <c r="I35" i="36"/>
  <c r="H35" i="36"/>
  <c r="F35" i="36"/>
  <c r="D35" i="36"/>
  <c r="G34" i="36"/>
  <c r="H34" i="36"/>
  <c r="E34" i="36"/>
  <c r="F34" i="36" s="1"/>
  <c r="C34" i="36"/>
  <c r="D34" i="36"/>
  <c r="J33" i="36"/>
  <c r="I33" i="36"/>
  <c r="H33" i="36"/>
  <c r="F33" i="36"/>
  <c r="D33" i="36"/>
  <c r="J32" i="36"/>
  <c r="I32" i="36"/>
  <c r="H32" i="36"/>
  <c r="F32" i="36"/>
  <c r="D32" i="36"/>
  <c r="J31" i="36"/>
  <c r="I31" i="36"/>
  <c r="H31" i="36"/>
  <c r="F31" i="36"/>
  <c r="D31" i="36"/>
  <c r="J30" i="36"/>
  <c r="I30" i="36"/>
  <c r="H30" i="36"/>
  <c r="F30" i="36"/>
  <c r="D30" i="36"/>
  <c r="J29" i="36"/>
  <c r="I29" i="36"/>
  <c r="H29" i="36"/>
  <c r="F29" i="36"/>
  <c r="D29" i="36"/>
  <c r="J28" i="36"/>
  <c r="I28" i="36"/>
  <c r="H28" i="36"/>
  <c r="F28" i="36"/>
  <c r="D28" i="36"/>
  <c r="G27" i="36"/>
  <c r="E27" i="36"/>
  <c r="J27" i="36" s="1"/>
  <c r="F27" i="36"/>
  <c r="C27" i="36"/>
  <c r="D27" i="36" s="1"/>
  <c r="J26" i="36"/>
  <c r="I26" i="36"/>
  <c r="H26" i="36"/>
  <c r="F26" i="36"/>
  <c r="D26" i="36"/>
  <c r="J25" i="36"/>
  <c r="I25" i="36"/>
  <c r="H25" i="36"/>
  <c r="F25" i="36"/>
  <c r="D25" i="36"/>
  <c r="J24" i="36"/>
  <c r="I24" i="36"/>
  <c r="H24" i="36"/>
  <c r="F24" i="36"/>
  <c r="D24" i="36"/>
  <c r="J23" i="36"/>
  <c r="I23" i="36"/>
  <c r="H23" i="36"/>
  <c r="F23" i="36"/>
  <c r="D23" i="36"/>
  <c r="G22" i="36"/>
  <c r="J22" i="36" s="1"/>
  <c r="H22" i="36"/>
  <c r="E22" i="36"/>
  <c r="F22" i="36" s="1"/>
  <c r="C22" i="36"/>
  <c r="D22" i="36"/>
  <c r="J21" i="36"/>
  <c r="I21" i="36"/>
  <c r="H21" i="36"/>
  <c r="F21" i="36"/>
  <c r="D21" i="36"/>
  <c r="J20" i="36"/>
  <c r="I20" i="36"/>
  <c r="H20" i="36"/>
  <c r="F20" i="36"/>
  <c r="D20" i="36"/>
  <c r="J19" i="36"/>
  <c r="I19" i="36"/>
  <c r="H19" i="36"/>
  <c r="F19" i="36"/>
  <c r="D19" i="36"/>
  <c r="L18" i="36"/>
  <c r="J18" i="36"/>
  <c r="I18" i="36"/>
  <c r="H18" i="36"/>
  <c r="F18" i="36"/>
  <c r="D18" i="36"/>
  <c r="G17" i="36"/>
  <c r="E17" i="36"/>
  <c r="J17" i="36" s="1"/>
  <c r="F17" i="36"/>
  <c r="C17" i="36"/>
  <c r="D17" i="36" s="1"/>
  <c r="J16" i="36"/>
  <c r="I16" i="36"/>
  <c r="H16" i="36"/>
  <c r="F16" i="36"/>
  <c r="D16" i="36"/>
  <c r="J15" i="36"/>
  <c r="I15" i="36"/>
  <c r="H15" i="36"/>
  <c r="F15" i="36"/>
  <c r="D15" i="36"/>
  <c r="J14" i="36"/>
  <c r="I14" i="36"/>
  <c r="H14" i="36"/>
  <c r="F14" i="36"/>
  <c r="D14" i="36"/>
  <c r="M13" i="36"/>
  <c r="L13" i="36"/>
  <c r="J13" i="36"/>
  <c r="I13" i="36"/>
  <c r="H13" i="36"/>
  <c r="F13" i="36"/>
  <c r="D13" i="36"/>
  <c r="J12" i="36"/>
  <c r="I12" i="36"/>
  <c r="H12" i="36"/>
  <c r="F12" i="36"/>
  <c r="D12" i="36"/>
  <c r="J11" i="36"/>
  <c r="I11" i="36"/>
  <c r="H11" i="36"/>
  <c r="F11" i="36"/>
  <c r="D11" i="36"/>
  <c r="J10" i="36"/>
  <c r="I10" i="36"/>
  <c r="H10" i="36"/>
  <c r="F10" i="36"/>
  <c r="D10" i="36"/>
  <c r="G9" i="36"/>
  <c r="G8" i="36" s="1"/>
  <c r="E9" i="36"/>
  <c r="F9" i="36" s="1"/>
  <c r="C9" i="36"/>
  <c r="D9" i="36" s="1"/>
  <c r="C8" i="36"/>
  <c r="C68" i="36" s="1"/>
  <c r="D7" i="36"/>
  <c r="C7" i="36"/>
  <c r="P7" i="31"/>
  <c r="P6" i="31"/>
  <c r="P5" i="31"/>
  <c r="E22" i="30"/>
  <c r="E21" i="30"/>
  <c r="E20" i="30"/>
  <c r="E19" i="30"/>
  <c r="E18" i="30"/>
  <c r="G18" i="30" s="1"/>
  <c r="E15" i="30"/>
  <c r="E14" i="30"/>
  <c r="E13" i="30"/>
  <c r="E12" i="30" s="1"/>
  <c r="G12" i="30" s="1"/>
  <c r="E11" i="30"/>
  <c r="E9" i="30"/>
  <c r="E8" i="30"/>
  <c r="E7" i="30" s="1"/>
  <c r="G7" i="30" s="1"/>
  <c r="D58" i="29"/>
  <c r="D56" i="29" s="1"/>
  <c r="D55" i="29" s="1"/>
  <c r="D57" i="29"/>
  <c r="D53" i="29"/>
  <c r="D52" i="29" s="1"/>
  <c r="D45" i="29"/>
  <c r="D44" i="29"/>
  <c r="D37" i="29"/>
  <c r="D36" i="29" s="1"/>
  <c r="D35" i="29"/>
  <c r="D34" i="29"/>
  <c r="D33" i="29"/>
  <c r="D32" i="29"/>
  <c r="D31" i="29"/>
  <c r="D30" i="29"/>
  <c r="D29" i="29"/>
  <c r="D28" i="29"/>
  <c r="D27" i="29"/>
  <c r="D26" i="29"/>
  <c r="D25" i="29"/>
  <c r="D24" i="29" s="1"/>
  <c r="E6" i="30" s="1"/>
  <c r="D20" i="29"/>
  <c r="D19" i="29"/>
  <c r="D23" i="29"/>
  <c r="D22" i="29"/>
  <c r="D21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E5" i="30" s="1"/>
  <c r="F4" i="29"/>
  <c r="C75" i="33"/>
  <c r="J67" i="33"/>
  <c r="C34" i="33"/>
  <c r="C33" i="33"/>
  <c r="C32" i="33"/>
  <c r="C31" i="33"/>
  <c r="O30" i="33"/>
  <c r="C30" i="33"/>
  <c r="C29" i="33"/>
  <c r="C28" i="33"/>
  <c r="O27" i="33"/>
  <c r="C27" i="33"/>
  <c r="C26" i="33"/>
  <c r="C23" i="33"/>
  <c r="C22" i="33"/>
  <c r="C21" i="33"/>
  <c r="C20" i="33"/>
  <c r="C19" i="33"/>
  <c r="C18" i="33"/>
  <c r="C17" i="33"/>
  <c r="C16" i="33"/>
  <c r="L15" i="33"/>
  <c r="K15" i="33"/>
  <c r="J15" i="33"/>
  <c r="H15" i="33"/>
  <c r="G15" i="33"/>
  <c r="F15" i="33"/>
  <c r="E15" i="33"/>
  <c r="D15" i="33"/>
  <c r="C15" i="33"/>
  <c r="L14" i="33"/>
  <c r="D11" i="33"/>
  <c r="E52" i="33" s="1"/>
  <c r="C11" i="33"/>
  <c r="C75" i="32"/>
  <c r="K29" i="32"/>
  <c r="C76" i="10"/>
  <c r="O25" i="10"/>
  <c r="O74" i="10"/>
  <c r="M74" i="10"/>
  <c r="K74" i="10"/>
  <c r="E74" i="10"/>
  <c r="P73" i="10"/>
  <c r="O73" i="10"/>
  <c r="M73" i="10"/>
  <c r="K73" i="10"/>
  <c r="E73" i="10"/>
  <c r="P72" i="10"/>
  <c r="O72" i="10"/>
  <c r="M72" i="10"/>
  <c r="K72" i="10"/>
  <c r="E72" i="10"/>
  <c r="K69" i="10"/>
  <c r="E69" i="10"/>
  <c r="P68" i="10"/>
  <c r="O68" i="10"/>
  <c r="M68" i="10"/>
  <c r="L68" i="10"/>
  <c r="Q68" i="10" s="1"/>
  <c r="K68" i="10"/>
  <c r="E68" i="10"/>
  <c r="P67" i="10"/>
  <c r="O67" i="10"/>
  <c r="M67" i="10"/>
  <c r="L67" i="10"/>
  <c r="Q67" i="10" s="1"/>
  <c r="K67" i="10"/>
  <c r="E67" i="10"/>
  <c r="K66" i="10"/>
  <c r="P62" i="10"/>
  <c r="O62" i="10"/>
  <c r="M62" i="10"/>
  <c r="L62" i="10"/>
  <c r="Q62" i="10" s="1"/>
  <c r="K62" i="10"/>
  <c r="E62" i="10"/>
  <c r="P61" i="10"/>
  <c r="O61" i="10"/>
  <c r="M61" i="10"/>
  <c r="L61" i="10"/>
  <c r="Q61" i="10" s="1"/>
  <c r="K61" i="10"/>
  <c r="E61" i="10"/>
  <c r="P60" i="10"/>
  <c r="O60" i="10"/>
  <c r="M60" i="10"/>
  <c r="L60" i="10"/>
  <c r="K60" i="10"/>
  <c r="E60" i="10"/>
  <c r="P59" i="10"/>
  <c r="O59" i="10"/>
  <c r="M59" i="10"/>
  <c r="L59" i="10"/>
  <c r="K59" i="10"/>
  <c r="E59" i="10"/>
  <c r="P58" i="10"/>
  <c r="O58" i="10"/>
  <c r="M58" i="10"/>
  <c r="L58" i="10"/>
  <c r="K58" i="10"/>
  <c r="E58" i="10"/>
  <c r="O57" i="10"/>
  <c r="M57" i="10"/>
  <c r="L57" i="10"/>
  <c r="K57" i="10"/>
  <c r="E57" i="10"/>
  <c r="P54" i="10"/>
  <c r="M54" i="10"/>
  <c r="E54" i="10"/>
  <c r="P53" i="10"/>
  <c r="O53" i="10"/>
  <c r="M53" i="10"/>
  <c r="L53" i="10"/>
  <c r="K53" i="10"/>
  <c r="E53" i="10"/>
  <c r="P52" i="10"/>
  <c r="O52" i="10"/>
  <c r="M52" i="10"/>
  <c r="L52" i="10"/>
  <c r="K52" i="10"/>
  <c r="E52" i="10"/>
  <c r="P51" i="10"/>
  <c r="O51" i="10"/>
  <c r="M51" i="10"/>
  <c r="L51" i="10"/>
  <c r="K51" i="10"/>
  <c r="E51" i="10"/>
  <c r="P50" i="10"/>
  <c r="O50" i="10"/>
  <c r="M50" i="10"/>
  <c r="L50" i="10"/>
  <c r="K50" i="10"/>
  <c r="E50" i="10"/>
  <c r="P49" i="10"/>
  <c r="O49" i="10"/>
  <c r="M49" i="10"/>
  <c r="L49" i="10"/>
  <c r="K49" i="10"/>
  <c r="E49" i="10"/>
  <c r="O48" i="10"/>
  <c r="P47" i="10"/>
  <c r="O47" i="10"/>
  <c r="M47" i="10"/>
  <c r="L47" i="10"/>
  <c r="K47" i="10"/>
  <c r="E47" i="10"/>
  <c r="P46" i="10"/>
  <c r="O46" i="10"/>
  <c r="M46" i="10"/>
  <c r="L46" i="10"/>
  <c r="K46" i="10"/>
  <c r="E46" i="10"/>
  <c r="P45" i="10"/>
  <c r="O45" i="10"/>
  <c r="M45" i="10"/>
  <c r="L45" i="10"/>
  <c r="K45" i="10"/>
  <c r="E45" i="10"/>
  <c r="P44" i="10"/>
  <c r="O44" i="10"/>
  <c r="M44" i="10"/>
  <c r="L44" i="10"/>
  <c r="K44" i="10"/>
  <c r="E44" i="10"/>
  <c r="P43" i="10"/>
  <c r="O43" i="10"/>
  <c r="M43" i="10"/>
  <c r="L43" i="10"/>
  <c r="K43" i="10"/>
  <c r="E43" i="10"/>
  <c r="P42" i="10"/>
  <c r="O42" i="10"/>
  <c r="M42" i="10"/>
  <c r="L42" i="10"/>
  <c r="K42" i="10"/>
  <c r="E42" i="10"/>
  <c r="P41" i="10"/>
  <c r="O41" i="10"/>
  <c r="M41" i="10"/>
  <c r="L41" i="10"/>
  <c r="K41" i="10"/>
  <c r="E41" i="10"/>
  <c r="P40" i="10"/>
  <c r="O40" i="10"/>
  <c r="M40" i="10"/>
  <c r="L40" i="10"/>
  <c r="K40" i="10"/>
  <c r="E40" i="10"/>
  <c r="P39" i="10"/>
  <c r="O39" i="10"/>
  <c r="M39" i="10"/>
  <c r="L39" i="10"/>
  <c r="K39" i="10"/>
  <c r="E39" i="10"/>
  <c r="P38" i="10"/>
  <c r="O38" i="10"/>
  <c r="M38" i="10"/>
  <c r="L38" i="10"/>
  <c r="K38" i="10"/>
  <c r="E38" i="10"/>
  <c r="P34" i="10"/>
  <c r="O34" i="10"/>
  <c r="M34" i="10"/>
  <c r="L34" i="10"/>
  <c r="K34" i="10"/>
  <c r="E34" i="10"/>
  <c r="P33" i="10"/>
  <c r="O33" i="10"/>
  <c r="M33" i="10"/>
  <c r="L33" i="10"/>
  <c r="K33" i="10"/>
  <c r="E33" i="10"/>
  <c r="P32" i="10"/>
  <c r="O32" i="10"/>
  <c r="M32" i="10"/>
  <c r="L32" i="10"/>
  <c r="K32" i="10"/>
  <c r="E32" i="10"/>
  <c r="C32" i="10"/>
  <c r="P31" i="10"/>
  <c r="O31" i="10"/>
  <c r="M31" i="10"/>
  <c r="L31" i="10"/>
  <c r="K31" i="10"/>
  <c r="E31" i="10"/>
  <c r="C31" i="10"/>
  <c r="P30" i="10"/>
  <c r="O30" i="10"/>
  <c r="M30" i="10"/>
  <c r="L30" i="10"/>
  <c r="K30" i="10"/>
  <c r="E30" i="10"/>
  <c r="C30" i="10"/>
  <c r="P29" i="10"/>
  <c r="O29" i="10"/>
  <c r="M29" i="10"/>
  <c r="L29" i="10"/>
  <c r="K29" i="10"/>
  <c r="E29" i="10"/>
  <c r="C29" i="10"/>
  <c r="P28" i="10"/>
  <c r="O28" i="10"/>
  <c r="M28" i="10"/>
  <c r="L28" i="10"/>
  <c r="K28" i="10"/>
  <c r="E28" i="10"/>
  <c r="C28" i="10"/>
  <c r="P27" i="10"/>
  <c r="O27" i="10"/>
  <c r="M27" i="10"/>
  <c r="L27" i="10"/>
  <c r="K27" i="10"/>
  <c r="E27" i="10"/>
  <c r="C27" i="10"/>
  <c r="P26" i="10"/>
  <c r="O26" i="10"/>
  <c r="M26" i="10"/>
  <c r="L26" i="10"/>
  <c r="K26" i="10"/>
  <c r="E26" i="10"/>
  <c r="C26" i="10"/>
  <c r="C25" i="10"/>
  <c r="P24" i="10"/>
  <c r="O24" i="10"/>
  <c r="M24" i="10"/>
  <c r="L24" i="10"/>
  <c r="K24" i="10"/>
  <c r="E24" i="10"/>
  <c r="P23" i="10"/>
  <c r="O23" i="10"/>
  <c r="M23" i="10"/>
  <c r="L23" i="10"/>
  <c r="K23" i="10"/>
  <c r="E23" i="10"/>
  <c r="C23" i="10"/>
  <c r="U22" i="10"/>
  <c r="T22" i="10"/>
  <c r="P22" i="10"/>
  <c r="O22" i="10"/>
  <c r="M22" i="10"/>
  <c r="L22" i="10"/>
  <c r="K22" i="10"/>
  <c r="E22" i="10"/>
  <c r="C22" i="10"/>
  <c r="U21" i="10"/>
  <c r="T21" i="10"/>
  <c r="P21" i="10"/>
  <c r="O21" i="10"/>
  <c r="M21" i="10"/>
  <c r="L21" i="10"/>
  <c r="K21" i="10"/>
  <c r="E21" i="10"/>
  <c r="C21" i="10"/>
  <c r="V20" i="10"/>
  <c r="U20" i="10"/>
  <c r="T20" i="10"/>
  <c r="P20" i="10"/>
  <c r="O20" i="10"/>
  <c r="M20" i="10"/>
  <c r="L20" i="10"/>
  <c r="K20" i="10"/>
  <c r="E20" i="10"/>
  <c r="C20" i="10"/>
  <c r="P19" i="10"/>
  <c r="O19" i="10"/>
  <c r="M19" i="10"/>
  <c r="L19" i="10"/>
  <c r="K19" i="10"/>
  <c r="E19" i="10"/>
  <c r="C19" i="10"/>
  <c r="P18" i="10"/>
  <c r="O18" i="10"/>
  <c r="M18" i="10"/>
  <c r="L18" i="10"/>
  <c r="K18" i="10"/>
  <c r="E18" i="10"/>
  <c r="C18" i="10"/>
  <c r="C17" i="10"/>
  <c r="C16" i="10"/>
  <c r="E15" i="10"/>
  <c r="D15" i="10"/>
  <c r="C15" i="10"/>
  <c r="P14" i="10"/>
  <c r="C14" i="10"/>
  <c r="C11" i="10"/>
  <c r="C11" i="32"/>
  <c r="N9" i="10"/>
  <c r="N8" i="10"/>
  <c r="E25" i="10"/>
  <c r="I27" i="36"/>
  <c r="I22" i="36"/>
  <c r="H27" i="36"/>
  <c r="H43" i="36"/>
  <c r="I70" i="36"/>
  <c r="V22" i="10"/>
  <c r="P25" i="10"/>
  <c r="I17" i="36"/>
  <c r="H60" i="36"/>
  <c r="G41" i="36"/>
  <c r="I41" i="36" s="1"/>
  <c r="E41" i="36"/>
  <c r="F41" i="36" s="1"/>
  <c r="H79" i="36"/>
  <c r="G75" i="36"/>
  <c r="H75" i="36" s="1"/>
  <c r="Q25" i="10"/>
  <c r="H17" i="36"/>
  <c r="F60" i="36"/>
  <c r="G42" i="36"/>
  <c r="H41" i="36"/>
  <c r="O37" i="10"/>
  <c r="N26" i="33"/>
  <c r="Q17" i="10"/>
  <c r="H42" i="36"/>
  <c r="J41" i="36"/>
  <c r="C41" i="36"/>
  <c r="C42" i="36" s="1"/>
  <c r="D42" i="36" s="1"/>
  <c r="K17" i="10"/>
  <c r="M66" i="10"/>
  <c r="G41" i="32"/>
  <c r="E22" i="32"/>
  <c r="E23" i="32"/>
  <c r="G24" i="32"/>
  <c r="E28" i="32"/>
  <c r="E29" i="32"/>
  <c r="G30" i="32"/>
  <c r="G39" i="32"/>
  <c r="E43" i="32"/>
  <c r="E44" i="32"/>
  <c r="E45" i="32"/>
  <c r="G46" i="32"/>
  <c r="G47" i="32"/>
  <c r="G48" i="32"/>
  <c r="G49" i="32"/>
  <c r="G50" i="32"/>
  <c r="E53" i="32"/>
  <c r="E58" i="32"/>
  <c r="G60" i="32"/>
  <c r="G65" i="32"/>
  <c r="G66" i="32"/>
  <c r="G67" i="32"/>
  <c r="E39" i="32"/>
  <c r="E47" i="32"/>
  <c r="E20" i="32"/>
  <c r="G22" i="32"/>
  <c r="G23" i="32"/>
  <c r="E26" i="32"/>
  <c r="G28" i="32"/>
  <c r="G29" i="32"/>
  <c r="E34" i="32"/>
  <c r="E35" i="32"/>
  <c r="E36" i="32"/>
  <c r="E37" i="32"/>
  <c r="E38" i="32"/>
  <c r="G43" i="32"/>
  <c r="G44" i="32"/>
  <c r="G45" i="32"/>
  <c r="E52" i="32"/>
  <c r="G53" i="32"/>
  <c r="E55" i="32"/>
  <c r="E56" i="32"/>
  <c r="E57" i="32"/>
  <c r="G58" i="32"/>
  <c r="E70" i="32"/>
  <c r="E71" i="32"/>
  <c r="E72" i="32"/>
  <c r="E24" i="32"/>
  <c r="G25" i="32"/>
  <c r="E30" i="32"/>
  <c r="E48" i="32"/>
  <c r="E18" i="32"/>
  <c r="E19" i="32"/>
  <c r="G20" i="32"/>
  <c r="E25" i="32"/>
  <c r="G26" i="32"/>
  <c r="E31" i="32"/>
  <c r="E32" i="32"/>
  <c r="G34" i="32"/>
  <c r="G35" i="32"/>
  <c r="G36" i="32"/>
  <c r="G37" i="32"/>
  <c r="G38" i="32"/>
  <c r="G51" i="32"/>
  <c r="G52" i="32"/>
  <c r="G55" i="32"/>
  <c r="G56" i="32"/>
  <c r="G57" i="32"/>
  <c r="G70" i="32"/>
  <c r="G71" i="32"/>
  <c r="G72" i="32"/>
  <c r="G18" i="32"/>
  <c r="G19" i="32"/>
  <c r="G31" i="32"/>
  <c r="G32" i="32"/>
  <c r="E33" i="32"/>
  <c r="E46" i="32"/>
  <c r="E49" i="32"/>
  <c r="G54" i="32"/>
  <c r="E67" i="32"/>
  <c r="E74" i="32"/>
  <c r="E50" i="32"/>
  <c r="E60" i="32"/>
  <c r="E66" i="32"/>
  <c r="E65" i="32"/>
  <c r="G27" i="32"/>
  <c r="G42" i="32"/>
  <c r="G16" i="32"/>
  <c r="G17" i="32"/>
  <c r="G33" i="32"/>
  <c r="G21" i="32"/>
  <c r="G40" i="32"/>
  <c r="K38" i="32"/>
  <c r="K35" i="32"/>
  <c r="K72" i="32"/>
  <c r="K74" i="32"/>
  <c r="K57" i="33"/>
  <c r="M41" i="33"/>
  <c r="H40" i="33"/>
  <c r="K45" i="33"/>
  <c r="I40" i="33"/>
  <c r="L52" i="33"/>
  <c r="M52" i="33"/>
  <c r="M57" i="33"/>
  <c r="I52" i="33"/>
  <c r="H52" i="33"/>
  <c r="D41" i="36"/>
  <c r="H51" i="32" l="1"/>
  <c r="E51" i="32"/>
  <c r="I51" i="32"/>
  <c r="G64" i="32"/>
  <c r="E17" i="32"/>
  <c r="L47" i="33"/>
  <c r="M51" i="32"/>
  <c r="N17" i="33"/>
  <c r="M17" i="32"/>
  <c r="H21" i="32"/>
  <c r="D31" i="33"/>
  <c r="M31" i="33" s="1"/>
  <c r="G74" i="32"/>
  <c r="K51" i="32"/>
  <c r="N35" i="10"/>
  <c r="N36" i="10" s="1"/>
  <c r="O36" i="10" s="1"/>
  <c r="P37" i="10"/>
  <c r="L54" i="10"/>
  <c r="H54" i="10"/>
  <c r="I54" i="10"/>
  <c r="I66" i="10"/>
  <c r="H66" i="10"/>
  <c r="E66" i="10"/>
  <c r="H48" i="10"/>
  <c r="I48" i="10"/>
  <c r="P48" i="10"/>
  <c r="E48" i="10"/>
  <c r="N48" i="33"/>
  <c r="E37" i="10"/>
  <c r="I37" i="10"/>
  <c r="H37" i="10"/>
  <c r="I47" i="33"/>
  <c r="I25" i="10"/>
  <c r="H25" i="10"/>
  <c r="I17" i="10"/>
  <c r="H17" i="10"/>
  <c r="D16" i="10"/>
  <c r="E46" i="33"/>
  <c r="E73" i="33"/>
  <c r="K50" i="32"/>
  <c r="K25" i="32"/>
  <c r="K57" i="32"/>
  <c r="K48" i="32"/>
  <c r="K22" i="32"/>
  <c r="G43" i="33"/>
  <c r="K47" i="32"/>
  <c r="E18" i="33"/>
  <c r="K33" i="32"/>
  <c r="K19" i="32"/>
  <c r="K55" i="32"/>
  <c r="E47" i="33"/>
  <c r="K49" i="32"/>
  <c r="K30" i="32"/>
  <c r="K36" i="32"/>
  <c r="K44" i="32"/>
  <c r="D68" i="36"/>
  <c r="C74" i="36"/>
  <c r="C69" i="36"/>
  <c r="D69" i="36" s="1"/>
  <c r="G68" i="36"/>
  <c r="L16" i="36"/>
  <c r="H8" i="36"/>
  <c r="E4" i="30"/>
  <c r="L17" i="10"/>
  <c r="J43" i="36"/>
  <c r="L42" i="32"/>
  <c r="J40" i="32"/>
  <c r="K40" i="32" s="1"/>
  <c r="J42" i="36"/>
  <c r="K27" i="32"/>
  <c r="K67" i="32"/>
  <c r="K39" i="32"/>
  <c r="K32" i="32"/>
  <c r="K18" i="32"/>
  <c r="K71" i="32"/>
  <c r="K34" i="32"/>
  <c r="K53" i="32"/>
  <c r="J9" i="36"/>
  <c r="E8" i="36"/>
  <c r="D8" i="36"/>
  <c r="I60" i="36"/>
  <c r="J54" i="36"/>
  <c r="K54" i="10"/>
  <c r="N31" i="33"/>
  <c r="I34" i="36"/>
  <c r="D5" i="29"/>
  <c r="D4" i="29" s="1"/>
  <c r="G4" i="29" s="1"/>
  <c r="H9" i="36"/>
  <c r="J34" i="36"/>
  <c r="E41" i="33"/>
  <c r="Q37" i="10"/>
  <c r="K65" i="32"/>
  <c r="K66" i="32"/>
  <c r="K24" i="32"/>
  <c r="K31" i="32"/>
  <c r="K46" i="32"/>
  <c r="K70" i="32"/>
  <c r="K52" i="32"/>
  <c r="K20" i="32"/>
  <c r="K45" i="32"/>
  <c r="K28" i="32"/>
  <c r="E42" i="36"/>
  <c r="F42" i="36" s="1"/>
  <c r="I9" i="36"/>
  <c r="M37" i="10"/>
  <c r="F63" i="32"/>
  <c r="G63" i="32" s="1"/>
  <c r="F68" i="32"/>
  <c r="O25" i="33"/>
  <c r="O21" i="33"/>
  <c r="K56" i="32"/>
  <c r="K37" i="32"/>
  <c r="K26" i="32"/>
  <c r="K58" i="32"/>
  <c r="K43" i="32"/>
  <c r="K23" i="32"/>
  <c r="I58" i="33"/>
  <c r="M47" i="33"/>
  <c r="E25" i="33"/>
  <c r="O24" i="33"/>
  <c r="O20" i="33"/>
  <c r="K54" i="32"/>
  <c r="G67" i="33"/>
  <c r="G50" i="33"/>
  <c r="G47" i="33"/>
  <c r="E21" i="33"/>
  <c r="G58" i="33"/>
  <c r="K53" i="33"/>
  <c r="K50" i="33"/>
  <c r="J38" i="33"/>
  <c r="K38" i="33" s="1"/>
  <c r="I46" i="33"/>
  <c r="E57" i="33"/>
  <c r="O46" i="33"/>
  <c r="O42" i="33"/>
  <c r="E33" i="33"/>
  <c r="O19" i="33"/>
  <c r="K64" i="32"/>
  <c r="Q66" i="10"/>
  <c r="P66" i="10"/>
  <c r="L58" i="33"/>
  <c r="H46" i="33"/>
  <c r="I42" i="33"/>
  <c r="L40" i="33"/>
  <c r="G42" i="33"/>
  <c r="K42" i="32"/>
  <c r="L17" i="32"/>
  <c r="K17" i="32"/>
  <c r="O73" i="33"/>
  <c r="D64" i="33"/>
  <c r="E64" i="33" s="1"/>
  <c r="M59" i="33"/>
  <c r="O45" i="33"/>
  <c r="I45" i="33"/>
  <c r="L39" i="33"/>
  <c r="O39" i="33"/>
  <c r="O35" i="33"/>
  <c r="H32" i="33"/>
  <c r="H27" i="32"/>
  <c r="Q54" i="10"/>
  <c r="M58" i="33"/>
  <c r="K59" i="33"/>
  <c r="L51" i="33"/>
  <c r="M51" i="33"/>
  <c r="O35" i="10"/>
  <c r="O17" i="10"/>
  <c r="N16" i="10"/>
  <c r="N63" i="10" s="1"/>
  <c r="J35" i="10"/>
  <c r="J36" i="10" s="1"/>
  <c r="K36" i="10" s="1"/>
  <c r="M48" i="10"/>
  <c r="K48" i="10"/>
  <c r="M25" i="10"/>
  <c r="K35" i="10"/>
  <c r="L37" i="10"/>
  <c r="J16" i="10"/>
  <c r="L25" i="10"/>
  <c r="K25" i="10"/>
  <c r="O65" i="33"/>
  <c r="O66" i="33"/>
  <c r="E65" i="33"/>
  <c r="I66" i="33"/>
  <c r="D48" i="33"/>
  <c r="H49" i="33"/>
  <c r="I49" i="33"/>
  <c r="L45" i="33"/>
  <c r="D35" i="10"/>
  <c r="O26" i="33"/>
  <c r="E16" i="10"/>
  <c r="O18" i="33"/>
  <c r="O23" i="33"/>
  <c r="E22" i="33"/>
  <c r="L22" i="33"/>
  <c r="M18" i="33"/>
  <c r="E19" i="33"/>
  <c r="G53" i="33"/>
  <c r="G59" i="33"/>
  <c r="G44" i="33"/>
  <c r="G41" i="33"/>
  <c r="G56" i="33"/>
  <c r="E49" i="33"/>
  <c r="E35" i="33"/>
  <c r="E58" i="33"/>
  <c r="E44" i="33"/>
  <c r="E66" i="33"/>
  <c r="E45" i="33"/>
  <c r="G52" i="33"/>
  <c r="E34" i="33"/>
  <c r="E24" i="33"/>
  <c r="E20" i="33"/>
  <c r="G33" i="33"/>
  <c r="G29" i="33"/>
  <c r="G24" i="33"/>
  <c r="G20" i="33"/>
  <c r="E60" i="33"/>
  <c r="G40" i="33"/>
  <c r="G57" i="33"/>
  <c r="I57" i="33"/>
  <c r="H41" i="33"/>
  <c r="H45" i="33"/>
  <c r="G61" i="32"/>
  <c r="H57" i="33"/>
  <c r="E56" i="33"/>
  <c r="H56" i="33"/>
  <c r="L57" i="33"/>
  <c r="K60" i="32"/>
  <c r="G54" i="33"/>
  <c r="I56" i="33"/>
  <c r="F38" i="33"/>
  <c r="G38" i="33" s="1"/>
  <c r="K27" i="33"/>
  <c r="L41" i="33"/>
  <c r="I41" i="33"/>
  <c r="K58" i="33"/>
  <c r="L50" i="33"/>
  <c r="G51" i="33"/>
  <c r="K67" i="33"/>
  <c r="O34" i="33"/>
  <c r="G73" i="33"/>
  <c r="G28" i="33"/>
  <c r="G23" i="33"/>
  <c r="I19" i="33"/>
  <c r="L34" i="33"/>
  <c r="K30" i="33"/>
  <c r="K25" i="33"/>
  <c r="E43" i="33"/>
  <c r="E40" i="33"/>
  <c r="F48" i="33"/>
  <c r="G48" i="33" s="1"/>
  <c r="L56" i="33"/>
  <c r="K60" i="33"/>
  <c r="O71" i="33"/>
  <c r="M53" i="33"/>
  <c r="H44" i="33"/>
  <c r="I53" i="33"/>
  <c r="M44" i="33"/>
  <c r="E50" i="33"/>
  <c r="E29" i="33"/>
  <c r="O33" i="33"/>
  <c r="O44" i="33"/>
  <c r="O41" i="33"/>
  <c r="H71" i="33"/>
  <c r="G35" i="33"/>
  <c r="G31" i="33"/>
  <c r="G27" i="33"/>
  <c r="I22" i="33"/>
  <c r="G18" i="33"/>
  <c r="K66" i="33"/>
  <c r="K33" i="33"/>
  <c r="K29" i="33"/>
  <c r="M24" i="33"/>
  <c r="M20" i="33"/>
  <c r="G60" i="33"/>
  <c r="L44" i="33"/>
  <c r="K41" i="33"/>
  <c r="E53" i="33"/>
  <c r="M50" i="33"/>
  <c r="I50" i="33"/>
  <c r="K40" i="33"/>
  <c r="K52" i="33"/>
  <c r="E26" i="33"/>
  <c r="K44" i="33"/>
  <c r="H51" i="33"/>
  <c r="E23" i="33"/>
  <c r="K42" i="33"/>
  <c r="H50" i="33"/>
  <c r="L53" i="33"/>
  <c r="G45" i="33"/>
  <c r="M45" i="33"/>
  <c r="G46" i="33"/>
  <c r="G39" i="33"/>
  <c r="E51" i="33"/>
  <c r="G49" i="33"/>
  <c r="K47" i="33"/>
  <c r="H70" i="33"/>
  <c r="H34" i="33"/>
  <c r="G30" i="33"/>
  <c r="I25" i="33"/>
  <c r="G21" i="33"/>
  <c r="L73" i="33"/>
  <c r="K65" i="33"/>
  <c r="K28" i="33"/>
  <c r="L23" i="33"/>
  <c r="I55" i="33"/>
  <c r="K46" i="33"/>
  <c r="K39" i="33"/>
  <c r="K49" i="33"/>
  <c r="K56" i="33"/>
  <c r="L60" i="33"/>
  <c r="M54" i="32"/>
  <c r="L24" i="33"/>
  <c r="L20" i="33"/>
  <c r="J48" i="33"/>
  <c r="M49" i="33"/>
  <c r="G55" i="33"/>
  <c r="L46" i="33"/>
  <c r="L42" i="33"/>
  <c r="J16" i="32"/>
  <c r="K21" i="32"/>
  <c r="H55" i="33"/>
  <c r="E71" i="33"/>
  <c r="M71" i="33"/>
  <c r="E70" i="33"/>
  <c r="O70" i="33"/>
  <c r="M70" i="33"/>
  <c r="L35" i="33"/>
  <c r="E64" i="32"/>
  <c r="L64" i="32"/>
  <c r="N64" i="33"/>
  <c r="I64" i="32"/>
  <c r="H65" i="33"/>
  <c r="H64" i="32"/>
  <c r="I59" i="33"/>
  <c r="H59" i="33"/>
  <c r="L71" i="33"/>
  <c r="E59" i="33"/>
  <c r="E55" i="33"/>
  <c r="L55" i="33"/>
  <c r="K73" i="33"/>
  <c r="E54" i="32"/>
  <c r="I54" i="32"/>
  <c r="L54" i="32"/>
  <c r="H54" i="32"/>
  <c r="K21" i="33"/>
  <c r="K35" i="33"/>
  <c r="K24" i="33"/>
  <c r="K20" i="33"/>
  <c r="L25" i="33"/>
  <c r="I21" i="33"/>
  <c r="H20" i="33"/>
  <c r="H33" i="33"/>
  <c r="M35" i="33"/>
  <c r="K71" i="33"/>
  <c r="M65" i="33"/>
  <c r="G25" i="33"/>
  <c r="M46" i="33"/>
  <c r="E42" i="33"/>
  <c r="M25" i="33"/>
  <c r="M40" i="33"/>
  <c r="L43" i="33"/>
  <c r="H25" i="33"/>
  <c r="M42" i="33"/>
  <c r="H43" i="33"/>
  <c r="O40" i="33"/>
  <c r="O43" i="33"/>
  <c r="I43" i="33"/>
  <c r="D38" i="33"/>
  <c r="D37" i="33" s="1"/>
  <c r="I20" i="33"/>
  <c r="M43" i="33"/>
  <c r="M21" i="33"/>
  <c r="G70" i="33"/>
  <c r="M42" i="32"/>
  <c r="D40" i="32"/>
  <c r="E39" i="33"/>
  <c r="I39" i="33"/>
  <c r="M39" i="33"/>
  <c r="E42" i="32"/>
  <c r="H42" i="32"/>
  <c r="K22" i="33"/>
  <c r="M55" i="33"/>
  <c r="I27" i="32"/>
  <c r="E27" i="32"/>
  <c r="M22" i="33"/>
  <c r="H29" i="33"/>
  <c r="H27" i="33"/>
  <c r="I29" i="33"/>
  <c r="H35" i="33"/>
  <c r="I35" i="33"/>
  <c r="K55" i="33"/>
  <c r="K18" i="33"/>
  <c r="L27" i="32"/>
  <c r="M27" i="32"/>
  <c r="N32" i="33"/>
  <c r="M32" i="33"/>
  <c r="M33" i="33"/>
  <c r="G19" i="33"/>
  <c r="I65" i="33"/>
  <c r="O29" i="33"/>
  <c r="H19" i="33"/>
  <c r="H73" i="33"/>
  <c r="L70" i="33"/>
  <c r="G65" i="33"/>
  <c r="G32" i="33"/>
  <c r="K70" i="33"/>
  <c r="H67" i="33"/>
  <c r="G71" i="33"/>
  <c r="I23" i="33"/>
  <c r="I73" i="33"/>
  <c r="I60" i="33"/>
  <c r="K34" i="33"/>
  <c r="I71" i="33"/>
  <c r="I28" i="33"/>
  <c r="L67" i="33"/>
  <c r="H60" i="33"/>
  <c r="H23" i="33"/>
  <c r="E30" i="33"/>
  <c r="K23" i="33"/>
  <c r="H28" i="33"/>
  <c r="L21" i="32"/>
  <c r="J17" i="33"/>
  <c r="M66" i="33"/>
  <c r="L66" i="33"/>
  <c r="M67" i="33"/>
  <c r="I21" i="32"/>
  <c r="J26" i="33"/>
  <c r="L27" i="33"/>
  <c r="I70" i="33"/>
  <c r="E27" i="33"/>
  <c r="L33" i="33"/>
  <c r="I27" i="33"/>
  <c r="H66" i="33"/>
  <c r="L29" i="33"/>
  <c r="L28" i="33"/>
  <c r="I67" i="33"/>
  <c r="G66" i="33"/>
  <c r="M21" i="32"/>
  <c r="G64" i="33"/>
  <c r="F26" i="33"/>
  <c r="G26" i="33" s="1"/>
  <c r="F17" i="33"/>
  <c r="E67" i="33"/>
  <c r="G34" i="33"/>
  <c r="D16" i="32"/>
  <c r="H18" i="33"/>
  <c r="H22" i="33"/>
  <c r="M27" i="33"/>
  <c r="H21" i="33"/>
  <c r="I34" i="33"/>
  <c r="I18" i="33"/>
  <c r="M29" i="33"/>
  <c r="I33" i="33"/>
  <c r="K32" i="33"/>
  <c r="E21" i="32"/>
  <c r="L65" i="33"/>
  <c r="L18" i="33"/>
  <c r="E28" i="33"/>
  <c r="D17" i="33"/>
  <c r="M60" i="33"/>
  <c r="M34" i="33"/>
  <c r="M73" i="33"/>
  <c r="L19" i="33"/>
  <c r="M23" i="33"/>
  <c r="I30" i="33"/>
  <c r="L30" i="33"/>
  <c r="G22" i="33"/>
  <c r="K31" i="33"/>
  <c r="O28" i="33"/>
  <c r="J64" i="33"/>
  <c r="H24" i="33"/>
  <c r="I24" i="33"/>
  <c r="M19" i="33"/>
  <c r="H30" i="33"/>
  <c r="M30" i="33"/>
  <c r="M28" i="33"/>
  <c r="K19" i="33"/>
  <c r="J61" i="32" l="1"/>
  <c r="J62" i="32" s="1"/>
  <c r="O48" i="33"/>
  <c r="F73" i="32"/>
  <c r="F74" i="33" s="1"/>
  <c r="F69" i="33" s="1"/>
  <c r="J16" i="33"/>
  <c r="I35" i="10"/>
  <c r="H35" i="10"/>
  <c r="H16" i="10"/>
  <c r="I16" i="10"/>
  <c r="F16" i="33"/>
  <c r="E48" i="33"/>
  <c r="N64" i="10"/>
  <c r="N70" i="10" s="1"/>
  <c r="N75" i="10" s="1"/>
  <c r="N71" i="10" s="1"/>
  <c r="E68" i="36"/>
  <c r="F8" i="36"/>
  <c r="I8" i="36"/>
  <c r="G4" i="30"/>
  <c r="E10" i="30"/>
  <c r="C79" i="36"/>
  <c r="D74" i="36"/>
  <c r="E38" i="33"/>
  <c r="J8" i="36"/>
  <c r="H68" i="36"/>
  <c r="G69" i="36"/>
  <c r="I42" i="36"/>
  <c r="E32" i="33"/>
  <c r="I32" i="33"/>
  <c r="L32" i="33"/>
  <c r="O32" i="33"/>
  <c r="J36" i="33"/>
  <c r="O64" i="33"/>
  <c r="M54" i="33"/>
  <c r="O16" i="10"/>
  <c r="P16" i="10"/>
  <c r="K9" i="10"/>
  <c r="K8" i="10"/>
  <c r="Q16" i="10"/>
  <c r="M16" i="10"/>
  <c r="L16" i="10"/>
  <c r="J63" i="10"/>
  <c r="K16" i="10"/>
  <c r="D36" i="10"/>
  <c r="L35" i="10"/>
  <c r="M35" i="10"/>
  <c r="Q35" i="10"/>
  <c r="E35" i="10"/>
  <c r="P35" i="10"/>
  <c r="D63" i="10"/>
  <c r="M38" i="33"/>
  <c r="F36" i="33"/>
  <c r="H54" i="33"/>
  <c r="J41" i="32"/>
  <c r="K41" i="32" s="1"/>
  <c r="L38" i="33"/>
  <c r="L54" i="33"/>
  <c r="I54" i="33"/>
  <c r="E54" i="33"/>
  <c r="I48" i="33"/>
  <c r="I38" i="33"/>
  <c r="K54" i="33"/>
  <c r="H48" i="33"/>
  <c r="I26" i="33"/>
  <c r="I64" i="33"/>
  <c r="K48" i="33"/>
  <c r="L48" i="33"/>
  <c r="M48" i="33"/>
  <c r="K16" i="32"/>
  <c r="H38" i="33"/>
  <c r="M40" i="32"/>
  <c r="I40" i="32"/>
  <c r="H40" i="32"/>
  <c r="N36" i="33"/>
  <c r="L40" i="32"/>
  <c r="E40" i="32"/>
  <c r="D41" i="32"/>
  <c r="K17" i="33"/>
  <c r="H26" i="33"/>
  <c r="H64" i="33"/>
  <c r="I31" i="33"/>
  <c r="E31" i="33"/>
  <c r="K26" i="33"/>
  <c r="L26" i="33"/>
  <c r="M26" i="33"/>
  <c r="G17" i="33"/>
  <c r="L31" i="33"/>
  <c r="H31" i="33"/>
  <c r="M16" i="32"/>
  <c r="E16" i="32"/>
  <c r="N16" i="33"/>
  <c r="L16" i="32"/>
  <c r="D61" i="32"/>
  <c r="D68" i="32" s="1"/>
  <c r="D73" i="32" s="1"/>
  <c r="D69" i="32" s="1"/>
  <c r="I16" i="32"/>
  <c r="H16" i="32"/>
  <c r="O31" i="33"/>
  <c r="L64" i="33"/>
  <c r="K64" i="33"/>
  <c r="M64" i="33"/>
  <c r="H17" i="33"/>
  <c r="D16" i="33"/>
  <c r="M17" i="33"/>
  <c r="L17" i="33"/>
  <c r="I17" i="33"/>
  <c r="E17" i="33"/>
  <c r="O17" i="33"/>
  <c r="J63" i="32" l="1"/>
  <c r="J68" i="32"/>
  <c r="J73" i="32" s="1"/>
  <c r="J69" i="32" s="1"/>
  <c r="K69" i="32" s="1"/>
  <c r="K62" i="32"/>
  <c r="F69" i="32"/>
  <c r="G69" i="32" s="1"/>
  <c r="O64" i="10"/>
  <c r="H36" i="10"/>
  <c r="I36" i="10"/>
  <c r="D70" i="10"/>
  <c r="H63" i="10"/>
  <c r="I63" i="10"/>
  <c r="E36" i="33"/>
  <c r="D61" i="33"/>
  <c r="D68" i="33" s="1"/>
  <c r="O36" i="33"/>
  <c r="H69" i="36"/>
  <c r="I69" i="36"/>
  <c r="E17" i="30"/>
  <c r="G10" i="30"/>
  <c r="E69" i="36"/>
  <c r="F69" i="36" s="1"/>
  <c r="F68" i="36"/>
  <c r="E74" i="36"/>
  <c r="J68" i="36"/>
  <c r="C75" i="36"/>
  <c r="D75" i="36" s="1"/>
  <c r="D79" i="36"/>
  <c r="I68" i="36"/>
  <c r="J61" i="33"/>
  <c r="J62" i="33" s="1"/>
  <c r="J68" i="33" s="1"/>
  <c r="J74" i="33" s="1"/>
  <c r="J69" i="33" s="1"/>
  <c r="L36" i="33"/>
  <c r="M63" i="10"/>
  <c r="E63" i="10"/>
  <c r="P63" i="10"/>
  <c r="N65" i="10"/>
  <c r="O65" i="10" s="1"/>
  <c r="O63" i="10"/>
  <c r="J70" i="10"/>
  <c r="M70" i="10" s="1"/>
  <c r="K63" i="10"/>
  <c r="J65" i="10"/>
  <c r="K65" i="10" s="1"/>
  <c r="L63" i="10"/>
  <c r="Q63" i="10" s="1"/>
  <c r="D65" i="10"/>
  <c r="P36" i="10"/>
  <c r="Q36" i="10"/>
  <c r="E36" i="10"/>
  <c r="M36" i="10"/>
  <c r="L36" i="10"/>
  <c r="G36" i="33"/>
  <c r="H36" i="33"/>
  <c r="F37" i="33"/>
  <c r="G37" i="33" s="1"/>
  <c r="E37" i="33"/>
  <c r="I36" i="33"/>
  <c r="K36" i="33"/>
  <c r="J37" i="33"/>
  <c r="M36" i="33"/>
  <c r="K63" i="32"/>
  <c r="K61" i="32"/>
  <c r="I41" i="32"/>
  <c r="E41" i="32"/>
  <c r="H41" i="32"/>
  <c r="L41" i="32"/>
  <c r="M41" i="32"/>
  <c r="K16" i="33"/>
  <c r="H61" i="32"/>
  <c r="E61" i="32"/>
  <c r="M61" i="32"/>
  <c r="L61" i="32"/>
  <c r="I61" i="32"/>
  <c r="D63" i="32"/>
  <c r="N61" i="33"/>
  <c r="G16" i="33"/>
  <c r="F61" i="33"/>
  <c r="F68" i="33" s="1"/>
  <c r="L16" i="33"/>
  <c r="M16" i="33"/>
  <c r="H16" i="33"/>
  <c r="I16" i="33"/>
  <c r="E16" i="33"/>
  <c r="O16" i="33"/>
  <c r="P70" i="10" l="1"/>
  <c r="E70" i="10"/>
  <c r="D75" i="10"/>
  <c r="D74" i="33" s="1"/>
  <c r="D69" i="33" s="1"/>
  <c r="E65" i="10"/>
  <c r="I65" i="10"/>
  <c r="H65" i="10"/>
  <c r="I70" i="10"/>
  <c r="H70" i="10"/>
  <c r="F63" i="33"/>
  <c r="G63" i="33" s="1"/>
  <c r="L37" i="33"/>
  <c r="F74" i="36"/>
  <c r="J74" i="36"/>
  <c r="E79" i="36"/>
  <c r="I74" i="36"/>
  <c r="K62" i="33"/>
  <c r="J63" i="33"/>
  <c r="K63" i="33" s="1"/>
  <c r="G17" i="30"/>
  <c r="E23" i="30"/>
  <c r="G23" i="30" s="1"/>
  <c r="J69" i="36"/>
  <c r="L70" i="10"/>
  <c r="Q70" i="10" s="1"/>
  <c r="P65" i="10"/>
  <c r="O70" i="10"/>
  <c r="M65" i="10"/>
  <c r="J75" i="10"/>
  <c r="M75" i="10" s="1"/>
  <c r="K70" i="10"/>
  <c r="H37" i="33"/>
  <c r="L65" i="10"/>
  <c r="Q65" i="10" s="1"/>
  <c r="E75" i="10"/>
  <c r="I37" i="33"/>
  <c r="M37" i="33"/>
  <c r="K37" i="33"/>
  <c r="K61" i="33"/>
  <c r="G61" i="33"/>
  <c r="H63" i="32"/>
  <c r="L63" i="32"/>
  <c r="I63" i="32"/>
  <c r="E63" i="32"/>
  <c r="M63" i="32"/>
  <c r="N63" i="33"/>
  <c r="M61" i="33"/>
  <c r="I61" i="33"/>
  <c r="H61" i="33"/>
  <c r="D63" i="33"/>
  <c r="E61" i="33"/>
  <c r="L61" i="33"/>
  <c r="O61" i="33"/>
  <c r="P75" i="10" l="1"/>
  <c r="P71" i="10" s="1"/>
  <c r="H75" i="10"/>
  <c r="H71" i="10"/>
  <c r="I75" i="10"/>
  <c r="F79" i="36"/>
  <c r="E75" i="36"/>
  <c r="I79" i="36"/>
  <c r="J79" i="36"/>
  <c r="O71" i="10"/>
  <c r="O75" i="10"/>
  <c r="L75" i="10"/>
  <c r="Q75" i="10" s="1"/>
  <c r="K75" i="10"/>
  <c r="J71" i="10"/>
  <c r="K71" i="10" s="1"/>
  <c r="E63" i="33"/>
  <c r="H63" i="33"/>
  <c r="L63" i="33"/>
  <c r="M63" i="33"/>
  <c r="I63" i="33"/>
  <c r="O63" i="33"/>
  <c r="E68" i="33"/>
  <c r="E71" i="10" l="1"/>
  <c r="I71" i="10"/>
  <c r="F75" i="36"/>
  <c r="J75" i="36"/>
  <c r="I75" i="36"/>
  <c r="M71" i="10"/>
  <c r="L71" i="10"/>
  <c r="Q71" i="10" s="1"/>
  <c r="K69" i="33" l="1"/>
  <c r="E68" i="32"/>
  <c r="N68" i="33"/>
  <c r="O68" i="33" s="1"/>
  <c r="E73" i="32" l="1"/>
  <c r="N74" i="33"/>
  <c r="O74" i="33" l="1"/>
  <c r="E74" i="33"/>
  <c r="L69" i="32"/>
  <c r="H69" i="32"/>
  <c r="N69" i="33"/>
  <c r="I69" i="32"/>
  <c r="M69" i="32"/>
  <c r="E69" i="32"/>
  <c r="O69" i="33" l="1"/>
  <c r="E69" i="33"/>
  <c r="L69" i="33"/>
  <c r="M69" i="33"/>
  <c r="G68" i="33"/>
  <c r="I68" i="33"/>
  <c r="H68" i="33"/>
  <c r="G74" i="33"/>
  <c r="I74" i="33" l="1"/>
  <c r="H74" i="33"/>
  <c r="H69" i="33" l="1"/>
  <c r="I69" i="33"/>
  <c r="G69" i="33"/>
  <c r="G68" i="32"/>
  <c r="H68" i="32"/>
  <c r="I68" i="32"/>
  <c r="I73" i="32"/>
  <c r="H73" i="32"/>
  <c r="G73" i="32"/>
  <c r="K68" i="32" l="1"/>
  <c r="M68" i="32"/>
  <c r="L68" i="32"/>
  <c r="M73" i="32"/>
  <c r="K73" i="32" l="1"/>
  <c r="L73" i="32"/>
  <c r="L68" i="33" l="1"/>
  <c r="M68" i="33"/>
  <c r="K68" i="33"/>
  <c r="K74" i="33"/>
  <c r="M74" i="33" l="1"/>
  <c r="L74" i="33"/>
</calcChain>
</file>

<file path=xl/sharedStrings.xml><?xml version="1.0" encoding="utf-8"?>
<sst xmlns="http://schemas.openxmlformats.org/spreadsheetml/2006/main" count="1263" uniqueCount="484">
  <si>
    <t>Otplata duga</t>
  </si>
  <si>
    <t>Current revenues</t>
  </si>
  <si>
    <t>Porezi</t>
  </si>
  <si>
    <t>Porez na dohodak fizičkih lica</t>
  </si>
  <si>
    <t>Personal Income Tax</t>
  </si>
  <si>
    <t>Porez na dobit pravnih lica</t>
  </si>
  <si>
    <t>Tax on Profits of Legal Persons</t>
  </si>
  <si>
    <t>Porez na promet nepokretnosti</t>
  </si>
  <si>
    <t xml:space="preserve">Taxes on Property </t>
  </si>
  <si>
    <t>Porez na dodatu vrijednost</t>
  </si>
  <si>
    <t>Value Added Tax</t>
  </si>
  <si>
    <t>Lokalni porezi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</si>
  <si>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</si>
  <si>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</si>
  <si>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</si>
  <si>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</si>
  <si>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</si>
  <si>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Ostali republički prihodi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</si>
  <si>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</si>
  <si>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</si>
  <si>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</si>
  <si>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</si>
  <si>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</si>
  <si>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</si>
  <si>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</si>
  <si>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</si>
  <si>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Insurance from Unemployment</t>
  </si>
  <si>
    <t>Ostali doprinosi</t>
  </si>
  <si>
    <t>Other contributions</t>
  </si>
  <si>
    <t>Takse</t>
  </si>
  <si>
    <t>Duties</t>
  </si>
  <si>
    <t>Administrativne takse</t>
  </si>
  <si>
    <t>Sudske takse</t>
  </si>
  <si>
    <t>Court duties</t>
  </si>
  <si>
    <t>Boravišne takse</t>
  </si>
  <si>
    <t>Residential duty</t>
  </si>
  <si>
    <t>Lokalne komunalne takse</t>
  </si>
  <si>
    <t>Ostale takse</t>
  </si>
  <si>
    <t>Other duties</t>
  </si>
  <si>
    <t>Naknade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</si>
  <si>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</si>
  <si>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</si>
  <si>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</si>
  <si>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</si>
  <si>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Naknade za korišćenje građevinskog zemljišta</t>
  </si>
  <si>
    <t>Ekološke naknade</t>
  </si>
  <si>
    <t>Ecological fees</t>
  </si>
  <si>
    <t>Naknade za priređivanje igara na sreću</t>
  </si>
  <si>
    <t>Fee for organizing games of chance</t>
  </si>
  <si>
    <t>Naknade za lokalne puteve</t>
  </si>
  <si>
    <t>Naknada za puteve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</si>
  <si>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</si>
  <si>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</si>
  <si>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</si>
  <si>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</si>
  <si>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</si>
  <si>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</si>
  <si>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</si>
  <si>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</si>
  <si>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</si>
  <si>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own activities of government bodies</t>
  </si>
  <si>
    <t>Izdaci</t>
  </si>
  <si>
    <t>Tekući izdaci</t>
  </si>
  <si>
    <t>Bruto zarade i doprinosi na teret poslodavca</t>
  </si>
  <si>
    <t>Gross salaries and contributions charged to employer</t>
  </si>
  <si>
    <t>Neto zarade</t>
  </si>
  <si>
    <t>Net salaries</t>
  </si>
  <si>
    <t>Porez na zarade</t>
  </si>
  <si>
    <t>Personal income tax</t>
  </si>
  <si>
    <t>Doprinosi na teret zaposlenog</t>
  </si>
  <si>
    <t>Contributions charged to employee</t>
  </si>
  <si>
    <t>Doprinosi na teret poslodavca</t>
  </si>
  <si>
    <t>Contributions charged to employer</t>
  </si>
  <si>
    <t>Prirez na porez</t>
  </si>
  <si>
    <t>Ostala lična primanja</t>
  </si>
  <si>
    <t>Other personal income</t>
  </si>
  <si>
    <t>Rashodi za materijal i usluge</t>
  </si>
  <si>
    <t>Expenditures for supplies and services</t>
  </si>
  <si>
    <t>Tekuće održavanje</t>
  </si>
  <si>
    <t>Kamate</t>
  </si>
  <si>
    <t>Interests</t>
  </si>
  <si>
    <t>Renta</t>
  </si>
  <si>
    <t>Rent</t>
  </si>
  <si>
    <t>Subvencije</t>
  </si>
  <si>
    <t>Subsidies</t>
  </si>
  <si>
    <t>Ostali izdaci</t>
  </si>
  <si>
    <t>Transferi za socijalnu zaštitu</t>
  </si>
  <si>
    <t>Social security transfers</t>
  </si>
  <si>
    <t>Prava iz oblasti socijalne zaštite</t>
  </si>
  <si>
    <t>Social security related rights</t>
  </si>
  <si>
    <t>Sredstva za tehnološke viškove</t>
  </si>
  <si>
    <t>Funds for redundant labor</t>
  </si>
  <si>
    <t>Prava iz oblasti penzijskog i invalidskog osiguranja</t>
  </si>
  <si>
    <t>Pension and disability insurance rights</t>
  </si>
  <si>
    <t>Ostala prava iz oblasti zdravstvene zaštite</t>
  </si>
  <si>
    <t>Other rights related to health care</t>
  </si>
  <si>
    <t>Ostala prava iz oblasti zdravstvenog osiguranja</t>
  </si>
  <si>
    <t>Other rights related to health care insurance</t>
  </si>
  <si>
    <t>Transferi inst. pojedinicima NVO i javnom sektoru</t>
  </si>
  <si>
    <t>Transferi institucijama pojedinicima nevladinom i javnom sektoru</t>
  </si>
  <si>
    <t xml:space="preserve">Transfers to institutions, individuals, NGO and public sector </t>
  </si>
  <si>
    <t>Transferi javnim institucijama</t>
  </si>
  <si>
    <t>Transfers to public institutions</t>
  </si>
  <si>
    <t>Transferi nevladinim organizacijama</t>
  </si>
  <si>
    <t>Transfers to NGOs</t>
  </si>
  <si>
    <t>Transferi pojedincima</t>
  </si>
  <si>
    <t>Transfers to individuals</t>
  </si>
  <si>
    <t>Transferi opštinama</t>
  </si>
  <si>
    <t>Transferi javnim preduzećima</t>
  </si>
  <si>
    <t>Kapitalni budžet CG</t>
  </si>
  <si>
    <t>Pozajmice i krediti</t>
  </si>
  <si>
    <t>Loans and credits</t>
  </si>
  <si>
    <t>Otplata garancija</t>
  </si>
  <si>
    <t>Repayment of guarantees</t>
  </si>
  <si>
    <t>Otplata neizmirenih obaveza iz prethodnog perioda</t>
  </si>
  <si>
    <t>Otplata obaveza iz prethodnog perioda</t>
  </si>
  <si>
    <t>Repayment of liabilities from previous years</t>
  </si>
  <si>
    <t>Rezerve</t>
  </si>
  <si>
    <t>Reserves</t>
  </si>
  <si>
    <t>Deficit</t>
  </si>
  <si>
    <t>Finansiranje</t>
  </si>
  <si>
    <t>Pozajmice i krediti iz inostranih izvora</t>
  </si>
  <si>
    <t>Donacije</t>
  </si>
  <si>
    <t>Prihodi od privatizacije i prodaje imovine</t>
  </si>
  <si>
    <t>Povećanje/smanjenje depozita</t>
  </si>
  <si>
    <t>Tekuća budžetska potrošnja</t>
  </si>
  <si>
    <t>Budžet Crne Gore</t>
  </si>
  <si>
    <t>Izvorni prihodi</t>
  </si>
  <si>
    <t>Prirez na porez na dohodak</t>
  </si>
  <si>
    <t>Kapitalni izdaci u tekućem budžetu</t>
  </si>
  <si>
    <t>Kapitalni budžet</t>
  </si>
  <si>
    <t>Suficit/ Deficit</t>
  </si>
  <si>
    <t>Primarni deficit</t>
  </si>
  <si>
    <t>Repayment of debt</t>
  </si>
  <si>
    <t>Otplata duga rezidentima</t>
  </si>
  <si>
    <t>Repayment of principal to residents</t>
  </si>
  <si>
    <t>Otplata duga nerezidentima</t>
  </si>
  <si>
    <t>Repayment of principal to nonresidents</t>
  </si>
  <si>
    <t>Repayment of Arrears</t>
  </si>
  <si>
    <t>Repayment of Garantees</t>
  </si>
  <si>
    <t>Nedostajuća sredstva</t>
  </si>
  <si>
    <t>Financing needs</t>
  </si>
  <si>
    <t xml:space="preserve">Financing </t>
  </si>
  <si>
    <t>Pozajmice i krediti iz domaćih izvora</t>
  </si>
  <si>
    <t>Borrowings and credits from domestic sources</t>
  </si>
  <si>
    <t>Borrowings and credits from foreign sources</t>
  </si>
  <si>
    <t>Grants</t>
  </si>
  <si>
    <t>Privatisation revenues</t>
  </si>
  <si>
    <t>Increase/Decrease of deposits</t>
  </si>
  <si>
    <t>% BDP</t>
  </si>
  <si>
    <t>Current maintenace</t>
  </si>
  <si>
    <t>Neto povećanje obaveza</t>
  </si>
  <si>
    <t xml:space="preserve"> % BDP</t>
  </si>
  <si>
    <t>Opštinski prirez</t>
  </si>
  <si>
    <t>Kapitalni izdaci Tekućeg budžeta i Državnih fondova</t>
  </si>
  <si>
    <t>Transferi instit. pojed. NVO i javnom sektoru</t>
  </si>
  <si>
    <t>Kapitalni budžet lokalne samouprave</t>
  </si>
  <si>
    <t>Otplata glavnice rezidentima</t>
  </si>
  <si>
    <t>Otplata glavnice nerezidentima</t>
  </si>
  <si>
    <t>Otplata  obaveza iz prethodnog perioda</t>
  </si>
  <si>
    <t>Korišćenje depozita države</t>
  </si>
  <si>
    <t>Naknade za komunalno opremanje građevinskog zemljišta</t>
  </si>
  <si>
    <t>Kapitalni budzet lokalne samouprave</t>
  </si>
  <si>
    <t>Korišćenje depozita lokalne samouprave</t>
  </si>
  <si>
    <t>Transferi iz budžeta CG</t>
  </si>
  <si>
    <t>% GDP</t>
  </si>
  <si>
    <t>Taxes</t>
  </si>
  <si>
    <t>Fees</t>
  </si>
  <si>
    <t xml:space="preserve">Road fees </t>
  </si>
  <si>
    <t>Current budget expenditures</t>
  </si>
  <si>
    <t>Crnogorski</t>
  </si>
  <si>
    <t>English</t>
  </si>
  <si>
    <t>Transfers to municipalities</t>
  </si>
  <si>
    <t>Transfers to public enterprises</t>
  </si>
  <si>
    <t>Administrative duties</t>
  </si>
  <si>
    <t>Capital budget of Montenegro</t>
  </si>
  <si>
    <t xml:space="preserve">Net increse of liabilities </t>
  </si>
  <si>
    <t>Primary deficit</t>
  </si>
  <si>
    <t>Surtax on PIT</t>
  </si>
  <si>
    <t>Capital outlows of current budget</t>
  </si>
  <si>
    <t>Macroeconomic indicators</t>
  </si>
  <si>
    <t>GDP nominal growth</t>
  </si>
  <si>
    <t>GDP real growth</t>
  </si>
  <si>
    <t>Inflation</t>
  </si>
  <si>
    <t>Import</t>
  </si>
  <si>
    <t>Export</t>
  </si>
  <si>
    <t>Other</t>
  </si>
  <si>
    <t>Current account deficit</t>
  </si>
  <si>
    <t>Domestic loans</t>
  </si>
  <si>
    <t>Fiscal indicators</t>
  </si>
  <si>
    <t>Current public revenues</t>
  </si>
  <si>
    <t>Public expenditure</t>
  </si>
  <si>
    <t>Interest</t>
  </si>
  <si>
    <t>Primary deficit/surplus</t>
  </si>
  <si>
    <t>Government debt</t>
  </si>
  <si>
    <t>Welcome tab</t>
  </si>
  <si>
    <t>MONTENEGRO</t>
  </si>
  <si>
    <t>MINISTRY OF FINANCE</t>
  </si>
  <si>
    <t>CRNA GORA</t>
  </si>
  <si>
    <t>MINISTARSTVO FINANSIJA</t>
  </si>
  <si>
    <t xml:space="preserve">   Javni dug (% BDP)</t>
  </si>
  <si>
    <t xml:space="preserve">   Public debt (% GDP)</t>
  </si>
  <si>
    <t xml:space="preserve">   Javna potrošnja (% BDP)</t>
  </si>
  <si>
    <t>Ažurirano:</t>
  </si>
  <si>
    <t>Updated:</t>
  </si>
  <si>
    <t>Broj stanovnika (Popis 2011)</t>
  </si>
  <si>
    <t>Population (Census 2011)</t>
  </si>
  <si>
    <t>Površina (km²)</t>
  </si>
  <si>
    <t xml:space="preserve">   Inflacija (%)</t>
  </si>
  <si>
    <t xml:space="preserve">   Inflation (%)</t>
  </si>
  <si>
    <t>BDP (mil. €)*</t>
  </si>
  <si>
    <t>Royal Capital</t>
  </si>
  <si>
    <t>Glavni grad</t>
  </si>
  <si>
    <t>Prijestonica</t>
  </si>
  <si>
    <t>Capital</t>
  </si>
  <si>
    <t>Valuta</t>
  </si>
  <si>
    <t>Currency</t>
  </si>
  <si>
    <t>Notice: The information is provided in English and in Montenegrin language</t>
  </si>
  <si>
    <t>Napomena: Informacija je urađena je na engleskom i crnogorskom jeziku</t>
  </si>
  <si>
    <t>*data represent Ministry of Finance forecast</t>
  </si>
  <si>
    <t>Izvor: ZZZ, Monstat, Ministarstvo finansija</t>
  </si>
  <si>
    <t>Source: Employment Office, Monstat, Ministry of Finance</t>
  </si>
  <si>
    <t>Makroekonomski pokazatelji</t>
  </si>
  <si>
    <t>Nominalni rast BDP-a</t>
  </si>
  <si>
    <t>Realni rast BDP-a</t>
  </si>
  <si>
    <t>Inflacija</t>
  </si>
  <si>
    <t xml:space="preserve">Uvoz </t>
  </si>
  <si>
    <t>Izvoz</t>
  </si>
  <si>
    <t>Ostalo</t>
  </si>
  <si>
    <t>Deficit tekućeg računa</t>
  </si>
  <si>
    <t>Neto strane direktne investicije</t>
  </si>
  <si>
    <t>Domaći krediti</t>
  </si>
  <si>
    <t>Fiskalni pokazatelji</t>
  </si>
  <si>
    <t>Izvorni javni prihodi</t>
  </si>
  <si>
    <t>Javna potrošnja</t>
  </si>
  <si>
    <t>Deficit/Suficit</t>
  </si>
  <si>
    <t>Primarni deficit/suficit</t>
  </si>
  <si>
    <t>Državni dug</t>
  </si>
  <si>
    <t>Makroekonomski i fiskalni okvir  (u % BDP-a)</t>
  </si>
  <si>
    <t>Ostvarenje</t>
  </si>
  <si>
    <t>Procjena</t>
  </si>
  <si>
    <t>Osnovni scenario</t>
  </si>
  <si>
    <t>Scenario nižeg rasta</t>
  </si>
  <si>
    <t>Core data tab</t>
  </si>
  <si>
    <t>Macroeconomic and Fiscal Framework (in %GDP)</t>
  </si>
  <si>
    <t>Net foreign investments</t>
  </si>
  <si>
    <t>Actual data</t>
  </si>
  <si>
    <t>Estimate</t>
  </si>
  <si>
    <t>Base scenario</t>
  </si>
  <si>
    <t>Low-growth scenario</t>
  </si>
  <si>
    <t>1 - engleski</t>
  </si>
  <si>
    <t>Central budget tab</t>
  </si>
  <si>
    <t>Central Budget of Montenegro</t>
  </si>
  <si>
    <t>Tax on Profits of Legal Person</t>
  </si>
  <si>
    <t>Primici od otplate kredita i sredstva prenijeta iz prethodne godine</t>
  </si>
  <si>
    <t>Local Government tab</t>
  </si>
  <si>
    <t xml:space="preserve"> % GDP</t>
  </si>
  <si>
    <t>Local Government</t>
  </si>
  <si>
    <t>Lokalna samouprava</t>
  </si>
  <si>
    <t>Current revenues and grants</t>
  </si>
  <si>
    <t>Izvorni prihodi i donacije</t>
  </si>
  <si>
    <t>Tekuća potrošnja lokalne samouprave</t>
  </si>
  <si>
    <t>mil. €</t>
  </si>
  <si>
    <t>Local Taxes</t>
  </si>
  <si>
    <t>Suficit/deficit</t>
  </si>
  <si>
    <t>Izvor: Ministarstvo finansija Crne Gore</t>
  </si>
  <si>
    <t>Source: Ministry of Finance of Montenegro</t>
  </si>
  <si>
    <t>Residential duties</t>
  </si>
  <si>
    <t>Local road fees</t>
  </si>
  <si>
    <t>Current local government expenditure</t>
  </si>
  <si>
    <t>Surtaxe on PIT</t>
  </si>
  <si>
    <t>Current maintenance</t>
  </si>
  <si>
    <t>Lolacl utility duties</t>
  </si>
  <si>
    <t>Sourse: Ministry of Finance of Montenegro</t>
  </si>
  <si>
    <t>Deposits of local government</t>
  </si>
  <si>
    <t>Transfers from the Central Budget</t>
  </si>
  <si>
    <t>Fees for usage of construction land</t>
  </si>
  <si>
    <t>Fees for municipal residental land</t>
  </si>
  <si>
    <t>Public expenditure tab</t>
  </si>
  <si>
    <t>Tekuća javna potrošnja</t>
  </si>
  <si>
    <t>Kapitalni izdaci</t>
  </si>
  <si>
    <t>Local taxes</t>
  </si>
  <si>
    <t>Public expenditures</t>
  </si>
  <si>
    <t>Current public expenditures</t>
  </si>
  <si>
    <t>Capital Budget of Montenegro</t>
  </si>
  <si>
    <t>Capital Budget of Local Government</t>
  </si>
  <si>
    <t>Surplus/deficit</t>
  </si>
  <si>
    <t>Financing</t>
  </si>
  <si>
    <t>Privatisation revenues or selling property</t>
  </si>
  <si>
    <t xml:space="preserve">   Public expenditure (% GDP)</t>
  </si>
  <si>
    <t>Stopa nezaposlenosti (%)</t>
  </si>
  <si>
    <t>Unemployment rate (%)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</si>
  <si>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</si>
  <si>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</si>
  <si>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</si>
  <si>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</si>
  <si>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</si>
  <si>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</si>
  <si>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</si>
  <si>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</si>
  <si>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</si>
  <si>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</si>
  <si>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</si>
  <si>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</si>
  <si>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Porez na imovinu</t>
  </si>
  <si>
    <t xml:space="preserve">Akcize </t>
  </si>
  <si>
    <t>Porez na međ. trgov. i transakcije</t>
  </si>
  <si>
    <t>Doprinosi za PIO</t>
  </si>
  <si>
    <t>Doprinosi za zdravstvo</t>
  </si>
  <si>
    <t>Doprinosi za nezaposlene</t>
  </si>
  <si>
    <t>Naknada za kor. prirodnih dobara</t>
  </si>
  <si>
    <t>Naknade za priređ.  igara na sreću</t>
  </si>
  <si>
    <t>Naknade za puteve</t>
  </si>
  <si>
    <t>Prihodi koje organi ostvaruju vršenjem svoje djel.</t>
  </si>
  <si>
    <t>Monthly plan tab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</si>
  <si>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</si>
  <si>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</si>
  <si>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</si>
  <si>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</si>
  <si>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</si>
  <si>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</si>
  <si>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</si>
  <si>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</si>
  <si>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</si>
  <si>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</si>
  <si>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</si>
  <si>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Izvršenje budžeta, po mjesecima</t>
  </si>
  <si>
    <t>Nakn. za koriš. dob. od opš. int.</t>
  </si>
  <si>
    <t>Prihodi od privatizacije</t>
  </si>
  <si>
    <t>Analitics tab</t>
  </si>
  <si>
    <t>*podaci su procjena Ministarstva finansija</t>
  </si>
  <si>
    <t>Source: Ministry of Finance, Central Bank, Monstat</t>
  </si>
  <si>
    <t>Izvor: Ministarstvo finansija, Centralna banka, Monstat</t>
  </si>
  <si>
    <t>Budget execution, by months</t>
  </si>
  <si>
    <t>Analitika ostvarenja</t>
  </si>
  <si>
    <t>Execution analitics</t>
  </si>
  <si>
    <t>preliminarni podaci</t>
  </si>
  <si>
    <t>preliminary data</t>
  </si>
  <si>
    <t>Execution</t>
  </si>
  <si>
    <t>Expenditures</t>
  </si>
  <si>
    <t>Current expenditures</t>
  </si>
  <si>
    <t>Other expenditures</t>
  </si>
  <si>
    <t>Capital expenditures</t>
  </si>
  <si>
    <t>Capital expenditures of Current Budget and State Funds</t>
  </si>
  <si>
    <t>Public debt</t>
  </si>
  <si>
    <t>Ukupno javni dug</t>
  </si>
  <si>
    <t>Dug prema rezidentima</t>
  </si>
  <si>
    <t>Dug prema nerezidentima</t>
  </si>
  <si>
    <t>I kvartal</t>
  </si>
  <si>
    <t>II kvartal</t>
  </si>
  <si>
    <t>III kvartal</t>
  </si>
  <si>
    <t>IV kvartal</t>
  </si>
  <si>
    <t>Stanje javnog duga, na kraju perioda</t>
  </si>
  <si>
    <t>Public debt, at the end of the period</t>
  </si>
  <si>
    <t>Debt to residents</t>
  </si>
  <si>
    <t>Debt to nonresidents</t>
  </si>
  <si>
    <t>Stanje javnog duga, kvartalno</t>
  </si>
  <si>
    <t xml:space="preserve">Public debt, quaterly </t>
  </si>
  <si>
    <t>I quater</t>
  </si>
  <si>
    <t>II quater</t>
  </si>
  <si>
    <t>III quater</t>
  </si>
  <si>
    <t>IV quater</t>
  </si>
  <si>
    <t>Stanje javnog duga, po mjesecima</t>
  </si>
  <si>
    <t>Public debt, monthly</t>
  </si>
  <si>
    <t>Area (km²)</t>
  </si>
  <si>
    <t>GDP (mil. €)*</t>
  </si>
  <si>
    <r>
      <t xml:space="preserve">BDP </t>
    </r>
    <r>
      <rPr>
        <i/>
        <sz val="10"/>
        <rFont val="Calibri"/>
        <family val="2"/>
        <charset val="238"/>
        <scheme val="minor"/>
      </rPr>
      <t>per capita (</t>
    </r>
    <r>
      <rPr>
        <sz val="10"/>
        <rFont val="Calibri"/>
        <family val="2"/>
        <charset val="238"/>
        <scheme val="minor"/>
      </rPr>
      <t>€</t>
    </r>
    <r>
      <rPr>
        <i/>
        <sz val="10"/>
        <rFont val="Calibri"/>
        <family val="2"/>
        <charset val="238"/>
        <scheme val="minor"/>
      </rPr>
      <t>)*</t>
    </r>
  </si>
  <si>
    <r>
      <t xml:space="preserve">GDP </t>
    </r>
    <r>
      <rPr>
        <i/>
        <sz val="10"/>
        <rFont val="Calibri"/>
        <family val="2"/>
        <charset val="238"/>
        <scheme val="minor"/>
      </rPr>
      <t>per capita (</t>
    </r>
    <r>
      <rPr>
        <sz val="10"/>
        <rFont val="Calibri"/>
        <family val="2"/>
        <charset val="238"/>
        <scheme val="minor"/>
      </rPr>
      <t>€</t>
    </r>
    <r>
      <rPr>
        <i/>
        <sz val="10"/>
        <rFont val="Calibri"/>
        <family val="2"/>
        <charset val="238"/>
        <scheme val="minor"/>
      </rPr>
      <t>)*</t>
    </r>
  </si>
  <si>
    <t>Prosječna neto zarada (€)</t>
  </si>
  <si>
    <t>Average net wage (€)</t>
  </si>
  <si>
    <t>BDP (u mil. €)</t>
  </si>
  <si>
    <t>GDP (mil. €)</t>
  </si>
  <si>
    <t>Capital ouflows and capital budget</t>
  </si>
  <si>
    <t>Deficit/Surplus</t>
  </si>
  <si>
    <t>Deficit/Suficit (bez garancija)</t>
  </si>
  <si>
    <t>Primarni deficit/suficit (bez garancija)</t>
  </si>
  <si>
    <t>Deficit/Surplus (without Guarantees)</t>
  </si>
  <si>
    <t>Primary deficit/surplus (without Guarantees)</t>
  </si>
  <si>
    <t>Bankarski depoziti (domaći)</t>
  </si>
  <si>
    <t>Bank deposits (domestic)</t>
  </si>
  <si>
    <t>Plan according to Budget Law for 2013</t>
  </si>
  <si>
    <t>Plan prema Zakonu o Budžetu za 2013. godinu</t>
  </si>
  <si>
    <t>Plan for 2013</t>
  </si>
  <si>
    <t>Plan 2013</t>
  </si>
  <si>
    <t>Mjesečni plan za 2013. godinu</t>
  </si>
  <si>
    <t>Plan for 2013, by months</t>
  </si>
  <si>
    <t>Execution for 2013</t>
  </si>
  <si>
    <t>Jan - Dec 2013</t>
  </si>
  <si>
    <t>Jan - Feb 2013</t>
  </si>
  <si>
    <t>April 2013</t>
  </si>
  <si>
    <t>Maj 2013</t>
  </si>
  <si>
    <t>Maj 2014</t>
  </si>
  <si>
    <t>Plan 2014</t>
  </si>
  <si>
    <t>Ekonomska klasifikacija</t>
  </si>
  <si>
    <t>O   P   I   S</t>
  </si>
  <si>
    <t>Iznos u €</t>
  </si>
  <si>
    <t>Ako je 0 sve je OK!</t>
  </si>
  <si>
    <t>PRIMICI</t>
  </si>
  <si>
    <t>Tekući prihodi</t>
  </si>
  <si>
    <t>Naknada za korišćenje prirodnih dobara</t>
  </si>
  <si>
    <t>Primici od prodaje  imovine</t>
  </si>
  <si>
    <t>Primici od prodaje imovine</t>
  </si>
  <si>
    <t>Primici od prodaje nefinansijske imovine</t>
  </si>
  <si>
    <t>Primici od prodaje nepokretnosti</t>
  </si>
  <si>
    <t>Primici od prodaje zaliha</t>
  </si>
  <si>
    <t>Primici od prodaje finansijske imovine</t>
  </si>
  <si>
    <t>Prodaja akcija</t>
  </si>
  <si>
    <t>Prodaja ostalih HOV</t>
  </si>
  <si>
    <t xml:space="preserve">Primici od otplate kredita </t>
  </si>
  <si>
    <t>Primici od otplate kredita datih drugim nivoima vlasti</t>
  </si>
  <si>
    <t>Primici od otplate kredita datih javnim preduzećima</t>
  </si>
  <si>
    <t>Primici od otplate kredita datih drugim institucijama</t>
  </si>
  <si>
    <t>Primici od otplate kredita datih fizičkim licima</t>
  </si>
  <si>
    <t xml:space="preserve"> Sredstva prenesena iz prethodne godine</t>
  </si>
  <si>
    <t>Sredstva prenesena iz prethodne godine</t>
  </si>
  <si>
    <t>Donacije i transferi</t>
  </si>
  <si>
    <t>Tekuće donacije</t>
  </si>
  <si>
    <t>IZVORNI PRIHODI</t>
  </si>
  <si>
    <t>Porezi i doprinosi</t>
  </si>
  <si>
    <t xml:space="preserve"> IZDACI</t>
  </si>
  <si>
    <t xml:space="preserve"> Kapitalni budžet CG</t>
  </si>
  <si>
    <t xml:space="preserve"> SUFICIT / DEFICIT</t>
  </si>
  <si>
    <t>PRIMARNI SUFICIT</t>
  </si>
  <si>
    <t>OTPLATA DUGA</t>
  </si>
  <si>
    <t>NEDOSTAJUĆA SREDSTVA</t>
  </si>
  <si>
    <t>FINANSIRANJE</t>
  </si>
  <si>
    <t>Procjena 2014</t>
  </si>
  <si>
    <t xml:space="preserve"> </t>
  </si>
  <si>
    <t>Rashodi za materijal</t>
  </si>
  <si>
    <t>Rashodi za usluge</t>
  </si>
  <si>
    <t>Rashodi za tekuće održavanje</t>
  </si>
  <si>
    <t>Ostala prava iz zdravstvenog osiguranja</t>
  </si>
  <si>
    <t xml:space="preserve">Transferi institucijama, pojedincima, nevladinom i javnom sektoru </t>
  </si>
  <si>
    <t xml:space="preserve">Ostali transferi </t>
  </si>
  <si>
    <t>Registracione takse</t>
  </si>
  <si>
    <t xml:space="preserve">Naknade za izgradnju i održavanje lokalnih puteva i drugih javnih objekata od opštinskog značaja </t>
  </si>
  <si>
    <t>PLAN 2015</t>
  </si>
  <si>
    <t>Mjesečni plan prihoda 2014</t>
  </si>
  <si>
    <t>Mjesečna procjena prihoda 2014</t>
  </si>
  <si>
    <t>Ostvarenje prihoda 2013</t>
  </si>
  <si>
    <t>Razlike</t>
  </si>
  <si>
    <t>%</t>
  </si>
  <si>
    <t>Deficit - osnovni scenario</t>
  </si>
  <si>
    <t>Deficit - scenario sa auto putem</t>
  </si>
  <si>
    <t>2014 - procjena</t>
  </si>
  <si>
    <t>Naknada za komunalno opremanje građevinskog zemljišta</t>
  </si>
  <si>
    <t>Suficit / deficit</t>
  </si>
  <si>
    <t>PDV</t>
  </si>
  <si>
    <t>Odstupanje</t>
  </si>
  <si>
    <t>Tekući budžetski izdaci</t>
  </si>
  <si>
    <t>Otplata obaveza iz prethodnih godina</t>
  </si>
  <si>
    <t>4630a</t>
  </si>
  <si>
    <t>4630b</t>
  </si>
  <si>
    <t>Primarni bilans</t>
  </si>
  <si>
    <t>Otplata dugova</t>
  </si>
  <si>
    <t>Otplata hartija od vrijednosti i kredita rezidentima</t>
  </si>
  <si>
    <t>Otplata hartija od vrijednosti i kredita nerezidentima</t>
  </si>
  <si>
    <t>Pozajmice i krediti od domaćih izvora</t>
  </si>
  <si>
    <t>Pozajmice i krediti od inostranih izvora</t>
  </si>
  <si>
    <t>Povećanje / smanjenje depozita</t>
  </si>
  <si>
    <t>Transferi iz Centralnog budžeta</t>
  </si>
  <si>
    <t>Budžetski izdaci</t>
  </si>
  <si>
    <t>2016 - ostvarenje</t>
  </si>
  <si>
    <t>2016 - plan</t>
  </si>
  <si>
    <t>Ostali državni prihodi</t>
  </si>
  <si>
    <t>Other State revenues</t>
  </si>
  <si>
    <t>Ostali transferi</t>
  </si>
  <si>
    <t>Ostvarenje 2016</t>
  </si>
  <si>
    <t xml:space="preserve">Receipts from repayment of loans </t>
  </si>
  <si>
    <t>Receipts from repayment of loans</t>
  </si>
  <si>
    <t>Primici od otplate kredita</t>
  </si>
  <si>
    <t>Neto povećanje obaveza *</t>
  </si>
  <si>
    <t>Transferi</t>
  </si>
  <si>
    <t xml:space="preserve">     </t>
  </si>
  <si>
    <t>Korigovani suficit/deficit</t>
  </si>
  <si>
    <t>Korigovani suficit/dficit</t>
  </si>
  <si>
    <t xml:space="preserve">Korigovani suficit/deficit </t>
  </si>
  <si>
    <t>mil.€</t>
  </si>
  <si>
    <t>Plan 2017- Zakon o izmjenama i dopunama Zakona o budžetu za 2017. godinu</t>
  </si>
  <si>
    <t>Ostvarenje 2017</t>
  </si>
  <si>
    <t>Plan 2017 - Zakon o budžetu za 2017. godinu</t>
  </si>
  <si>
    <t xml:space="preserve"> Ostvarenje 2017</t>
  </si>
  <si>
    <t>Plan 2017</t>
  </si>
  <si>
    <t>* Podaci o neto povećanju obaveza biće sastavni dio Zakona o završnom računu budžetu za 2017. godinu.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</si>
</sst>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.00\ &quot;€&quot;_-;\-* #,##0.00\ &quot;€&quot;_-;_-* &quot;-&quot;??\ &quot;€&quot;_-;_-@_-"/>
    <numFmt numFmtId="165" formatCode="0.00,,"/>
    <numFmt numFmtId="166" formatCode="0.0,,"/>
    <numFmt numFmtId="167" formatCode="#,##0.0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[&gt;0.05]#,##0.0;[&lt;-0.05]\-#,##0.0;\-\-&quot; &quot;;"/>
    <numFmt numFmtId="173" formatCode="[&gt;0.5]#,##0;[&lt;-0.5]\-#,##0;\-\-&quot; &quot;;"/>
    <numFmt numFmtId="174" formatCode="[Black]#,##0.0;[Black]\-#,##0.0;;"/>
    <numFmt numFmtId="175" formatCode="#,##0.0,,"/>
    <numFmt numFmtId="176" formatCode="0.0000"/>
    <numFmt numFmtId="177" formatCode="[$-409]General"/>
  </numFmts>
  <fonts count="4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entury Gothic"/>
      <family val="2"/>
    </font>
    <font>
      <sz val="10"/>
      <name val="Century Gothic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name val="Century Gothic"/>
      <family val="2"/>
    </font>
    <font>
      <sz val="11"/>
      <color rgb="FFFF0000"/>
      <name val="Calibri"/>
      <family val="2"/>
      <scheme val="minor"/>
    </font>
    <font>
      <sz val="8"/>
      <name val="Century Gothic"/>
      <family val="2"/>
    </font>
    <font>
      <b/>
      <sz val="11"/>
      <color rgb="FFFF000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18"/>
      <name val="Calibri"/>
      <family val="2"/>
      <scheme val="minor"/>
    </font>
    <font>
      <i/>
      <sz val="10"/>
      <color indexed="18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Arial"/>
      <family val="2"/>
      <charset val="238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0"/>
      <color theme="3" tint="0.3999755851924192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scheme val="minor"/>
    </font>
    <font>
      <sz val="11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41">
    <xf numFmtId="0" fontId="0" fillId="0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8" fillId="0" borderId="0" applyProtection="0"/>
    <xf numFmtId="0" fontId="9" fillId="0" borderId="0">
      <protection locked="0"/>
    </xf>
    <xf numFmtId="0" fontId="9" fillId="0" borderId="0">
      <protection locked="0"/>
    </xf>
    <xf numFmtId="0" fontId="10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0" fillId="0" borderId="0">
      <protection locked="0"/>
    </xf>
    <xf numFmtId="2" fontId="8" fillId="0" borderId="0" applyProtection="0"/>
    <xf numFmtId="0" fontId="8" fillId="0" borderId="0" applyNumberFormat="0" applyFont="0" applyFill="0" applyBorder="0" applyAlignment="0" applyProtection="0"/>
    <xf numFmtId="0" fontId="11" fillId="0" borderId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7" fontId="12" fillId="0" borderId="0"/>
    <xf numFmtId="0" fontId="13" fillId="0" borderId="0"/>
    <xf numFmtId="0" fontId="14" fillId="0" borderId="0"/>
    <xf numFmtId="0" fontId="14" fillId="0" borderId="0"/>
    <xf numFmtId="0" fontId="7" fillId="0" borderId="0"/>
    <xf numFmtId="0" fontId="6" fillId="0" borderId="0"/>
    <xf numFmtId="174" fontId="7" fillId="0" borderId="0" applyFont="0" applyFill="0" applyBorder="0" applyAlignment="0" applyProtection="0"/>
    <xf numFmtId="0" fontId="15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" fillId="0" borderId="0"/>
    <xf numFmtId="9" fontId="35" fillId="0" borderId="0" applyFont="0" applyFill="0" applyBorder="0" applyAlignment="0" applyProtection="0"/>
    <xf numFmtId="0" fontId="6" fillId="0" borderId="0"/>
    <xf numFmtId="177" fontId="47" fillId="0" borderId="0"/>
  </cellStyleXfs>
  <cellXfs count="380">
    <xf numFmtId="0" fontId="0" fillId="0" borderId="0" xfId="0"/>
    <xf numFmtId="0" fontId="6" fillId="0" borderId="0" xfId="0" applyFont="1"/>
    <xf numFmtId="0" fontId="16" fillId="0" borderId="0" xfId="0" applyFont="1" applyFill="1" applyAlignment="1">
      <alignment horizontal="center" vertical="center"/>
    </xf>
    <xf numFmtId="0" fontId="6" fillId="0" borderId="0" xfId="22" applyFont="1" applyFill="1" applyBorder="1" applyAlignment="1">
      <alignment horizontal="center" vertical="center" wrapText="1"/>
    </xf>
    <xf numFmtId="0" fontId="16" fillId="0" borderId="0" xfId="22" applyFont="1" applyFill="1" applyBorder="1" applyAlignment="1">
      <alignment vertical="center"/>
    </xf>
    <xf numFmtId="0" fontId="16" fillId="0" borderId="0" xfId="22" applyFont="1" applyFill="1" applyAlignment="1">
      <alignment vertical="center"/>
    </xf>
    <xf numFmtId="0" fontId="16" fillId="0" borderId="0" xfId="22" applyFont="1" applyFill="1" applyBorder="1" applyAlignment="1">
      <alignment horizontal="center" vertical="center"/>
    </xf>
    <xf numFmtId="2" fontId="16" fillId="0" borderId="0" xfId="22" applyNumberFormat="1" applyFont="1" applyFill="1" applyBorder="1" applyAlignment="1">
      <alignment vertical="center"/>
    </xf>
    <xf numFmtId="2" fontId="16" fillId="0" borderId="0" xfId="22" applyNumberFormat="1" applyFont="1" applyFill="1" applyBorder="1" applyAlignment="1">
      <alignment horizontal="left" vertical="center"/>
    </xf>
    <xf numFmtId="49" fontId="16" fillId="0" borderId="0" xfId="22" applyNumberFormat="1" applyFont="1" applyFill="1" applyBorder="1" applyAlignment="1">
      <alignment vertical="center"/>
    </xf>
    <xf numFmtId="0" fontId="16" fillId="3" borderId="0" xfId="0" applyFont="1" applyFill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16" fillId="0" borderId="0" xfId="22" applyFont="1" applyAlignment="1">
      <alignment vertical="center"/>
    </xf>
    <xf numFmtId="1" fontId="16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16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16" fontId="16" fillId="0" borderId="0" xfId="0" applyNumberFormat="1" applyFont="1" applyFill="1" applyBorder="1" applyAlignment="1">
      <alignment horizontal="left" vertical="center"/>
    </xf>
    <xf numFmtId="17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17" fontId="16" fillId="0" borderId="0" xfId="0" applyNumberFormat="1" applyFont="1" applyFill="1" applyAlignment="1">
      <alignment vertical="center"/>
    </xf>
    <xf numFmtId="4" fontId="16" fillId="0" borderId="0" xfId="22" applyNumberFormat="1" applyFont="1" applyFill="1" applyBorder="1" applyAlignment="1">
      <alignment vertical="center"/>
    </xf>
    <xf numFmtId="165" fontId="16" fillId="0" borderId="0" xfId="22" applyNumberFormat="1" applyFont="1" applyFill="1" applyBorder="1" applyAlignment="1">
      <alignment vertical="center"/>
    </xf>
    <xf numFmtId="4" fontId="17" fillId="0" borderId="0" xfId="22" applyNumberFormat="1" applyFont="1" applyFill="1" applyBorder="1" applyAlignment="1">
      <alignment vertical="center"/>
    </xf>
    <xf numFmtId="165" fontId="17" fillId="0" borderId="0" xfId="22" applyNumberFormat="1" applyFont="1" applyFill="1" applyBorder="1" applyAlignment="1">
      <alignment vertical="center"/>
    </xf>
    <xf numFmtId="49" fontId="16" fillId="0" borderId="0" xfId="22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17" fontId="6" fillId="0" borderId="0" xfId="0" applyNumberFormat="1" applyFont="1"/>
    <xf numFmtId="0" fontId="2" fillId="0" borderId="0" xfId="37"/>
    <xf numFmtId="0" fontId="21" fillId="0" borderId="5" xfId="37" applyFont="1" applyBorder="1" applyAlignment="1">
      <alignment horizontal="center" vertical="center" wrapText="1"/>
    </xf>
    <xf numFmtId="0" fontId="5" fillId="0" borderId="38" xfId="37" applyFont="1" applyBorder="1" applyAlignment="1">
      <alignment horizontal="center" vertical="center" wrapText="1"/>
    </xf>
    <xf numFmtId="0" fontId="5" fillId="0" borderId="10" xfId="37" applyFont="1" applyBorder="1" applyAlignment="1">
      <alignment horizontal="center" vertical="center" wrapText="1"/>
    </xf>
    <xf numFmtId="0" fontId="4" fillId="0" borderId="5" xfId="37" applyFont="1" applyBorder="1" applyAlignment="1">
      <alignment horizontal="left"/>
    </xf>
    <xf numFmtId="0" fontId="4" fillId="0" borderId="38" xfId="37" applyFont="1" applyBorder="1" applyAlignment="1">
      <alignment wrapText="1"/>
    </xf>
    <xf numFmtId="4" fontId="4" fillId="0" borderId="10" xfId="37" applyNumberFormat="1" applyFont="1" applyBorder="1"/>
    <xf numFmtId="4" fontId="23" fillId="3" borderId="0" xfId="37" applyNumberFormat="1" applyFont="1" applyFill="1"/>
    <xf numFmtId="0" fontId="4" fillId="0" borderId="15" xfId="37" applyFont="1" applyBorder="1" applyAlignment="1">
      <alignment horizontal="left"/>
    </xf>
    <xf numFmtId="0" fontId="4" fillId="0" borderId="31" xfId="37" applyFont="1" applyBorder="1" applyAlignment="1">
      <alignment wrapText="1"/>
    </xf>
    <xf numFmtId="4" fontId="4" fillId="0" borderId="7" xfId="37" applyNumberFormat="1" applyFont="1" applyBorder="1"/>
    <xf numFmtId="4" fontId="2" fillId="0" borderId="0" xfId="37" applyNumberFormat="1"/>
    <xf numFmtId="0" fontId="4" fillId="0" borderId="44" xfId="37" applyFont="1" applyBorder="1" applyAlignment="1">
      <alignment horizontal="center"/>
    </xf>
    <xf numFmtId="0" fontId="4" fillId="0" borderId="3" xfId="37" applyFont="1" applyBorder="1" applyAlignment="1">
      <alignment vertical="center" wrapText="1"/>
    </xf>
    <xf numFmtId="4" fontId="4" fillId="0" borderId="8" xfId="37" applyNumberFormat="1" applyFont="1" applyBorder="1"/>
    <xf numFmtId="0" fontId="5" fillId="0" borderId="44" xfId="37" applyFont="1" applyBorder="1"/>
    <xf numFmtId="0" fontId="5" fillId="0" borderId="3" xfId="37" applyFont="1" applyBorder="1" applyAlignment="1">
      <alignment vertical="center" wrapText="1"/>
    </xf>
    <xf numFmtId="4" fontId="5" fillId="0" borderId="8" xfId="37" applyNumberFormat="1" applyFont="1" applyBorder="1"/>
    <xf numFmtId="0" fontId="5" fillId="0" borderId="3" xfId="37" applyFont="1" applyBorder="1" applyAlignment="1">
      <alignment horizontal="left" wrapText="1"/>
    </xf>
    <xf numFmtId="0" fontId="5" fillId="0" borderId="3" xfId="37" applyFont="1" applyBorder="1" applyAlignment="1">
      <alignment wrapText="1"/>
    </xf>
    <xf numFmtId="0" fontId="4" fillId="0" borderId="44" xfId="37" applyFont="1" applyBorder="1" applyAlignment="1">
      <alignment horizontal="left"/>
    </xf>
    <xf numFmtId="0" fontId="4" fillId="0" borderId="3" xfId="37" applyFont="1" applyBorder="1" applyAlignment="1">
      <alignment wrapText="1"/>
    </xf>
    <xf numFmtId="0" fontId="5" fillId="0" borderId="44" xfId="37" applyFont="1" applyBorder="1" applyAlignment="1">
      <alignment horizontal="right"/>
    </xf>
    <xf numFmtId="0" fontId="5" fillId="0" borderId="44" xfId="37" applyFont="1" applyBorder="1" applyAlignment="1">
      <alignment horizontal="center"/>
    </xf>
    <xf numFmtId="0" fontId="5" fillId="0" borderId="45" xfId="37" applyFont="1" applyBorder="1" applyAlignment="1">
      <alignment horizontal="center"/>
    </xf>
    <xf numFmtId="0" fontId="5" fillId="0" borderId="39" xfId="37" applyFont="1" applyBorder="1" applyAlignment="1">
      <alignment wrapText="1"/>
    </xf>
    <xf numFmtId="4" fontId="5" fillId="0" borderId="9" xfId="37" applyNumberFormat="1" applyFont="1" applyBorder="1"/>
    <xf numFmtId="0" fontId="5" fillId="0" borderId="1" xfId="37" applyFont="1" applyBorder="1"/>
    <xf numFmtId="0" fontId="5" fillId="0" borderId="41" xfId="37" applyFont="1" applyBorder="1" applyAlignment="1">
      <alignment wrapText="1"/>
    </xf>
    <xf numFmtId="4" fontId="5" fillId="0" borderId="40" xfId="37" applyNumberFormat="1" applyFont="1" applyBorder="1"/>
    <xf numFmtId="0" fontId="24" fillId="0" borderId="10" xfId="37" applyFont="1" applyBorder="1" applyAlignment="1">
      <alignment horizontal="center"/>
    </xf>
    <xf numFmtId="4" fontId="4" fillId="0" borderId="24" xfId="37" applyNumberFormat="1" applyFont="1" applyBorder="1" applyAlignment="1">
      <alignment horizontal="center" wrapText="1"/>
    </xf>
    <xf numFmtId="0" fontId="25" fillId="0" borderId="17" xfId="37" applyFont="1" applyBorder="1" applyAlignment="1">
      <alignment wrapText="1"/>
    </xf>
    <xf numFmtId="4" fontId="4" fillId="0" borderId="19" xfId="37" applyNumberFormat="1" applyFont="1" applyBorder="1" applyAlignment="1">
      <alignment horizontal="right"/>
    </xf>
    <xf numFmtId="4" fontId="20" fillId="0" borderId="0" xfId="37" applyNumberFormat="1" applyFont="1"/>
    <xf numFmtId="4" fontId="5" fillId="0" borderId="47" xfId="37" applyNumberFormat="1" applyFont="1" applyBorder="1" applyAlignment="1">
      <alignment horizontal="right"/>
    </xf>
    <xf numFmtId="0" fontId="20" fillId="0" borderId="0" xfId="37" applyFont="1"/>
    <xf numFmtId="0" fontId="25" fillId="0" borderId="17" xfId="37" applyFont="1" applyBorder="1"/>
    <xf numFmtId="0" fontId="26" fillId="0" borderId="17" xfId="37" applyFont="1" applyBorder="1" applyAlignment="1">
      <alignment wrapText="1"/>
    </xf>
    <xf numFmtId="0" fontId="5" fillId="0" borderId="46" xfId="37" applyFont="1" applyBorder="1" applyAlignment="1">
      <alignment wrapText="1"/>
    </xf>
    <xf numFmtId="165" fontId="20" fillId="0" borderId="0" xfId="37" applyNumberFormat="1" applyFont="1"/>
    <xf numFmtId="4" fontId="22" fillId="10" borderId="0" xfId="37" applyNumberFormat="1" applyFont="1" applyFill="1"/>
    <xf numFmtId="0" fontId="19" fillId="0" borderId="43" xfId="37" applyFont="1" applyBorder="1" applyAlignment="1">
      <alignment wrapText="1"/>
    </xf>
    <xf numFmtId="4" fontId="5" fillId="0" borderId="42" xfId="37" applyNumberFormat="1" applyFont="1" applyBorder="1" applyAlignment="1">
      <alignment horizontal="right"/>
    </xf>
    <xf numFmtId="0" fontId="19" fillId="0" borderId="40" xfId="37" applyFont="1" applyBorder="1" applyAlignment="1">
      <alignment wrapText="1"/>
    </xf>
    <xf numFmtId="4" fontId="5" fillId="0" borderId="25" xfId="37" applyNumberFormat="1" applyFont="1" applyBorder="1" applyAlignment="1">
      <alignment horizontal="right"/>
    </xf>
    <xf numFmtId="0" fontId="19" fillId="0" borderId="43" xfId="37" applyFont="1" applyBorder="1"/>
    <xf numFmtId="0" fontId="5" fillId="0" borderId="43" xfId="37" applyFont="1" applyBorder="1" applyAlignment="1">
      <alignment wrapText="1"/>
    </xf>
    <xf numFmtId="0" fontId="5" fillId="0" borderId="8" xfId="37" applyFont="1" applyBorder="1" applyAlignment="1">
      <alignment wrapText="1"/>
    </xf>
    <xf numFmtId="0" fontId="5" fillId="0" borderId="40" xfId="37" applyFont="1" applyBorder="1" applyAlignment="1">
      <alignment wrapText="1"/>
    </xf>
    <xf numFmtId="4" fontId="5" fillId="0" borderId="40" xfId="37" applyNumberFormat="1" applyFont="1" applyBorder="1" applyAlignment="1">
      <alignment horizontal="right"/>
    </xf>
    <xf numFmtId="0" fontId="27" fillId="2" borderId="0" xfId="22" applyFont="1" applyFill="1"/>
    <xf numFmtId="0" fontId="27" fillId="2" borderId="0" xfId="22" applyFont="1" applyFill="1" applyBorder="1"/>
    <xf numFmtId="166" fontId="27" fillId="2" borderId="0" xfId="0" applyNumberFormat="1" applyFont="1" applyFill="1" applyBorder="1" applyAlignment="1" applyProtection="1">
      <protection hidden="1"/>
    </xf>
    <xf numFmtId="166" fontId="27" fillId="2" borderId="21" xfId="0" applyNumberFormat="1" applyFont="1" applyFill="1" applyBorder="1" applyAlignment="1" applyProtection="1">
      <protection hidden="1"/>
    </xf>
    <xf numFmtId="0" fontId="27" fillId="2" borderId="0" xfId="36" applyFont="1" applyFill="1" applyBorder="1"/>
    <xf numFmtId="0" fontId="27" fillId="2" borderId="0" xfId="22" applyFont="1" applyFill="1" applyProtection="1"/>
    <xf numFmtId="0" fontId="27" fillId="2" borderId="0" xfId="22" applyFont="1" applyFill="1" applyBorder="1" applyAlignment="1">
      <alignment vertical="center"/>
    </xf>
    <xf numFmtId="0" fontId="27" fillId="2" borderId="0" xfId="22" applyFont="1" applyFill="1" applyProtection="1">
      <protection locked="0"/>
    </xf>
    <xf numFmtId="0" fontId="29" fillId="5" borderId="33" xfId="36" applyFont="1" applyFill="1" applyBorder="1" applyAlignment="1">
      <alignment horizontal="center" vertical="center" wrapText="1"/>
    </xf>
    <xf numFmtId="0" fontId="29" fillId="5" borderId="19" xfId="36" applyFont="1" applyFill="1" applyBorder="1" applyAlignment="1">
      <alignment horizontal="center" vertical="center" wrapText="1"/>
    </xf>
    <xf numFmtId="2" fontId="29" fillId="5" borderId="6" xfId="22" applyNumberFormat="1" applyFont="1" applyFill="1" applyBorder="1" applyAlignment="1">
      <alignment vertical="center"/>
    </xf>
    <xf numFmtId="165" fontId="29" fillId="5" borderId="5" xfId="22" applyNumberFormat="1" applyFont="1" applyFill="1" applyBorder="1" applyAlignment="1">
      <alignment vertical="center"/>
    </xf>
    <xf numFmtId="4" fontId="29" fillId="5" borderId="24" xfId="22" applyNumberFormat="1" applyFont="1" applyFill="1" applyBorder="1" applyAlignment="1">
      <alignment vertical="center"/>
    </xf>
    <xf numFmtId="2" fontId="29" fillId="2" borderId="16" xfId="22" applyNumberFormat="1" applyFont="1" applyFill="1" applyBorder="1" applyAlignment="1">
      <alignment vertical="center"/>
    </xf>
    <xf numFmtId="165" fontId="29" fillId="2" borderId="30" xfId="22" applyNumberFormat="1" applyFont="1" applyFill="1" applyBorder="1" applyAlignment="1">
      <alignment vertical="center"/>
    </xf>
    <xf numFmtId="4" fontId="29" fillId="2" borderId="0" xfId="22" applyNumberFormat="1" applyFont="1" applyFill="1" applyBorder="1" applyAlignment="1">
      <alignment vertical="center"/>
    </xf>
    <xf numFmtId="4" fontId="29" fillId="2" borderId="14" xfId="22" applyNumberFormat="1" applyFont="1" applyFill="1" applyBorder="1" applyAlignment="1">
      <alignment vertical="center"/>
    </xf>
    <xf numFmtId="2" fontId="27" fillId="2" borderId="16" xfId="22" applyNumberFormat="1" applyFont="1" applyFill="1" applyBorder="1" applyAlignment="1">
      <alignment vertical="center"/>
    </xf>
    <xf numFmtId="4" fontId="27" fillId="2" borderId="14" xfId="22" applyNumberFormat="1" applyFont="1" applyFill="1" applyBorder="1" applyAlignment="1">
      <alignment vertical="center"/>
    </xf>
    <xf numFmtId="4" fontId="27" fillId="2" borderId="0" xfId="22" applyNumberFormat="1" applyFont="1" applyFill="1" applyBorder="1"/>
    <xf numFmtId="4" fontId="27" fillId="2" borderId="0" xfId="22" applyNumberFormat="1" applyFont="1" applyFill="1"/>
    <xf numFmtId="2" fontId="29" fillId="2" borderId="16" xfId="22" applyNumberFormat="1" applyFont="1" applyFill="1" applyBorder="1" applyAlignment="1">
      <alignment vertical="center" wrapText="1"/>
    </xf>
    <xf numFmtId="165" fontId="27" fillId="2" borderId="0" xfId="22" applyNumberFormat="1" applyFont="1" applyFill="1"/>
    <xf numFmtId="2" fontId="27" fillId="0" borderId="16" xfId="22" applyNumberFormat="1" applyFont="1" applyFill="1" applyBorder="1" applyAlignment="1">
      <alignment vertical="center"/>
    </xf>
    <xf numFmtId="4" fontId="27" fillId="0" borderId="14" xfId="22" applyNumberFormat="1" applyFont="1" applyFill="1" applyBorder="1" applyAlignment="1">
      <alignment vertical="center"/>
    </xf>
    <xf numFmtId="49" fontId="27" fillId="2" borderId="0" xfId="22" applyNumberFormat="1" applyFont="1" applyFill="1" applyBorder="1" applyAlignment="1">
      <alignment wrapText="1"/>
    </xf>
    <xf numFmtId="2" fontId="34" fillId="2" borderId="0" xfId="22" applyNumberFormat="1" applyFont="1" applyFill="1" applyBorder="1" applyAlignment="1">
      <alignment vertical="center"/>
    </xf>
    <xf numFmtId="2" fontId="27" fillId="2" borderId="0" xfId="22" applyNumberFormat="1" applyFont="1" applyFill="1" applyBorder="1" applyAlignment="1">
      <alignment wrapText="1"/>
    </xf>
    <xf numFmtId="0" fontId="27" fillId="2" borderId="0" xfId="0" applyNumberFormat="1" applyFont="1" applyFill="1" applyBorder="1" applyAlignment="1" applyProtection="1">
      <protection hidden="1"/>
    </xf>
    <xf numFmtId="166" fontId="27" fillId="11" borderId="48" xfId="0" applyNumberFormat="1" applyFont="1" applyFill="1" applyBorder="1" applyAlignment="1" applyProtection="1">
      <protection hidden="1"/>
    </xf>
    <xf numFmtId="2" fontId="27" fillId="11" borderId="0" xfId="0" applyNumberFormat="1" applyFont="1" applyFill="1" applyBorder="1" applyAlignment="1" applyProtection="1">
      <alignment horizontal="center" vertical="center"/>
      <protection hidden="1"/>
    </xf>
    <xf numFmtId="2" fontId="27" fillId="11" borderId="28" xfId="0" applyNumberFormat="1" applyFont="1" applyFill="1" applyBorder="1" applyAlignment="1" applyProtection="1">
      <alignment horizontal="center" vertical="center"/>
      <protection hidden="1"/>
    </xf>
    <xf numFmtId="0" fontId="27" fillId="11" borderId="0" xfId="0" applyNumberFormat="1" applyFont="1" applyFill="1" applyBorder="1" applyAlignment="1" applyProtection="1">
      <alignment horizontal="left" vertical="center"/>
      <protection hidden="1"/>
    </xf>
    <xf numFmtId="166" fontId="27" fillId="11" borderId="0" xfId="0" applyNumberFormat="1" applyFont="1" applyFill="1" applyBorder="1" applyAlignment="1" applyProtection="1">
      <protection hidden="1"/>
    </xf>
    <xf numFmtId="0" fontId="27" fillId="11" borderId="28" xfId="22" applyFont="1" applyFill="1" applyBorder="1"/>
    <xf numFmtId="166" fontId="27" fillId="11" borderId="50" xfId="0" applyNumberFormat="1" applyFont="1" applyFill="1" applyBorder="1" applyAlignment="1" applyProtection="1">
      <protection hidden="1"/>
    </xf>
    <xf numFmtId="0" fontId="27" fillId="11" borderId="48" xfId="0" applyNumberFormat="1" applyFont="1" applyFill="1" applyBorder="1" applyAlignment="1" applyProtection="1">
      <protection hidden="1"/>
    </xf>
    <xf numFmtId="0" fontId="27" fillId="11" borderId="48" xfId="0" applyNumberFormat="1" applyFont="1" applyFill="1" applyBorder="1" applyAlignment="1" applyProtection="1">
      <alignment vertical="center"/>
      <protection hidden="1"/>
    </xf>
    <xf numFmtId="2" fontId="27" fillId="11" borderId="48" xfId="0" applyNumberFormat="1" applyFont="1" applyFill="1" applyBorder="1" applyAlignment="1" applyProtection="1">
      <alignment horizontal="center" vertical="center"/>
      <protection hidden="1"/>
    </xf>
    <xf numFmtId="2" fontId="27" fillId="11" borderId="49" xfId="0" applyNumberFormat="1" applyFont="1" applyFill="1" applyBorder="1" applyAlignment="1" applyProtection="1">
      <alignment horizontal="center" vertical="center"/>
      <protection hidden="1"/>
    </xf>
    <xf numFmtId="0" fontId="27" fillId="11" borderId="50" xfId="0" applyNumberFormat="1" applyFont="1" applyFill="1" applyBorder="1" applyAlignment="1" applyProtection="1">
      <alignment horizontal="left" vertical="center"/>
      <protection hidden="1"/>
    </xf>
    <xf numFmtId="2" fontId="27" fillId="11" borderId="50" xfId="0" applyNumberFormat="1" applyFont="1" applyFill="1" applyBorder="1" applyAlignment="1" applyProtection="1">
      <alignment horizontal="center" vertical="center"/>
      <protection hidden="1"/>
    </xf>
    <xf numFmtId="166" fontId="27" fillId="11" borderId="4" xfId="0" applyNumberFormat="1" applyFont="1" applyFill="1" applyBorder="1" applyAlignment="1" applyProtection="1">
      <protection hidden="1"/>
    </xf>
    <xf numFmtId="0" fontId="29" fillId="11" borderId="48" xfId="0" applyNumberFormat="1" applyFont="1" applyFill="1" applyBorder="1" applyAlignment="1" applyProtection="1">
      <alignment horizontal="center"/>
      <protection hidden="1"/>
    </xf>
    <xf numFmtId="0" fontId="29" fillId="11" borderId="49" xfId="22" applyNumberFormat="1" applyFont="1" applyFill="1" applyBorder="1" applyAlignment="1">
      <alignment horizontal="center"/>
    </xf>
    <xf numFmtId="2" fontId="27" fillId="11" borderId="48" xfId="0" applyNumberFormat="1" applyFont="1" applyFill="1" applyBorder="1" applyAlignment="1" applyProtection="1">
      <protection hidden="1"/>
    </xf>
    <xf numFmtId="2" fontId="27" fillId="11" borderId="50" xfId="0" applyNumberFormat="1" applyFont="1" applyFill="1" applyBorder="1" applyAlignment="1" applyProtection="1">
      <protection hidden="1"/>
    </xf>
    <xf numFmtId="2" fontId="27" fillId="11" borderId="49" xfId="0" applyNumberFormat="1" applyFont="1" applyFill="1" applyBorder="1" applyAlignment="1" applyProtection="1">
      <protection hidden="1"/>
    </xf>
    <xf numFmtId="2" fontId="27" fillId="11" borderId="32" xfId="0" applyNumberFormat="1" applyFont="1" applyFill="1" applyBorder="1" applyAlignment="1" applyProtection="1">
      <protection hidden="1"/>
    </xf>
    <xf numFmtId="0" fontId="29" fillId="5" borderId="36" xfId="36" applyFont="1" applyFill="1" applyBorder="1" applyAlignment="1">
      <alignment horizontal="center" vertical="center" wrapText="1"/>
    </xf>
    <xf numFmtId="10" fontId="27" fillId="2" borderId="2" xfId="38" applyNumberFormat="1" applyFont="1" applyFill="1" applyBorder="1" applyAlignment="1" applyProtection="1">
      <alignment vertical="center"/>
      <protection hidden="1"/>
    </xf>
    <xf numFmtId="2" fontId="27" fillId="11" borderId="32" xfId="22" applyNumberFormat="1" applyFont="1" applyFill="1" applyBorder="1" applyAlignment="1">
      <alignment horizontal="center" vertical="center"/>
    </xf>
    <xf numFmtId="0" fontId="27" fillId="2" borderId="0" xfId="22" applyNumberFormat="1" applyFont="1" applyFill="1" applyBorder="1"/>
    <xf numFmtId="49" fontId="27" fillId="2" borderId="0" xfId="22" applyNumberFormat="1" applyFont="1" applyFill="1" applyAlignment="1"/>
    <xf numFmtId="49" fontId="27" fillId="2" borderId="0" xfId="22" applyNumberFormat="1" applyFont="1" applyFill="1" applyAlignment="1">
      <alignment wrapText="1"/>
    </xf>
    <xf numFmtId="0" fontId="27" fillId="2" borderId="0" xfId="22" applyNumberFormat="1" applyFont="1" applyFill="1"/>
    <xf numFmtId="164" fontId="27" fillId="2" borderId="0" xfId="22" applyNumberFormat="1" applyFont="1" applyFill="1" applyBorder="1" applyAlignment="1">
      <alignment vertical="center"/>
    </xf>
    <xf numFmtId="0" fontId="27" fillId="2" borderId="0" xfId="22" applyFont="1" applyFill="1" applyBorder="1" applyAlignment="1"/>
    <xf numFmtId="0" fontId="27" fillId="2" borderId="0" xfId="22" applyFont="1" applyFill="1" applyBorder="1" applyAlignment="1">
      <alignment wrapText="1"/>
    </xf>
    <xf numFmtId="0" fontId="27" fillId="2" borderId="0" xfId="22" applyFont="1" applyFill="1" applyBorder="1" applyAlignment="1">
      <alignment horizontal="center" wrapText="1"/>
    </xf>
    <xf numFmtId="0" fontId="27" fillId="2" borderId="0" xfId="22" applyFont="1" applyFill="1" applyBorder="1" applyAlignment="1">
      <alignment horizontal="right"/>
    </xf>
    <xf numFmtId="0" fontId="32" fillId="2" borderId="0" xfId="22" applyFont="1" applyFill="1" applyBorder="1" applyAlignment="1"/>
    <xf numFmtId="0" fontId="27" fillId="2" borderId="0" xfId="22" applyFont="1" applyFill="1" applyAlignment="1">
      <alignment wrapText="1"/>
    </xf>
    <xf numFmtId="0" fontId="32" fillId="2" borderId="0" xfId="22" applyFont="1" applyFill="1" applyBorder="1" applyAlignment="1">
      <alignment horizontal="center" wrapText="1"/>
    </xf>
    <xf numFmtId="0" fontId="32" fillId="2" borderId="0" xfId="22" applyFont="1" applyFill="1" applyBorder="1" applyAlignment="1">
      <alignment horizontal="center"/>
    </xf>
    <xf numFmtId="2" fontId="27" fillId="2" borderId="0" xfId="22" applyNumberFormat="1" applyFont="1" applyFill="1" applyBorder="1" applyAlignment="1">
      <alignment horizontal="right"/>
    </xf>
    <xf numFmtId="0" fontId="33" fillId="2" borderId="0" xfId="22" applyFont="1" applyFill="1" applyBorder="1"/>
    <xf numFmtId="0" fontId="27" fillId="2" borderId="35" xfId="22" applyFont="1" applyFill="1" applyBorder="1"/>
    <xf numFmtId="2" fontId="29" fillId="2" borderId="6" xfId="22" applyNumberFormat="1" applyFont="1" applyFill="1" applyBorder="1" applyAlignment="1">
      <alignment vertical="center"/>
    </xf>
    <xf numFmtId="165" fontId="29" fillId="2" borderId="5" xfId="22" applyNumberFormat="1" applyFont="1" applyFill="1" applyBorder="1" applyAlignment="1">
      <alignment vertical="center"/>
    </xf>
    <xf numFmtId="4" fontId="29" fillId="2" borderId="24" xfId="22" applyNumberFormat="1" applyFont="1" applyFill="1" applyBorder="1" applyAlignment="1">
      <alignment vertical="center"/>
    </xf>
    <xf numFmtId="0" fontId="28" fillId="12" borderId="6" xfId="22" applyFont="1" applyFill="1" applyBorder="1" applyAlignment="1">
      <alignment vertical="center"/>
    </xf>
    <xf numFmtId="0" fontId="29" fillId="8" borderId="33" xfId="22" applyFont="1" applyFill="1" applyBorder="1" applyAlignment="1">
      <alignment horizontal="center" vertical="center" wrapText="1"/>
    </xf>
    <xf numFmtId="2" fontId="29" fillId="8" borderId="6" xfId="22" applyNumberFormat="1" applyFont="1" applyFill="1" applyBorder="1" applyAlignment="1">
      <alignment vertical="center"/>
    </xf>
    <xf numFmtId="165" fontId="29" fillId="2" borderId="30" xfId="36" applyNumberFormat="1" applyFont="1" applyFill="1" applyBorder="1" applyAlignment="1">
      <alignment vertical="center"/>
    </xf>
    <xf numFmtId="165" fontId="27" fillId="0" borderId="30" xfId="36" applyNumberFormat="1" applyFont="1" applyFill="1" applyBorder="1" applyAlignment="1">
      <alignment vertical="center"/>
    </xf>
    <xf numFmtId="165" fontId="27" fillId="2" borderId="30" xfId="36" applyNumberFormat="1" applyFont="1" applyFill="1" applyBorder="1" applyAlignment="1">
      <alignment vertical="center"/>
    </xf>
    <xf numFmtId="2" fontId="27" fillId="2" borderId="16" xfId="22" applyNumberFormat="1" applyFont="1" applyFill="1" applyBorder="1" applyAlignment="1">
      <alignment vertical="center" wrapText="1"/>
    </xf>
    <xf numFmtId="0" fontId="27" fillId="2" borderId="0" xfId="22" applyFont="1" applyFill="1" applyAlignment="1">
      <alignment vertical="center"/>
    </xf>
    <xf numFmtId="0" fontId="29" fillId="8" borderId="36" xfId="22" applyFont="1" applyFill="1" applyBorder="1" applyAlignment="1">
      <alignment horizontal="center" vertical="center" wrapText="1"/>
    </xf>
    <xf numFmtId="4" fontId="29" fillId="2" borderId="14" xfId="36" applyNumberFormat="1" applyFont="1" applyFill="1" applyBorder="1" applyAlignment="1">
      <alignment vertical="center"/>
    </xf>
    <xf numFmtId="0" fontId="31" fillId="2" borderId="0" xfId="22" applyFont="1" applyFill="1" applyBorder="1"/>
    <xf numFmtId="165" fontId="29" fillId="5" borderId="5" xfId="36" applyNumberFormat="1" applyFont="1" applyFill="1" applyBorder="1" applyAlignment="1">
      <alignment vertical="center"/>
    </xf>
    <xf numFmtId="165" fontId="29" fillId="2" borderId="5" xfId="36" applyNumberFormat="1" applyFont="1" applyFill="1" applyBorder="1" applyAlignment="1">
      <alignment vertical="center"/>
    </xf>
    <xf numFmtId="0" fontId="31" fillId="2" borderId="22" xfId="36" applyFont="1" applyFill="1" applyBorder="1" applyAlignment="1"/>
    <xf numFmtId="165" fontId="29" fillId="5" borderId="11" xfId="36" applyNumberFormat="1" applyFont="1" applyFill="1" applyBorder="1" applyAlignment="1">
      <alignment vertical="center"/>
    </xf>
    <xf numFmtId="165" fontId="29" fillId="0" borderId="30" xfId="36" applyNumberFormat="1" applyFont="1" applyFill="1" applyBorder="1" applyAlignment="1">
      <alignment vertical="center"/>
    </xf>
    <xf numFmtId="0" fontId="28" fillId="7" borderId="6" xfId="22" applyFont="1" applyFill="1" applyBorder="1" applyAlignment="1">
      <alignment vertical="center"/>
    </xf>
    <xf numFmtId="0" fontId="29" fillId="6" borderId="33" xfId="22" applyFont="1" applyFill="1" applyBorder="1" applyAlignment="1">
      <alignment horizontal="center" vertical="center" wrapText="1"/>
    </xf>
    <xf numFmtId="0" fontId="29" fillId="6" borderId="19" xfId="22" applyFont="1" applyFill="1" applyBorder="1" applyAlignment="1">
      <alignment horizontal="center" vertical="center" wrapText="1"/>
    </xf>
    <xf numFmtId="0" fontId="29" fillId="6" borderId="22" xfId="22" applyFont="1" applyFill="1" applyBorder="1" applyAlignment="1">
      <alignment horizontal="center" vertical="center" wrapText="1"/>
    </xf>
    <xf numFmtId="0" fontId="29" fillId="6" borderId="37" xfId="22" applyFont="1" applyFill="1" applyBorder="1" applyAlignment="1">
      <alignment horizontal="center" vertical="center" wrapText="1"/>
    </xf>
    <xf numFmtId="0" fontId="29" fillId="6" borderId="18" xfId="22" applyFont="1" applyFill="1" applyBorder="1" applyAlignment="1">
      <alignment horizontal="center" vertical="center" wrapText="1"/>
    </xf>
    <xf numFmtId="165" fontId="29" fillId="6" borderId="5" xfId="22" applyNumberFormat="1" applyFont="1" applyFill="1" applyBorder="1" applyAlignment="1">
      <alignment vertical="center"/>
    </xf>
    <xf numFmtId="0" fontId="28" fillId="2" borderId="0" xfId="22" applyFont="1" applyFill="1" applyBorder="1"/>
    <xf numFmtId="0" fontId="28" fillId="2" borderId="0" xfId="22" applyFont="1" applyFill="1" applyBorder="1" applyAlignment="1">
      <alignment vertical="center"/>
    </xf>
    <xf numFmtId="165" fontId="29" fillId="6" borderId="11" xfId="36" applyNumberFormat="1" applyFont="1" applyFill="1" applyBorder="1" applyAlignment="1">
      <alignment vertical="center"/>
    </xf>
    <xf numFmtId="165" fontId="29" fillId="6" borderId="5" xfId="36" applyNumberFormat="1" applyFont="1" applyFill="1" applyBorder="1" applyAlignment="1">
      <alignment vertical="center"/>
    </xf>
    <xf numFmtId="2" fontId="29" fillId="6" borderId="6" xfId="22" applyNumberFormat="1" applyFont="1" applyFill="1" applyBorder="1" applyAlignment="1">
      <alignment vertical="center"/>
    </xf>
    <xf numFmtId="0" fontId="1" fillId="0" borderId="0" xfId="37" applyFont="1"/>
    <xf numFmtId="0" fontId="28" fillId="9" borderId="6" xfId="22" applyFont="1" applyFill="1" applyBorder="1" applyAlignment="1">
      <alignment vertical="center"/>
    </xf>
    <xf numFmtId="0" fontId="37" fillId="0" borderId="0" xfId="0" applyFont="1"/>
    <xf numFmtId="175" fontId="0" fillId="0" borderId="0" xfId="0" applyNumberFormat="1"/>
    <xf numFmtId="0" fontId="27" fillId="2" borderId="35" xfId="22" applyFont="1" applyFill="1" applyBorder="1" applyAlignment="1"/>
    <xf numFmtId="0" fontId="29" fillId="5" borderId="0" xfId="36" applyFont="1" applyFill="1" applyBorder="1" applyAlignment="1">
      <alignment horizontal="center" vertical="center" wrapText="1"/>
    </xf>
    <xf numFmtId="165" fontId="27" fillId="10" borderId="30" xfId="36" applyNumberFormat="1" applyFont="1" applyFill="1" applyBorder="1" applyAlignment="1">
      <alignment vertical="center"/>
    </xf>
    <xf numFmtId="4" fontId="27" fillId="10" borderId="14" xfId="22" applyNumberFormat="1" applyFont="1" applyFill="1" applyBorder="1" applyAlignment="1">
      <alignment vertical="center"/>
    </xf>
    <xf numFmtId="165" fontId="29" fillId="10" borderId="5" xfId="22" applyNumberFormat="1" applyFont="1" applyFill="1" applyBorder="1" applyAlignment="1">
      <alignment vertical="center"/>
    </xf>
    <xf numFmtId="4" fontId="29" fillId="10" borderId="24" xfId="22" applyNumberFormat="1" applyFont="1" applyFill="1" applyBorder="1" applyAlignment="1">
      <alignment vertical="center"/>
    </xf>
    <xf numFmtId="0" fontId="27" fillId="2" borderId="0" xfId="39" applyFont="1" applyFill="1"/>
    <xf numFmtId="2" fontId="34" fillId="2" borderId="0" xfId="39" applyNumberFormat="1" applyFont="1" applyFill="1" applyBorder="1" applyAlignment="1">
      <alignment vertical="center"/>
    </xf>
    <xf numFmtId="0" fontId="27" fillId="2" borderId="0" xfId="39" applyFont="1" applyFill="1" applyBorder="1"/>
    <xf numFmtId="49" fontId="27" fillId="2" borderId="0" xfId="39" applyNumberFormat="1" applyFont="1" applyFill="1" applyBorder="1" applyAlignment="1">
      <alignment wrapText="1"/>
    </xf>
    <xf numFmtId="49" fontId="27" fillId="2" borderId="0" xfId="39" applyNumberFormat="1" applyFont="1" applyFill="1" applyAlignment="1">
      <alignment horizontal="right" wrapText="1"/>
    </xf>
    <xf numFmtId="165" fontId="27" fillId="2" borderId="21" xfId="39" applyNumberFormat="1" applyFont="1" applyFill="1" applyBorder="1"/>
    <xf numFmtId="0" fontId="27" fillId="2" borderId="21" xfId="39" applyFont="1" applyFill="1" applyBorder="1"/>
    <xf numFmtId="165" fontId="27" fillId="2" borderId="0" xfId="39" applyNumberFormat="1" applyFont="1" applyFill="1" applyBorder="1" applyAlignment="1">
      <alignment vertical="center"/>
    </xf>
    <xf numFmtId="2" fontId="29" fillId="2" borderId="10" xfId="22" applyNumberFormat="1" applyFont="1" applyFill="1" applyBorder="1" applyAlignment="1">
      <alignment vertical="center"/>
    </xf>
    <xf numFmtId="0" fontId="27" fillId="2" borderId="10" xfId="22" applyFont="1" applyFill="1" applyBorder="1"/>
    <xf numFmtId="4" fontId="27" fillId="2" borderId="0" xfId="39" applyNumberFormat="1" applyFont="1" applyFill="1" applyBorder="1"/>
    <xf numFmtId="0" fontId="29" fillId="5" borderId="22" xfId="36" applyFont="1" applyFill="1" applyBorder="1" applyAlignment="1">
      <alignment horizontal="center" vertical="center" wrapText="1"/>
    </xf>
    <xf numFmtId="0" fontId="29" fillId="5" borderId="37" xfId="36" applyFont="1" applyFill="1" applyBorder="1" applyAlignment="1">
      <alignment horizontal="center" vertical="center" wrapText="1"/>
    </xf>
    <xf numFmtId="0" fontId="29" fillId="5" borderId="11" xfId="36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 applyProtection="1">
      <alignment vertical="center"/>
      <protection hidden="1"/>
    </xf>
    <xf numFmtId="166" fontId="27" fillId="2" borderId="0" xfId="0" applyNumberFormat="1" applyFont="1" applyFill="1" applyBorder="1" applyAlignment="1" applyProtection="1">
      <alignment vertical="center"/>
      <protection hidden="1"/>
    </xf>
    <xf numFmtId="165" fontId="29" fillId="14" borderId="30" xfId="22" applyNumberFormat="1" applyFont="1" applyFill="1" applyBorder="1" applyAlignment="1">
      <alignment vertical="center"/>
    </xf>
    <xf numFmtId="165" fontId="29" fillId="14" borderId="5" xfId="22" applyNumberFormat="1" applyFont="1" applyFill="1" applyBorder="1" applyAlignment="1">
      <alignment vertical="center"/>
    </xf>
    <xf numFmtId="165" fontId="29" fillId="14" borderId="30" xfId="36" applyNumberFormat="1" applyFont="1" applyFill="1" applyBorder="1" applyAlignment="1">
      <alignment vertical="center"/>
    </xf>
    <xf numFmtId="165" fontId="27" fillId="14" borderId="30" xfId="36" applyNumberFormat="1" applyFont="1" applyFill="1" applyBorder="1" applyAlignment="1">
      <alignment vertical="center"/>
    </xf>
    <xf numFmtId="165" fontId="29" fillId="14" borderId="5" xfId="36" applyNumberFormat="1" applyFont="1" applyFill="1" applyBorder="1" applyAlignment="1">
      <alignment vertical="center"/>
    </xf>
    <xf numFmtId="165" fontId="27" fillId="2" borderId="0" xfId="22" applyNumberFormat="1" applyFont="1" applyFill="1" applyBorder="1"/>
    <xf numFmtId="165" fontId="27" fillId="2" borderId="0" xfId="22" applyNumberFormat="1" applyFont="1" applyFill="1" applyBorder="1" applyAlignment="1"/>
    <xf numFmtId="165" fontId="27" fillId="2" borderId="0" xfId="22" applyNumberFormat="1" applyFont="1" applyFill="1" applyBorder="1" applyAlignment="1">
      <alignment wrapText="1"/>
    </xf>
    <xf numFmtId="2" fontId="27" fillId="2" borderId="0" xfId="22" applyNumberFormat="1" applyFont="1" applyFill="1" applyBorder="1"/>
    <xf numFmtId="176" fontId="27" fillId="2" borderId="0" xfId="22" applyNumberFormat="1" applyFont="1" applyFill="1"/>
    <xf numFmtId="2" fontId="27" fillId="2" borderId="6" xfId="22" applyNumberFormat="1" applyFont="1" applyFill="1" applyBorder="1" applyAlignment="1">
      <alignment vertical="center"/>
    </xf>
    <xf numFmtId="165" fontId="27" fillId="2" borderId="5" xfId="36" applyNumberFormat="1" applyFont="1" applyFill="1" applyBorder="1" applyAlignment="1">
      <alignment vertical="center"/>
    </xf>
    <xf numFmtId="165" fontId="27" fillId="14" borderId="5" xfId="36" applyNumberFormat="1" applyFont="1" applyFill="1" applyBorder="1" applyAlignment="1">
      <alignment vertical="center"/>
    </xf>
    <xf numFmtId="2" fontId="27" fillId="2" borderId="0" xfId="22" applyNumberFormat="1" applyFont="1" applyFill="1"/>
    <xf numFmtId="165" fontId="29" fillId="8" borderId="5" xfId="0" applyNumberFormat="1" applyFont="1" applyFill="1" applyBorder="1"/>
    <xf numFmtId="165" fontId="29" fillId="2" borderId="29" xfId="0" applyNumberFormat="1" applyFont="1" applyFill="1" applyBorder="1"/>
    <xf numFmtId="165" fontId="29" fillId="14" borderId="29" xfId="0" applyNumberFormat="1" applyFont="1" applyFill="1" applyBorder="1"/>
    <xf numFmtId="165" fontId="27" fillId="2" borderId="30" xfId="0" applyNumberFormat="1" applyFont="1" applyFill="1" applyBorder="1"/>
    <xf numFmtId="165" fontId="27" fillId="14" borderId="30" xfId="0" applyNumberFormat="1" applyFont="1" applyFill="1" applyBorder="1"/>
    <xf numFmtId="165" fontId="27" fillId="2" borderId="30" xfId="0" applyNumberFormat="1" applyFont="1" applyFill="1" applyBorder="1" applyAlignment="1">
      <alignment vertical="center"/>
    </xf>
    <xf numFmtId="165" fontId="27" fillId="14" borderId="30" xfId="0" applyNumberFormat="1" applyFont="1" applyFill="1" applyBorder="1" applyAlignment="1">
      <alignment vertical="center"/>
    </xf>
    <xf numFmtId="165" fontId="27" fillId="2" borderId="30" xfId="22" applyNumberFormat="1" applyFont="1" applyFill="1" applyBorder="1" applyAlignment="1">
      <alignment vertical="center"/>
    </xf>
    <xf numFmtId="165" fontId="27" fillId="14" borderId="30" xfId="22" applyNumberFormat="1" applyFont="1" applyFill="1" applyBorder="1" applyAlignment="1">
      <alignment vertical="center"/>
    </xf>
    <xf numFmtId="165" fontId="29" fillId="2" borderId="30" xfId="0" applyNumberFormat="1" applyFont="1" applyFill="1" applyBorder="1"/>
    <xf numFmtId="165" fontId="29" fillId="14" borderId="30" xfId="0" applyNumberFormat="1" applyFont="1" applyFill="1" applyBorder="1"/>
    <xf numFmtId="165" fontId="29" fillId="8" borderId="5" xfId="22" applyNumberFormat="1" applyFont="1" applyFill="1" applyBorder="1" applyAlignment="1">
      <alignment vertical="center"/>
    </xf>
    <xf numFmtId="165" fontId="29" fillId="8" borderId="5" xfId="36" applyNumberFormat="1" applyFont="1" applyFill="1" applyBorder="1" applyAlignment="1">
      <alignment vertical="center"/>
    </xf>
    <xf numFmtId="165" fontId="29" fillId="2" borderId="11" xfId="0" applyNumberFormat="1" applyFont="1" applyFill="1" applyBorder="1"/>
    <xf numFmtId="165" fontId="29" fillId="14" borderId="11" xfId="0" applyNumberFormat="1" applyFont="1" applyFill="1" applyBorder="1"/>
    <xf numFmtId="165" fontId="29" fillId="2" borderId="15" xfId="0" applyNumberFormat="1" applyFont="1" applyFill="1" applyBorder="1"/>
    <xf numFmtId="165" fontId="29" fillId="14" borderId="15" xfId="0" applyNumberFormat="1" applyFont="1" applyFill="1" applyBorder="1"/>
    <xf numFmtId="165" fontId="29" fillId="2" borderId="5" xfId="0" applyNumberFormat="1" applyFont="1" applyFill="1" applyBorder="1"/>
    <xf numFmtId="165" fontId="29" fillId="14" borderId="5" xfId="0" applyNumberFormat="1" applyFont="1" applyFill="1" applyBorder="1"/>
    <xf numFmtId="165" fontId="27" fillId="2" borderId="29" xfId="36" applyNumberFormat="1" applyFont="1" applyFill="1" applyBorder="1"/>
    <xf numFmtId="165" fontId="27" fillId="14" borderId="29" xfId="0" applyNumberFormat="1" applyFont="1" applyFill="1" applyBorder="1"/>
    <xf numFmtId="165" fontId="27" fillId="2" borderId="30" xfId="36" applyNumberFormat="1" applyFont="1" applyFill="1" applyBorder="1"/>
    <xf numFmtId="0" fontId="39" fillId="2" borderId="22" xfId="36" applyFont="1" applyFill="1" applyBorder="1" applyAlignment="1"/>
    <xf numFmtId="165" fontId="27" fillId="2" borderId="21" xfId="36" applyNumberFormat="1" applyFont="1" applyFill="1" applyBorder="1" applyAlignment="1">
      <alignment horizontal="center" wrapText="1"/>
    </xf>
    <xf numFmtId="2" fontId="16" fillId="2" borderId="16" xfId="22" applyNumberFormat="1" applyFont="1" applyFill="1" applyBorder="1" applyAlignment="1">
      <alignment vertical="center"/>
    </xf>
    <xf numFmtId="167" fontId="29" fillId="5" borderId="36" xfId="22" applyNumberFormat="1" applyFont="1" applyFill="1" applyBorder="1" applyAlignment="1">
      <alignment vertical="center"/>
    </xf>
    <xf numFmtId="167" fontId="29" fillId="2" borderId="12" xfId="22" applyNumberFormat="1" applyFont="1" applyFill="1" applyBorder="1" applyAlignment="1">
      <alignment vertical="center"/>
    </xf>
    <xf numFmtId="167" fontId="27" fillId="2" borderId="12" xfId="22" applyNumberFormat="1" applyFont="1" applyFill="1" applyBorder="1" applyAlignment="1">
      <alignment vertical="center"/>
    </xf>
    <xf numFmtId="167" fontId="29" fillId="5" borderId="13" xfId="22" applyNumberFormat="1" applyFont="1" applyFill="1" applyBorder="1" applyAlignment="1">
      <alignment vertical="center"/>
    </xf>
    <xf numFmtId="167" fontId="29" fillId="2" borderId="12" xfId="36" applyNumberFormat="1" applyFont="1" applyFill="1" applyBorder="1" applyAlignment="1">
      <alignment vertical="center"/>
    </xf>
    <xf numFmtId="167" fontId="29" fillId="2" borderId="13" xfId="22" applyNumberFormat="1" applyFont="1" applyFill="1" applyBorder="1" applyAlignment="1">
      <alignment vertical="center"/>
    </xf>
    <xf numFmtId="167" fontId="27" fillId="2" borderId="13" xfId="22" applyNumberFormat="1" applyFont="1" applyFill="1" applyBorder="1" applyAlignment="1">
      <alignment vertical="center"/>
    </xf>
    <xf numFmtId="167" fontId="27" fillId="0" borderId="12" xfId="22" applyNumberFormat="1" applyFont="1" applyFill="1" applyBorder="1" applyAlignment="1">
      <alignment vertical="center"/>
    </xf>
    <xf numFmtId="167" fontId="29" fillId="5" borderId="24" xfId="36" applyNumberFormat="1" applyFont="1" applyFill="1" applyBorder="1" applyAlignment="1">
      <alignment vertical="center"/>
    </xf>
    <xf numFmtId="167" fontId="29" fillId="2" borderId="14" xfId="36" applyNumberFormat="1" applyFont="1" applyFill="1" applyBorder="1" applyAlignment="1">
      <alignment vertical="center"/>
    </xf>
    <xf numFmtId="167" fontId="27" fillId="2" borderId="14" xfId="36" applyNumberFormat="1" applyFont="1" applyFill="1" applyBorder="1" applyAlignment="1">
      <alignment vertical="center"/>
    </xf>
    <xf numFmtId="167" fontId="29" fillId="2" borderId="24" xfId="36" applyNumberFormat="1" applyFont="1" applyFill="1" applyBorder="1" applyAlignment="1">
      <alignment vertical="center"/>
    </xf>
    <xf numFmtId="167" fontId="27" fillId="2" borderId="24" xfId="36" applyNumberFormat="1" applyFont="1" applyFill="1" applyBorder="1" applyAlignment="1">
      <alignment vertical="center"/>
    </xf>
    <xf numFmtId="167" fontId="27" fillId="0" borderId="14" xfId="36" applyNumberFormat="1" applyFont="1" applyFill="1" applyBorder="1" applyAlignment="1">
      <alignment vertical="center"/>
    </xf>
    <xf numFmtId="167" fontId="29" fillId="14" borderId="12" xfId="22" applyNumberFormat="1" applyFont="1" applyFill="1" applyBorder="1" applyAlignment="1">
      <alignment vertical="center"/>
    </xf>
    <xf numFmtId="167" fontId="27" fillId="14" borderId="12" xfId="22" applyNumberFormat="1" applyFont="1" applyFill="1" applyBorder="1" applyAlignment="1">
      <alignment vertical="center"/>
    </xf>
    <xf numFmtId="167" fontId="29" fillId="14" borderId="12" xfId="36" applyNumberFormat="1" applyFont="1" applyFill="1" applyBorder="1" applyAlignment="1">
      <alignment vertical="center"/>
    </xf>
    <xf numFmtId="167" fontId="29" fillId="14" borderId="13" xfId="22" applyNumberFormat="1" applyFont="1" applyFill="1" applyBorder="1" applyAlignment="1">
      <alignment horizontal="center" vertical="center"/>
    </xf>
    <xf numFmtId="167" fontId="27" fillId="14" borderId="13" xfId="22" applyNumberFormat="1" applyFont="1" applyFill="1" applyBorder="1" applyAlignment="1">
      <alignment horizontal="center" vertical="center"/>
    </xf>
    <xf numFmtId="167" fontId="29" fillId="14" borderId="12" xfId="22" applyNumberFormat="1" applyFont="1" applyFill="1" applyBorder="1" applyAlignment="1">
      <alignment horizontal="center" vertical="center"/>
    </xf>
    <xf numFmtId="167" fontId="29" fillId="14" borderId="13" xfId="22" applyNumberFormat="1" applyFont="1" applyFill="1" applyBorder="1" applyAlignment="1">
      <alignment vertical="center"/>
    </xf>
    <xf numFmtId="167" fontId="29" fillId="8" borderId="13" xfId="0" applyNumberFormat="1" applyFont="1" applyFill="1" applyBorder="1"/>
    <xf numFmtId="167" fontId="29" fillId="2" borderId="34" xfId="0" applyNumberFormat="1" applyFont="1" applyFill="1" applyBorder="1"/>
    <xf numFmtId="167" fontId="27" fillId="2" borderId="12" xfId="0" applyNumberFormat="1" applyFont="1" applyFill="1" applyBorder="1"/>
    <xf numFmtId="167" fontId="27" fillId="2" borderId="12" xfId="0" applyNumberFormat="1" applyFont="1" applyFill="1" applyBorder="1" applyAlignment="1">
      <alignment vertical="center"/>
    </xf>
    <xf numFmtId="167" fontId="29" fillId="2" borderId="12" xfId="0" applyNumberFormat="1" applyFont="1" applyFill="1" applyBorder="1"/>
    <xf numFmtId="167" fontId="29" fillId="8" borderId="13" xfId="22" applyNumberFormat="1" applyFont="1" applyFill="1" applyBorder="1" applyAlignment="1">
      <alignment vertical="center"/>
    </xf>
    <xf numFmtId="167" fontId="29" fillId="2" borderId="36" xfId="0" applyNumberFormat="1" applyFont="1" applyFill="1" applyBorder="1"/>
    <xf numFmtId="167" fontId="29" fillId="2" borderId="53" xfId="0" applyNumberFormat="1" applyFont="1" applyFill="1" applyBorder="1"/>
    <xf numFmtId="167" fontId="29" fillId="2" borderId="13" xfId="0" applyNumberFormat="1" applyFont="1" applyFill="1" applyBorder="1"/>
    <xf numFmtId="167" fontId="27" fillId="2" borderId="34" xfId="0" applyNumberFormat="1" applyFont="1" applyFill="1" applyBorder="1"/>
    <xf numFmtId="167" fontId="29" fillId="14" borderId="34" xfId="0" applyNumberFormat="1" applyFont="1" applyFill="1" applyBorder="1"/>
    <xf numFmtId="167" fontId="27" fillId="14" borderId="12" xfId="0" applyNumberFormat="1" applyFont="1" applyFill="1" applyBorder="1"/>
    <xf numFmtId="167" fontId="27" fillId="14" borderId="12" xfId="0" applyNumberFormat="1" applyFont="1" applyFill="1" applyBorder="1" applyAlignment="1">
      <alignment vertical="center"/>
    </xf>
    <xf numFmtId="167" fontId="29" fillId="14" borderId="12" xfId="0" applyNumberFormat="1" applyFont="1" applyFill="1" applyBorder="1"/>
    <xf numFmtId="167" fontId="29" fillId="14" borderId="36" xfId="0" applyNumberFormat="1" applyFont="1" applyFill="1" applyBorder="1"/>
    <xf numFmtId="167" fontId="29" fillId="14" borderId="53" xfId="0" applyNumberFormat="1" applyFont="1" applyFill="1" applyBorder="1"/>
    <xf numFmtId="167" fontId="29" fillId="14" borderId="13" xfId="0" applyNumberFormat="1" applyFont="1" applyFill="1" applyBorder="1"/>
    <xf numFmtId="167" fontId="27" fillId="14" borderId="34" xfId="0" applyNumberFormat="1" applyFont="1" applyFill="1" applyBorder="1"/>
    <xf numFmtId="167" fontId="29" fillId="6" borderId="24" xfId="22" applyNumberFormat="1" applyFont="1" applyFill="1" applyBorder="1" applyAlignment="1">
      <alignment vertical="center"/>
    </xf>
    <xf numFmtId="167" fontId="29" fillId="2" borderId="0" xfId="22" applyNumberFormat="1" applyFont="1" applyFill="1" applyBorder="1" applyAlignment="1">
      <alignment vertical="center"/>
    </xf>
    <xf numFmtId="167" fontId="27" fillId="2" borderId="14" xfId="22" applyNumberFormat="1" applyFont="1" applyFill="1" applyBorder="1" applyAlignment="1">
      <alignment vertical="center"/>
    </xf>
    <xf numFmtId="167" fontId="29" fillId="2" borderId="14" xfId="22" applyNumberFormat="1" applyFont="1" applyFill="1" applyBorder="1" applyAlignment="1">
      <alignment vertical="center"/>
    </xf>
    <xf numFmtId="167" fontId="29" fillId="2" borderId="24" xfId="22" applyNumberFormat="1" applyFont="1" applyFill="1" applyBorder="1" applyAlignment="1">
      <alignment vertical="center"/>
    </xf>
    <xf numFmtId="167" fontId="27" fillId="2" borderId="24" xfId="22" applyNumberFormat="1" applyFont="1" applyFill="1" applyBorder="1" applyAlignment="1">
      <alignment vertical="center"/>
    </xf>
    <xf numFmtId="167" fontId="27" fillId="0" borderId="14" xfId="22" applyNumberFormat="1" applyFont="1" applyFill="1" applyBorder="1" applyAlignment="1">
      <alignment vertical="center"/>
    </xf>
    <xf numFmtId="167" fontId="29" fillId="14" borderId="0" xfId="22" applyNumberFormat="1" applyFont="1" applyFill="1" applyBorder="1" applyAlignment="1">
      <alignment vertical="center"/>
    </xf>
    <xf numFmtId="167" fontId="27" fillId="14" borderId="14" xfId="22" applyNumberFormat="1" applyFont="1" applyFill="1" applyBorder="1" applyAlignment="1">
      <alignment vertical="center"/>
    </xf>
    <xf numFmtId="167" fontId="29" fillId="14" borderId="14" xfId="22" applyNumberFormat="1" applyFont="1" applyFill="1" applyBorder="1" applyAlignment="1">
      <alignment vertical="center"/>
    </xf>
    <xf numFmtId="167" fontId="29" fillId="14" borderId="24" xfId="22" applyNumberFormat="1" applyFont="1" applyFill="1" applyBorder="1" applyAlignment="1">
      <alignment vertical="center"/>
    </xf>
    <xf numFmtId="167" fontId="27" fillId="14" borderId="24" xfId="22" applyNumberFormat="1" applyFont="1" applyFill="1" applyBorder="1" applyAlignment="1">
      <alignment vertical="center"/>
    </xf>
    <xf numFmtId="167" fontId="27" fillId="2" borderId="12" xfId="36" applyNumberFormat="1" applyFont="1" applyFill="1" applyBorder="1" applyAlignment="1">
      <alignment vertical="center"/>
    </xf>
    <xf numFmtId="167" fontId="29" fillId="8" borderId="13" xfId="36" applyNumberFormat="1" applyFont="1" applyFill="1" applyBorder="1" applyAlignment="1">
      <alignment vertical="center"/>
    </xf>
    <xf numFmtId="167" fontId="29" fillId="2" borderId="13" xfId="36" applyNumberFormat="1" applyFont="1" applyFill="1" applyBorder="1" applyAlignment="1">
      <alignment vertical="center"/>
    </xf>
    <xf numFmtId="167" fontId="27" fillId="14" borderId="12" xfId="0" applyNumberFormat="1" applyFont="1" applyFill="1" applyBorder="1" applyAlignment="1">
      <alignment horizontal="right"/>
    </xf>
    <xf numFmtId="2" fontId="29" fillId="5" borderId="10" xfId="22" applyNumberFormat="1" applyFont="1" applyFill="1" applyBorder="1" applyAlignment="1">
      <alignment vertical="center"/>
    </xf>
    <xf numFmtId="2" fontId="42" fillId="2" borderId="0" xfId="22" applyNumberFormat="1" applyFont="1" applyFill="1"/>
    <xf numFmtId="165" fontId="16" fillId="2" borderId="30" xfId="36" applyNumberFormat="1" applyFont="1" applyFill="1" applyBorder="1" applyAlignment="1">
      <alignment vertical="center"/>
    </xf>
    <xf numFmtId="165" fontId="29" fillId="15" borderId="5" xfId="36" applyNumberFormat="1" applyFont="1" applyFill="1" applyBorder="1" applyAlignment="1">
      <alignment vertical="center"/>
    </xf>
    <xf numFmtId="2" fontId="27" fillId="2" borderId="54" xfId="22" applyNumberFormat="1" applyFont="1" applyFill="1" applyBorder="1"/>
    <xf numFmtId="0" fontId="38" fillId="2" borderId="0" xfId="22" applyFont="1" applyFill="1" applyBorder="1"/>
    <xf numFmtId="0" fontId="27" fillId="0" borderId="0" xfId="22" applyFont="1" applyFill="1"/>
    <xf numFmtId="2" fontId="27" fillId="16" borderId="0" xfId="22" applyNumberFormat="1" applyFont="1" applyFill="1" applyBorder="1"/>
    <xf numFmtId="4" fontId="27" fillId="17" borderId="0" xfId="22" applyNumberFormat="1" applyFont="1" applyFill="1" applyBorder="1"/>
    <xf numFmtId="0" fontId="27" fillId="2" borderId="0" xfId="22" applyFont="1" applyFill="1" applyAlignment="1">
      <alignment horizontal="right"/>
    </xf>
    <xf numFmtId="165" fontId="16" fillId="2" borderId="30" xfId="0" applyNumberFormat="1" applyFont="1" applyFill="1" applyBorder="1"/>
    <xf numFmtId="49" fontId="43" fillId="2" borderId="0" xfId="22" applyNumberFormat="1" applyFont="1" applyFill="1" applyBorder="1" applyAlignment="1">
      <alignment wrapText="1"/>
    </xf>
    <xf numFmtId="0" fontId="44" fillId="2" borderId="0" xfId="39" applyFont="1" applyFill="1" applyBorder="1"/>
    <xf numFmtId="49" fontId="27" fillId="2" borderId="0" xfId="22" applyNumberFormat="1" applyFont="1" applyFill="1"/>
    <xf numFmtId="165" fontId="29" fillId="2" borderId="0" xfId="36" applyNumberFormat="1" applyFont="1" applyFill="1" applyBorder="1" applyAlignment="1">
      <alignment vertical="center"/>
    </xf>
    <xf numFmtId="165" fontId="29" fillId="2" borderId="21" xfId="36" applyNumberFormat="1" applyFont="1" applyFill="1" applyBorder="1" applyAlignment="1">
      <alignment vertical="center"/>
    </xf>
    <xf numFmtId="2" fontId="27" fillId="2" borderId="0" xfId="22" applyNumberFormat="1" applyFont="1" applyFill="1" applyAlignment="1">
      <alignment wrapText="1"/>
    </xf>
    <xf numFmtId="1" fontId="27" fillId="2" borderId="0" xfId="22" applyNumberFormat="1" applyFont="1" applyFill="1"/>
    <xf numFmtId="165" fontId="27" fillId="18" borderId="0" xfId="39" applyNumberFormat="1" applyFont="1" applyFill="1" applyBorder="1"/>
    <xf numFmtId="0" fontId="45" fillId="18" borderId="0" xfId="39" applyFont="1" applyFill="1"/>
    <xf numFmtId="165" fontId="45" fillId="18" borderId="0" xfId="36" applyNumberFormat="1" applyFont="1" applyFill="1" applyBorder="1" applyAlignment="1">
      <alignment vertical="center"/>
    </xf>
    <xf numFmtId="0" fontId="45" fillId="18" borderId="0" xfId="39" applyFont="1" applyFill="1" applyBorder="1"/>
    <xf numFmtId="165" fontId="45" fillId="18" borderId="0" xfId="39" applyNumberFormat="1" applyFont="1" applyFill="1" applyBorder="1"/>
    <xf numFmtId="0" fontId="27" fillId="18" borderId="16" xfId="22" applyFont="1" applyFill="1" applyBorder="1"/>
    <xf numFmtId="165" fontId="27" fillId="2" borderId="29" xfId="0" applyNumberFormat="1" applyFont="1" applyFill="1" applyBorder="1"/>
    <xf numFmtId="166" fontId="46" fillId="2" borderId="30" xfId="36" applyNumberFormat="1" applyFont="1" applyFill="1" applyBorder="1" applyAlignment="1">
      <alignment vertical="center"/>
    </xf>
    <xf numFmtId="166" fontId="29" fillId="8" borderId="5" xfId="0" applyNumberFormat="1" applyFont="1" applyFill="1" applyBorder="1"/>
    <xf numFmtId="49" fontId="29" fillId="6" borderId="10" xfId="0" applyNumberFormat="1" applyFont="1" applyFill="1" applyBorder="1" applyAlignment="1">
      <alignment horizontal="left" vertical="center" wrapText="1"/>
    </xf>
    <xf numFmtId="49" fontId="29" fillId="8" borderId="10" xfId="0" applyNumberFormat="1" applyFont="1" applyFill="1" applyBorder="1" applyAlignment="1">
      <alignment vertical="center" wrapText="1"/>
    </xf>
    <xf numFmtId="2" fontId="29" fillId="5" borderId="6" xfId="36" applyNumberFormat="1" applyFont="1" applyFill="1" applyBorder="1" applyAlignment="1">
      <alignment vertical="center"/>
    </xf>
    <xf numFmtId="165" fontId="38" fillId="2" borderId="22" xfId="36" applyNumberFormat="1" applyFont="1" applyFill="1" applyBorder="1" applyAlignment="1">
      <alignment horizontal="center" wrapText="1"/>
    </xf>
    <xf numFmtId="167" fontId="17" fillId="2" borderId="12" xfId="22" applyNumberFormat="1" applyFont="1" applyFill="1" applyBorder="1" applyAlignment="1">
      <alignment vertical="center"/>
    </xf>
    <xf numFmtId="165" fontId="17" fillId="2" borderId="5" xfId="36" applyNumberFormat="1" applyFont="1" applyFill="1" applyBorder="1" applyAlignment="1">
      <alignment vertical="center"/>
    </xf>
    <xf numFmtId="0" fontId="29" fillId="5" borderId="26" xfId="36" applyFont="1" applyFill="1" applyBorder="1" applyAlignment="1">
      <alignment horizontal="center" vertical="center"/>
    </xf>
    <xf numFmtId="0" fontId="29" fillId="5" borderId="27" xfId="36" applyFont="1" applyFill="1" applyBorder="1" applyAlignment="1">
      <alignment horizontal="center" vertical="center"/>
    </xf>
    <xf numFmtId="166" fontId="27" fillId="5" borderId="6" xfId="0" applyNumberFormat="1" applyFont="1" applyFill="1" applyBorder="1" applyAlignment="1" applyProtection="1">
      <alignment horizontal="center" vertical="center"/>
      <protection hidden="1"/>
    </xf>
    <xf numFmtId="166" fontId="27" fillId="5" borderId="23" xfId="0" applyNumberFormat="1" applyFont="1" applyFill="1" applyBorder="1" applyAlignment="1" applyProtection="1">
      <alignment horizontal="center" vertical="center"/>
      <protection hidden="1"/>
    </xf>
    <xf numFmtId="166" fontId="27" fillId="5" borderId="24" xfId="0" applyNumberFormat="1" applyFont="1" applyFill="1" applyBorder="1" applyAlignment="1" applyProtection="1">
      <alignment horizontal="center" vertical="center"/>
      <protection hidden="1"/>
    </xf>
    <xf numFmtId="0" fontId="36" fillId="13" borderId="20" xfId="22" applyFont="1" applyFill="1" applyBorder="1" applyAlignment="1">
      <alignment horizontal="center" vertical="center"/>
    </xf>
    <xf numFmtId="0" fontId="36" fillId="13" borderId="18" xfId="22" applyFont="1" applyFill="1" applyBorder="1" applyAlignment="1">
      <alignment horizontal="center" vertical="center"/>
    </xf>
    <xf numFmtId="166" fontId="27" fillId="0" borderId="16" xfId="0" applyNumberFormat="1" applyFont="1" applyFill="1" applyBorder="1" applyAlignment="1" applyProtection="1">
      <alignment horizontal="center" vertic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5" borderId="26" xfId="36" applyFont="1" applyFill="1" applyBorder="1" applyAlignment="1">
      <alignment horizontal="center" vertical="center" wrapText="1"/>
    </xf>
    <xf numFmtId="0" fontId="29" fillId="5" borderId="27" xfId="36" applyFont="1" applyFill="1" applyBorder="1" applyAlignment="1">
      <alignment horizontal="center" vertical="center" wrapText="1"/>
    </xf>
    <xf numFmtId="0" fontId="29" fillId="5" borderId="51" xfId="36" applyFont="1" applyFill="1" applyBorder="1" applyAlignment="1">
      <alignment horizontal="center" vertical="center"/>
    </xf>
    <xf numFmtId="0" fontId="29" fillId="5" borderId="52" xfId="36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 applyProtection="1">
      <alignment horizontal="center" vertical="center"/>
      <protection hidden="1"/>
    </xf>
    <xf numFmtId="0" fontId="38" fillId="2" borderId="22" xfId="36" applyFont="1" applyFill="1" applyBorder="1" applyAlignment="1">
      <alignment horizontal="center" wrapText="1"/>
    </xf>
    <xf numFmtId="165" fontId="38" fillId="2" borderId="22" xfId="36" applyNumberFormat="1" applyFont="1" applyFill="1" applyBorder="1" applyAlignment="1">
      <alignment horizontal="center" wrapText="1"/>
    </xf>
    <xf numFmtId="0" fontId="29" fillId="8" borderId="26" xfId="22" applyFont="1" applyFill="1" applyBorder="1" applyAlignment="1">
      <alignment horizontal="center" vertical="center"/>
    </xf>
    <xf numFmtId="0" fontId="29" fillId="8" borderId="27" xfId="22" applyFont="1" applyFill="1" applyBorder="1" applyAlignment="1">
      <alignment horizontal="center" vertical="center"/>
    </xf>
    <xf numFmtId="166" fontId="27" fillId="0" borderId="16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/>
    </xf>
    <xf numFmtId="166" fontId="27" fillId="8" borderId="6" xfId="0" applyNumberFormat="1" applyFont="1" applyFill="1" applyBorder="1" applyAlignment="1" applyProtection="1">
      <alignment horizontal="center" vertical="center"/>
      <protection hidden="1"/>
    </xf>
    <xf numFmtId="166" fontId="27" fillId="8" borderId="23" xfId="0" applyNumberFormat="1" applyFont="1" applyFill="1" applyBorder="1" applyAlignment="1" applyProtection="1">
      <alignment horizontal="center" vertical="center"/>
      <protection hidden="1"/>
    </xf>
    <xf numFmtId="166" fontId="27" fillId="8" borderId="24" xfId="0" applyNumberFormat="1" applyFont="1" applyFill="1" applyBorder="1" applyAlignment="1" applyProtection="1">
      <alignment horizontal="center" vertical="center"/>
      <protection hidden="1"/>
    </xf>
    <xf numFmtId="0" fontId="40" fillId="2" borderId="22" xfId="22" applyFont="1" applyFill="1" applyBorder="1" applyAlignment="1">
      <alignment horizontal="center"/>
    </xf>
    <xf numFmtId="166" fontId="27" fillId="8" borderId="6" xfId="0" applyNumberFormat="1" applyFont="1" applyFill="1" applyBorder="1" applyAlignment="1">
      <alignment horizontal="center" vertical="center"/>
    </xf>
    <xf numFmtId="166" fontId="27" fillId="8" borderId="24" xfId="0" applyNumberFormat="1" applyFont="1" applyFill="1" applyBorder="1" applyAlignment="1">
      <alignment horizontal="center" vertical="center"/>
    </xf>
    <xf numFmtId="0" fontId="36" fillId="12" borderId="54" xfId="22" applyFont="1" applyFill="1" applyBorder="1" applyAlignment="1">
      <alignment horizontal="center" vertical="center"/>
    </xf>
    <xf numFmtId="0" fontId="36" fillId="12" borderId="17" xfId="22" applyFont="1" applyFill="1" applyBorder="1" applyAlignment="1">
      <alignment horizontal="center" vertical="center"/>
    </xf>
    <xf numFmtId="166" fontId="27" fillId="6" borderId="6" xfId="0" applyNumberFormat="1" applyFont="1" applyFill="1" applyBorder="1" applyAlignment="1" applyProtection="1">
      <alignment horizontal="center" vertical="center"/>
      <protection hidden="1"/>
    </xf>
    <xf numFmtId="166" fontId="27" fillId="6" borderId="23" xfId="0" applyNumberFormat="1" applyFont="1" applyFill="1" applyBorder="1" applyAlignment="1" applyProtection="1">
      <alignment horizontal="center" vertical="center"/>
      <protection hidden="1"/>
    </xf>
    <xf numFmtId="166" fontId="27" fillId="6" borderId="24" xfId="0" applyNumberFormat="1" applyFont="1" applyFill="1" applyBorder="1" applyAlignment="1" applyProtection="1">
      <alignment horizontal="center" vertical="center"/>
      <protection hidden="1"/>
    </xf>
    <xf numFmtId="0" fontId="36" fillId="7" borderId="20" xfId="22" applyFont="1" applyFill="1" applyBorder="1" applyAlignment="1">
      <alignment horizontal="center" vertical="center"/>
    </xf>
    <xf numFmtId="0" fontId="36" fillId="7" borderId="18" xfId="22" applyFont="1" applyFill="1" applyBorder="1" applyAlignment="1">
      <alignment horizontal="center" vertical="center"/>
    </xf>
    <xf numFmtId="0" fontId="29" fillId="6" borderId="26" xfId="22" applyFont="1" applyFill="1" applyBorder="1" applyAlignment="1">
      <alignment horizontal="center" vertical="center"/>
    </xf>
    <xf numFmtId="0" fontId="29" fillId="6" borderId="27" xfId="22" applyFont="1" applyFill="1" applyBorder="1" applyAlignment="1">
      <alignment horizontal="center" vertical="center"/>
    </xf>
    <xf numFmtId="0" fontId="41" fillId="2" borderId="22" xfId="22" applyFont="1" applyFill="1" applyBorder="1" applyAlignment="1">
      <alignment horizontal="center" vertical="center" wrapText="1"/>
    </xf>
    <xf numFmtId="166" fontId="27" fillId="6" borderId="6" xfId="0" applyNumberFormat="1" applyFont="1" applyFill="1" applyBorder="1" applyAlignment="1">
      <alignment horizontal="center" vertical="center"/>
    </xf>
    <xf numFmtId="166" fontId="27" fillId="6" borderId="24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45"/>
    </xf>
    <xf numFmtId="0" fontId="16" fillId="0" borderId="0" xfId="0" applyFont="1" applyFill="1" applyAlignment="1">
      <alignment horizontal="center" vertical="center" textRotation="45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" fontId="16" fillId="0" borderId="0" xfId="0" applyNumberFormat="1" applyFont="1" applyFill="1" applyAlignment="1">
      <alignment horizontal="center" vertical="center"/>
    </xf>
    <xf numFmtId="166" fontId="27" fillId="5" borderId="10" xfId="0" applyNumberFormat="1" applyFont="1" applyFill="1" applyBorder="1" applyAlignment="1" applyProtection="1">
      <alignment horizontal="center" vertical="center"/>
      <protection hidden="1"/>
    </xf>
  </cellXfs>
  <cellStyles count="41">
    <cellStyle name="1 indent" xfId="1"/>
    <cellStyle name="2 indents" xfId="2"/>
    <cellStyle name="3 indents" xfId="3"/>
    <cellStyle name="4 indents" xfId="4"/>
    <cellStyle name="Date" xfId="5"/>
    <cellStyle name="Excel Built-in Normal" xfId="40"/>
    <cellStyle name="F2" xfId="6"/>
    <cellStyle name="F3" xfId="7"/>
    <cellStyle name="F4" xfId="8"/>
    <cellStyle name="F5" xfId="9"/>
    <cellStyle name="F6" xfId="10"/>
    <cellStyle name="F7" xfId="11"/>
    <cellStyle name="F8" xfId="12"/>
    <cellStyle name="Fixed" xfId="13"/>
    <cellStyle name="HEADING1" xfId="14"/>
    <cellStyle name="HEADING2" xfId="15"/>
    <cellStyle name="imf-one decimal" xfId="16"/>
    <cellStyle name="imf-zero decimal" xfId="17"/>
    <cellStyle name="Label" xfId="18"/>
    <cellStyle name="Normal" xfId="0" builtinId="0"/>
    <cellStyle name="Normal - Style1" xfId="19"/>
    <cellStyle name="Normal - Style2" xfId="20"/>
    <cellStyle name="Normal - Style3" xfId="21"/>
    <cellStyle name="Normal 10" xfId="33"/>
    <cellStyle name="Normal 11" xfId="34"/>
    <cellStyle name="Normal 12" xfId="35"/>
    <cellStyle name="Normal 2" xfId="22"/>
    <cellStyle name="Normal 2 2" xfId="36"/>
    <cellStyle name="Normal 2 2 2" xfId="39"/>
    <cellStyle name="Normal 3" xfId="26"/>
    <cellStyle name="Normal 4" xfId="27"/>
    <cellStyle name="Normal 4 2" xfId="37"/>
    <cellStyle name="Normal 5" xfId="28"/>
    <cellStyle name="Normal 6" xfId="29"/>
    <cellStyle name="Normal 7" xfId="30"/>
    <cellStyle name="Normal 8" xfId="31"/>
    <cellStyle name="Normal 9" xfId="32"/>
    <cellStyle name="Obično_KnjigaZIKS i Min pomorstva i saobracaja" xfId="23"/>
    <cellStyle name="Percent" xfId="38" builtinId="5"/>
    <cellStyle name="percentage difference" xfId="24"/>
    <cellStyle name="Publication" xfId="25"/>
  </cellStyles>
  <dxfs count="0"/>
  <tableStyles count="0" defaultTableStyle="TableStyleMedium9" defaultPivotStyle="PivotStyleLight16"/>
  <colors>
    <mruColors>
      <color rgb="FFCCFFFF"/>
      <color rgb="FF7E0000"/>
      <color rgb="FFCCECFF"/>
      <color rgb="FFFFFFCC"/>
      <color rgb="FF910000"/>
      <color rgb="FF820000"/>
      <color rgb="FF5A0000"/>
      <color rgb="FF640000"/>
      <color rgb="FF6E0000"/>
      <color rgb="FF73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x-none" sz="1100"/>
              <a:t>Izvorni prihodi budžeta - II</a:t>
            </a:r>
            <a:r>
              <a:rPr lang="sr-Latn-RS" sz="1100"/>
              <a:t>I</a:t>
            </a:r>
            <a:r>
              <a:rPr lang="x-none" sz="1100"/>
              <a:t> kvartal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11081714785651793"/>
          <c:y val="0.17171296296296396"/>
          <c:w val="0.85862729658793013"/>
          <c:h val="0.74403579760863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'Central Budget'!$S$20</c:f>
              <c:strCache>
                <c:ptCount val="1"/>
                <c:pt idx="0">
                  <c:v>2016 - ostvarenje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'Central Budget'!$T$19:$V$19</c:f>
            </c:multiLvlStrRef>
          </c:cat>
          <c:val>
            <c:numRef>
              <c:f>'Central Budget'!$T$20:$V$20</c:f>
            </c:numRef>
          </c:val>
          <c:extLst>
            <c:ext xmlns:c16="http://schemas.microsoft.com/office/drawing/2014/chart" uri="{C3380CC4-5D6E-409C-BE32-E72D297353CC}">
              <c16:uniqueId val="{00000000-4B3B-4F76-B7DE-188FD72B4B9B}"/>
            </c:ext>
          </c:extLst>
        </c:ser>
        <c:ser>
          <c:idx val="1"/>
          <c:order val="1"/>
          <c:tx>
            <c:strRef>
              <c:f>'Central Budget'!$S$21</c:f>
              <c:strCache>
                <c:ptCount val="1"/>
                <c:pt idx="0">
                  <c:v>2016 - plan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rgbClr val="7E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'Central Budget'!$T$19:$V$19</c:f>
            </c:multiLvlStrRef>
          </c:cat>
          <c:val>
            <c:numRef>
              <c:f>'Central Budget'!$T$21:$V$21</c:f>
            </c:numRef>
          </c:val>
          <c:extLst>
            <c:ext xmlns:c16="http://schemas.microsoft.com/office/drawing/2014/chart" uri="{C3380CC4-5D6E-409C-BE32-E72D297353CC}">
              <c16:uniqueId val="{00000001-4B3B-4F76-B7DE-188FD72B4B9B}"/>
            </c:ext>
          </c:extLst>
        </c:ser>
        <c:ser>
          <c:idx val="2"/>
          <c:order val="2"/>
          <c:tx>
            <c:strRef>
              <c:f>'Central Budget'!$S$22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7E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'Central Budget'!$T$19:$V$19</c:f>
            </c:multiLvlStrRef>
          </c:cat>
          <c:val>
            <c:numRef>
              <c:f>'Central Budget'!$T$22:$V$22</c:f>
            </c:numRef>
          </c:val>
          <c:extLst>
            <c:ext xmlns:c16="http://schemas.microsoft.com/office/drawing/2014/chart" uri="{C3380CC4-5D6E-409C-BE32-E72D297353CC}">
              <c16:uniqueId val="{00000002-4B3B-4F76-B7DE-188FD72B4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4200032"/>
        <c:axId val="-64619280"/>
      </c:barChart>
      <c:catAx>
        <c:axId val="-6420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-64619280"/>
        <c:crosses val="autoZero"/>
        <c:auto val="1"/>
        <c:lblAlgn val="ctr"/>
        <c:lblOffset val="100"/>
        <c:noMultiLvlLbl val="0"/>
      </c:catAx>
      <c:valAx>
        <c:axId val="-6461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-6420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412428310195333"/>
          <c:y val="0.14983542567045735"/>
          <c:w val="0.50834995625546864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x-none"/>
              <a:t>Pregled javne potrošnje - II</a:t>
            </a:r>
            <a:r>
              <a:rPr lang="sr-Latn-RS"/>
              <a:t>I</a:t>
            </a:r>
            <a:r>
              <a:rPr lang="x-none"/>
              <a:t> kvartal 2016.</a:t>
            </a:r>
          </a:p>
        </c:rich>
      </c:tx>
      <c:layout>
        <c:manualLayout>
          <c:xMode val="edge"/>
          <c:yMode val="edge"/>
          <c:x val="0.26083476479109635"/>
          <c:y val="2.868351691537008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'Public Expenditure'!$R$17</c:f>
              <c:strCache>
                <c:ptCount val="1"/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'Public Expenditure'!$S$16:$U$16</c:f>
            </c:multiLvlStrRef>
          </c:cat>
          <c:val>
            <c:numRef>
              <c:f>'Public Expenditure'!$S$17:$U$17</c:f>
            </c:numRef>
          </c:val>
          <c:extLst>
            <c:ext xmlns:c16="http://schemas.microsoft.com/office/drawing/2014/chart" uri="{C3380CC4-5D6E-409C-BE32-E72D297353CC}">
              <c16:uniqueId val="{00000000-99CB-4AFE-95D8-A618022A8DC0}"/>
            </c:ext>
          </c:extLst>
        </c:ser>
        <c:ser>
          <c:idx val="1"/>
          <c:order val="1"/>
          <c:tx>
            <c:strRef>
              <c:f>'Public Expenditure'!$R$18</c:f>
              <c:strCache>
                <c:ptCount val="1"/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rgbClr val="7E0000"/>
              </a:solidFill>
            </a:ln>
            <a:effectLst/>
          </c:spPr>
          <c:invertIfNegative val="0"/>
          <c:cat>
            <c:multiLvlStrRef>
              <c:f>'Public Expenditure'!$S$16:$U$16</c:f>
            </c:multiLvlStrRef>
          </c:cat>
          <c:val>
            <c:numRef>
              <c:f>'Public Expenditure'!$S$18:$U$18</c:f>
            </c:numRef>
          </c:val>
          <c:extLst>
            <c:ext xmlns:c16="http://schemas.microsoft.com/office/drawing/2014/chart" uri="{C3380CC4-5D6E-409C-BE32-E72D297353CC}">
              <c16:uniqueId val="{00000001-99CB-4AFE-95D8-A618022A8DC0}"/>
            </c:ext>
          </c:extLst>
        </c:ser>
        <c:ser>
          <c:idx val="2"/>
          <c:order val="2"/>
          <c:tx>
            <c:strRef>
              <c:f>'Public Expenditure'!$R$19</c:f>
              <c:strCache>
                <c:ptCount val="1"/>
              </c:strCache>
            </c:strRef>
          </c:tx>
          <c:spPr>
            <a:solidFill>
              <a:srgbClr val="7E0000"/>
            </a:solidFill>
            <a:ln>
              <a:solidFill>
                <a:srgbClr val="7E0000"/>
              </a:solidFill>
            </a:ln>
            <a:effectLst/>
          </c:spPr>
          <c:invertIfNegative val="0"/>
          <c:cat>
            <c:multiLvlStrRef>
              <c:f>'Public Expenditure'!$S$16:$U$16</c:f>
            </c:multiLvlStrRef>
          </c:cat>
          <c:val>
            <c:numRef>
              <c:f>'Public Expenditure'!$S$19:$U$19</c:f>
            </c:numRef>
          </c:val>
          <c:extLst>
            <c:ext xmlns:c16="http://schemas.microsoft.com/office/drawing/2014/chart" uri="{C3380CC4-5D6E-409C-BE32-E72D297353CC}">
              <c16:uniqueId val="{00000002-99CB-4AFE-95D8-A618022A8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4615472"/>
        <c:axId val="-64618736"/>
      </c:barChart>
      <c:catAx>
        <c:axId val="-6461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-64618736"/>
        <c:crosses val="autoZero"/>
        <c:auto val="1"/>
        <c:lblAlgn val="ctr"/>
        <c:lblOffset val="100"/>
        <c:noMultiLvlLbl val="0"/>
      </c:catAx>
      <c:valAx>
        <c:axId val="-6461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-6461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30087378318533E-2"/>
          <c:y val="9.3067220764072311E-2"/>
          <c:w val="0.91423489152463533"/>
          <c:h val="0.80647637795275007"/>
        </c:manualLayout>
      </c:layout>
      <c:lineChart>
        <c:grouping val="standar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Mjesečni plan prihoda 2014</c:v>
                </c:pt>
              </c:strCache>
            </c:strRef>
          </c:tx>
          <c:spPr>
            <a:ln>
              <a:solidFill>
                <a:srgbClr val="910000"/>
              </a:solidFill>
              <a:prstDash val="sysDash"/>
            </a:ln>
          </c:spPr>
          <c:marker>
            <c:symbol val="none"/>
          </c:marker>
          <c:cat>
            <c:strRef>
              <c:f>Sheet1!$D$4:$O$4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Sheet1!$D$5:$O$5</c:f>
              <c:numCache>
                <c:formatCode>#,##0.0,,</c:formatCode>
                <c:ptCount val="12"/>
                <c:pt idx="0">
                  <c:v>62425293.156965584</c:v>
                </c:pt>
                <c:pt idx="1">
                  <c:v>79762187.59852089</c:v>
                </c:pt>
                <c:pt idx="2">
                  <c:v>89318688.151918903</c:v>
                </c:pt>
                <c:pt idx="3">
                  <c:v>106294081.27535464</c:v>
                </c:pt>
                <c:pt idx="4">
                  <c:v>97189661.825924918</c:v>
                </c:pt>
                <c:pt idx="5">
                  <c:v>105191801.34506513</c:v>
                </c:pt>
                <c:pt idx="6">
                  <c:v>123272889.17858437</c:v>
                </c:pt>
                <c:pt idx="7">
                  <c:v>125579133.65326507</c:v>
                </c:pt>
                <c:pt idx="8">
                  <c:v>121047897.33843082</c:v>
                </c:pt>
                <c:pt idx="9">
                  <c:v>114789505.85515907</c:v>
                </c:pt>
                <c:pt idx="10">
                  <c:v>97406301.479715049</c:v>
                </c:pt>
                <c:pt idx="11">
                  <c:v>145778958.57826602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B7A-409B-913D-69C80085FFC7}"/>
            </c:ext>
          </c:extLst>
        </c:ser>
        <c:ser>
          <c:idx val="1"/>
          <c:order val="1"/>
          <c:tx>
            <c:strRef>
              <c:f>Sheet1!$C$6</c:f>
              <c:strCache>
                <c:ptCount val="1"/>
                <c:pt idx="0">
                  <c:v>Mjesečna procjena prihoda 2014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B7A-409B-913D-69C80085FFC7}"/>
              </c:ext>
            </c:extLst>
          </c:dPt>
          <c:dPt>
            <c:idx val="2"/>
            <c:bubble3D val="0"/>
            <c:spPr>
              <a:ln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B7A-409B-913D-69C80085FFC7}"/>
              </c:ext>
            </c:extLst>
          </c:dPt>
          <c:cat>
            <c:strRef>
              <c:f>Sheet1!$D$4:$O$4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Sheet1!$D$6:$O$6</c:f>
              <c:numCache>
                <c:formatCode>#,##0.0,,</c:formatCode>
                <c:ptCount val="12"/>
                <c:pt idx="0">
                  <c:v>70632268.589999989</c:v>
                </c:pt>
                <c:pt idx="1">
                  <c:v>81381758.450000018</c:v>
                </c:pt>
                <c:pt idx="2">
                  <c:v>100495765.61000001</c:v>
                </c:pt>
                <c:pt idx="3">
                  <c:v>107356417.33534782</c:v>
                </c:pt>
                <c:pt idx="4">
                  <c:v>98816734.644163221</c:v>
                </c:pt>
                <c:pt idx="5">
                  <c:v>107147051.5707173</c:v>
                </c:pt>
                <c:pt idx="6">
                  <c:v>125666748.8575906</c:v>
                </c:pt>
                <c:pt idx="7">
                  <c:v>127890096.38694921</c:v>
                </c:pt>
                <c:pt idx="8">
                  <c:v>123465322.33433203</c:v>
                </c:pt>
                <c:pt idx="9">
                  <c:v>117130344.73943919</c:v>
                </c:pt>
                <c:pt idx="10">
                  <c:v>99294843.070796907</c:v>
                </c:pt>
                <c:pt idx="11">
                  <c:v>149056317.49743444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AB7A-409B-913D-69C80085FFC7}"/>
            </c:ext>
          </c:extLst>
        </c:ser>
        <c:ser>
          <c:idx val="2"/>
          <c:order val="2"/>
          <c:tx>
            <c:strRef>
              <c:f>Sheet1!$C$7</c:f>
              <c:strCache>
                <c:ptCount val="1"/>
                <c:pt idx="0">
                  <c:v>Ostvarenje prihoda 2013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Sheet1!$D$4:$O$4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Sheet1!$D$7:$O$7</c:f>
              <c:numCache>
                <c:formatCode>#,##0.0,,</c:formatCode>
                <c:ptCount val="12"/>
                <c:pt idx="0">
                  <c:v>54757461.979999989</c:v>
                </c:pt>
                <c:pt idx="1">
                  <c:v>75673443.909999996</c:v>
                </c:pt>
                <c:pt idx="2">
                  <c:v>88296245.580000013</c:v>
                </c:pt>
                <c:pt idx="3">
                  <c:v>103948239.19999999</c:v>
                </c:pt>
                <c:pt idx="4">
                  <c:v>93997829.679999992</c:v>
                </c:pt>
                <c:pt idx="5">
                  <c:v>99561632.659999996</c:v>
                </c:pt>
                <c:pt idx="6">
                  <c:v>122021331.04999998</c:v>
                </c:pt>
                <c:pt idx="7">
                  <c:v>125053427.64999999</c:v>
                </c:pt>
                <c:pt idx="8">
                  <c:v>116342017.78000002</c:v>
                </c:pt>
                <c:pt idx="9">
                  <c:v>117283627.60000001</c:v>
                </c:pt>
                <c:pt idx="10">
                  <c:v>95781753.159999996</c:v>
                </c:pt>
                <c:pt idx="11">
                  <c:v>142429369.22999999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AB7A-409B-913D-69C80085F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4425536"/>
        <c:axId val="-64419008"/>
      </c:lineChart>
      <c:catAx>
        <c:axId val="-64425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r-Latn-RS"/>
          </a:p>
        </c:txPr>
        <c:crossAx val="-64419008"/>
        <c:crosses val="autoZero"/>
        <c:auto val="1"/>
        <c:lblAlgn val="ctr"/>
        <c:lblOffset val="100"/>
        <c:noMultiLvlLbl val="0"/>
      </c:catAx>
      <c:valAx>
        <c:axId val="-64419008"/>
        <c:scaling>
          <c:orientation val="minMax"/>
          <c:max val="130000000"/>
          <c:min val="50000000"/>
        </c:scaling>
        <c:delete val="0"/>
        <c:axPos val="l"/>
        <c:numFmt formatCode="#,##0.0,,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r-Latn-RS"/>
          </a:p>
        </c:txPr>
        <c:crossAx val="-64425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719831223629281"/>
          <c:y val="0.63831291921843114"/>
          <c:w val="0.24343466560350838"/>
          <c:h val="0.21760170603674542"/>
        </c:manualLayout>
      </c:layout>
      <c:overlay val="0"/>
      <c:txPr>
        <a:bodyPr/>
        <a:lstStyle/>
        <a:p>
          <a:pPr>
            <a:defRPr sz="800"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vi-VN" sz="1000"/>
              <a:t>Poređenje scenarija - sa i bez autoputa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2878743296101454E-2"/>
          <c:y val="5.6030183727034118E-2"/>
          <c:w val="0.88495509810152662"/>
          <c:h val="0.89719889180519163"/>
        </c:manualLayout>
      </c:layout>
      <c:lineChart>
        <c:grouping val="standard"/>
        <c:varyColors val="0"/>
        <c:ser>
          <c:idx val="0"/>
          <c:order val="0"/>
          <c:tx>
            <c:strRef>
              <c:f>Sheet3!$C$5</c:f>
              <c:strCache>
                <c:ptCount val="1"/>
                <c:pt idx="0">
                  <c:v>Deficit - osnovni scenario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Sheet3!$D$4:$G$4</c:f>
              <c:strCache>
                <c:ptCount val="4"/>
                <c:pt idx="0">
                  <c:v>2014 - procjena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strCache>
            </c:strRef>
          </c:cat>
          <c:val>
            <c:numRef>
              <c:f>Sheet3!$D$5:$G$5</c:f>
              <c:numCache>
                <c:formatCode>#,##0.0,,</c:formatCode>
                <c:ptCount val="4"/>
                <c:pt idx="0">
                  <c:v>-26424601.993229389</c:v>
                </c:pt>
                <c:pt idx="1">
                  <c:v>-24569497.372829676</c:v>
                </c:pt>
                <c:pt idx="2">
                  <c:v>33498994.005818129</c:v>
                </c:pt>
                <c:pt idx="3">
                  <c:v>103834080.12588143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D01-48EC-9E8A-97ECFE81E0B5}"/>
            </c:ext>
          </c:extLst>
        </c:ser>
        <c:ser>
          <c:idx val="1"/>
          <c:order val="1"/>
          <c:tx>
            <c:strRef>
              <c:f>Sheet3!$C$6</c:f>
              <c:strCache>
                <c:ptCount val="1"/>
                <c:pt idx="0">
                  <c:v>Deficit - scenario sa auto putem</c:v>
                </c:pt>
              </c:strCache>
            </c:strRef>
          </c:tx>
          <c:spPr>
            <a:ln>
              <a:solidFill>
                <a:srgbClr val="910000"/>
              </a:solidFill>
              <a:prstDash val="sysDot"/>
            </a:ln>
          </c:spPr>
          <c:marker>
            <c:symbol val="none"/>
          </c:marker>
          <c:cat>
            <c:strRef>
              <c:f>Sheet3!$D$4:$G$4</c:f>
              <c:strCache>
                <c:ptCount val="4"/>
                <c:pt idx="0">
                  <c:v>2014 - procjena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strCache>
            </c:strRef>
          </c:cat>
          <c:val>
            <c:numRef>
              <c:f>Sheet3!$D$6:$G$6</c:f>
              <c:numCache>
                <c:formatCode>#,##0.0,,</c:formatCode>
                <c:ptCount val="4"/>
                <c:pt idx="0">
                  <c:v>-51424601.993229389</c:v>
                </c:pt>
                <c:pt idx="1">
                  <c:v>-149569497.37282968</c:v>
                </c:pt>
                <c:pt idx="2">
                  <c:v>-191501005.99418187</c:v>
                </c:pt>
                <c:pt idx="3">
                  <c:v>-221165919.87411857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D01-48EC-9E8A-97ECFE81E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5136848"/>
        <c:axId val="-65135760"/>
      </c:lineChart>
      <c:catAx>
        <c:axId val="-65136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r-Latn-RS"/>
          </a:p>
        </c:txPr>
        <c:crossAx val="-65135760"/>
        <c:crosses val="autoZero"/>
        <c:auto val="1"/>
        <c:lblAlgn val="ctr"/>
        <c:lblOffset val="100"/>
        <c:noMultiLvlLbl val="0"/>
      </c:catAx>
      <c:valAx>
        <c:axId val="-65135760"/>
        <c:scaling>
          <c:orientation val="minMax"/>
        </c:scaling>
        <c:delete val="0"/>
        <c:axPos val="l"/>
        <c:numFmt formatCode="#,##0.0,,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sr-Latn-RS"/>
          </a:p>
        </c:txPr>
        <c:crossAx val="-65136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491661075997865"/>
          <c:y val="0.55478783902012263"/>
          <c:w val="0.28062788115611131"/>
          <c:h val="0.14506780402449843"/>
        </c:manualLayout>
      </c:layout>
      <c:overlay val="0"/>
      <c:txPr>
        <a:bodyPr/>
        <a:lstStyle/>
        <a:p>
          <a:pPr>
            <a:defRPr sz="800"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List" dx="16" fmlaLink="MasterSheet!$A$1" fmlaRange="MasterSheet!$B$27:$B$28" noThreeD="1" sel="2" val="0"/>
</file>

<file path=xl/ctrlProps/ctrlProp2.xml><?xml version="1.0" encoding="utf-8"?>
<formControlPr xmlns="http://schemas.microsoft.com/office/spreadsheetml/2009/9/main" objectType="List" dx="16" fmlaLink="MasterSheet!$A$1" fmlaRange="MasterSheet!$B$27:$B$28" noThreeD="1" sel="2" val="0"/>
</file>

<file path=xl/ctrlProps/ctrlProp3.xml><?xml version="1.0" encoding="utf-8"?>
<formControlPr xmlns="http://schemas.microsoft.com/office/spreadsheetml/2009/9/main" objectType="List" dx="16" fmlaLink="MasterSheet!$A$1" fmlaRange="MasterSheet!$B$27:$B$28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347381</xdr:colOff>
      <xdr:row>23</xdr:row>
      <xdr:rowOff>100853</xdr:rowOff>
    </xdr:from>
    <xdr:to>
      <xdr:col>27</xdr:col>
      <xdr:colOff>493058</xdr:colOff>
      <xdr:row>35</xdr:row>
      <xdr:rowOff>156882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0</xdr:rowOff>
        </xdr:from>
        <xdr:to>
          <xdr:col>2</xdr:col>
          <xdr:colOff>1000125</xdr:colOff>
          <xdr:row>9</xdr:row>
          <xdr:rowOff>85725</xdr:rowOff>
        </xdr:to>
        <xdr:sp macro="" textlink="">
          <xdr:nvSpPr>
            <xdr:cNvPr id="37896" name="List Box 8" hidden="1">
              <a:extLst>
                <a:ext uri="{63B3BB69-23CF-44E3-9099-C40C66FF867C}">
                  <a14:compatExt spid="_x0000_s37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0</xdr:rowOff>
        </xdr:from>
        <xdr:to>
          <xdr:col>2</xdr:col>
          <xdr:colOff>1000125</xdr:colOff>
          <xdr:row>9</xdr:row>
          <xdr:rowOff>85725</xdr:rowOff>
        </xdr:to>
        <xdr:sp macro="" textlink="">
          <xdr:nvSpPr>
            <xdr:cNvPr id="43009" name="List Box 1" hidden="1">
              <a:extLst>
                <a:ext uri="{63B3BB69-23CF-44E3-9099-C40C66FF867C}">
                  <a14:compatExt spid="_x0000_s43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482956</xdr:colOff>
      <xdr:row>22</xdr:row>
      <xdr:rowOff>87419</xdr:rowOff>
    </xdr:from>
    <xdr:to>
      <xdr:col>33</xdr:col>
      <xdr:colOff>131601</xdr:colOff>
      <xdr:row>42</xdr:row>
      <xdr:rowOff>129235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0</xdr:rowOff>
        </xdr:from>
        <xdr:to>
          <xdr:col>2</xdr:col>
          <xdr:colOff>1000125</xdr:colOff>
          <xdr:row>9</xdr:row>
          <xdr:rowOff>85725</xdr:rowOff>
        </xdr:to>
        <xdr:sp macro="" textlink="">
          <xdr:nvSpPr>
            <xdr:cNvPr id="46081" name="List Box 1" hidden="1">
              <a:extLst>
                <a:ext uri="{63B3BB69-23CF-44E3-9099-C40C66FF867C}">
                  <a14:compatExt spid="_x0000_s46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342900</xdr:colOff>
      <xdr:row>2</xdr:row>
      <xdr:rowOff>19050</xdr:rowOff>
    </xdr:from>
    <xdr:ext cx="3943350" cy="264560"/>
    <xdr:sp macro="" textlink="">
      <xdr:nvSpPr>
        <xdr:cNvPr id="2" name="TextBox 1"/>
        <xdr:cNvSpPr txBox="1"/>
      </xdr:nvSpPr>
      <xdr:spPr>
        <a:xfrm>
          <a:off x="9972675" y="342900"/>
          <a:ext cx="3943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22</xdr:col>
      <xdr:colOff>57150</xdr:colOff>
      <xdr:row>2</xdr:row>
      <xdr:rowOff>19050</xdr:rowOff>
    </xdr:from>
    <xdr:ext cx="2621230" cy="953466"/>
    <xdr:sp macro="" textlink="">
      <xdr:nvSpPr>
        <xdr:cNvPr id="3" name="TextBox 2"/>
        <xdr:cNvSpPr txBox="1"/>
      </xdr:nvSpPr>
      <xdr:spPr>
        <a:xfrm>
          <a:off x="1276350" y="342900"/>
          <a:ext cx="2621230" cy="95346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Porez na dohodak fizičkih lica  11%</a:t>
          </a:r>
          <a:r>
            <a:rPr lang="en-US"/>
            <a:t> </a:t>
          </a:r>
          <a:endParaRPr lang="x-none"/>
        </a:p>
        <a:p>
          <a:r>
            <a:rPr lang="en-US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Porez na promet nepokretnosti  10%</a:t>
          </a:r>
          <a:r>
            <a:rPr lang="en-US"/>
            <a:t> </a:t>
          </a:r>
          <a:endParaRPr lang="x-none"/>
        </a:p>
        <a:p>
          <a:r>
            <a:rPr lang="en-US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Porez na upotrebu motornih vozila   100%</a:t>
          </a:r>
          <a:r>
            <a:rPr lang="en-US"/>
            <a:t> </a:t>
          </a:r>
          <a:endParaRPr lang="x-none"/>
        </a:p>
        <a:p>
          <a:r>
            <a:rPr lang="en-US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Naknade za igre na sreću   40%</a:t>
          </a:r>
          <a:r>
            <a:rPr lang="en-US"/>
            <a:t> </a:t>
          </a:r>
          <a:endParaRPr lang="x-none"/>
        </a:p>
        <a:p>
          <a:r>
            <a:rPr lang="en-US" sz="11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UKUPNO</a:t>
          </a:r>
          <a:r>
            <a:rPr lang="en-US"/>
            <a:t> </a:t>
          </a:r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15</xdr:row>
      <xdr:rowOff>85725</xdr:rowOff>
    </xdr:from>
    <xdr:to>
      <xdr:col>15</xdr:col>
      <xdr:colOff>200025</xdr:colOff>
      <xdr:row>32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0.02785</cdr:x>
      <cdr:y>0.42708</cdr:y>
    </cdr:from>
    <cdr:to>
      <cdr:x>0.1962</cdr:x>
      <cdr:y>0.56597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9550" y="1171575"/>
          <a:ext cx="1266826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x-none" sz="800" i="1"/>
            <a:t>Ostvarenje</a:t>
          </a:r>
          <a:r>
            <a:rPr lang="x-none" sz="800" i="1" baseline="0"/>
            <a:t> prihoda </a:t>
          </a:r>
        </a:p>
        <a:p xmlns:a="http://schemas.openxmlformats.org/drawingml/2006/main">
          <a:pPr algn="r"/>
          <a:r>
            <a:rPr lang="x-none" sz="800" i="1" baseline="0"/>
            <a:t>u prvom kvartalu 2014.</a:t>
          </a:r>
          <a:endParaRPr lang="en-US" sz="800" i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9</xdr:row>
      <xdr:rowOff>142875</xdr:rowOff>
    </xdr:from>
    <xdr:to>
      <xdr:col>10</xdr:col>
      <xdr:colOff>438150</xdr:colOff>
      <xdr:row>26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los.popovic/Dropbox/MINISTARSTVO%20FINANSIJA/SEP/05_Zavrsni%202013/Smjernice%202014-04-04%20sa%20projekcijama%20du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al Budget"/>
      <sheetName val="Cental Budget - hwy"/>
      <sheetName val="Local Government"/>
      <sheetName val="Public Expenditure"/>
      <sheetName val="Public Expenditure -hwy"/>
      <sheetName val="PRIMICI"/>
      <sheetName val="DEFICIT Tabela"/>
      <sheetName val="Master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>
            <v>2</v>
          </cell>
        </row>
        <row r="151">
          <cell r="B151" t="str">
            <v>Izvor: Ministarstvo finansija Crne Gore</v>
          </cell>
          <cell r="C151" t="str">
            <v>Source: Ministry of Finance of Montenegro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G83"/>
  <sheetViews>
    <sheetView topLeftCell="B47" zoomScaleNormal="100" workbookViewId="0">
      <selection activeCell="D75" sqref="D75"/>
    </sheetView>
  </sheetViews>
  <sheetFormatPr defaultColWidth="9.140625" defaultRowHeight="12.75"/>
  <cols>
    <col min="1" max="2" width="9.140625" style="80" customWidth="1"/>
    <col min="3" max="3" width="38.28515625" style="80" customWidth="1"/>
    <col min="4" max="4" width="8.85546875" style="80" customWidth="1"/>
    <col min="5" max="5" width="7.7109375" style="80" customWidth="1"/>
    <col min="6" max="6" width="9.85546875" style="80" customWidth="1"/>
    <col min="7" max="9" width="7.7109375" style="80" customWidth="1"/>
    <col min="10" max="10" width="7.85546875" style="80" customWidth="1"/>
    <col min="11" max="11" width="8.140625" style="80" customWidth="1"/>
    <col min="12" max="13" width="7.7109375" style="80" customWidth="1"/>
    <col min="14" max="14" width="9.42578125" style="80" customWidth="1"/>
    <col min="15" max="17" width="7.7109375" style="80" customWidth="1"/>
    <col min="18" max="18" width="13.85546875" style="80" customWidth="1"/>
    <col min="19" max="28" width="9.140625" style="80" hidden="1" customWidth="1"/>
    <col min="29" max="77" width="9.140625" style="80" customWidth="1"/>
    <col min="78" max="78" width="9.140625" style="80"/>
    <col min="79" max="79" width="15.42578125" style="80" customWidth="1"/>
    <col min="80" max="80" width="12.7109375" style="80" customWidth="1"/>
    <col min="81" max="81" width="11.85546875" style="80" customWidth="1"/>
    <col min="82" max="16384" width="9.140625" style="80"/>
  </cols>
  <sheetData>
    <row r="1" spans="2:77" ht="15" customHeight="1">
      <c r="C1" s="81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</row>
    <row r="2" spans="2:77" ht="15" hidden="1" customHeight="1">
      <c r="C2" s="81"/>
      <c r="D2" s="116"/>
      <c r="E2" s="116"/>
      <c r="F2" s="116"/>
      <c r="G2" s="116"/>
      <c r="H2" s="116"/>
      <c r="I2" s="116"/>
      <c r="J2" s="116"/>
      <c r="K2" s="123">
        <v>2014</v>
      </c>
      <c r="L2" s="123"/>
      <c r="M2" s="123"/>
      <c r="N2" s="124">
        <v>2017</v>
      </c>
      <c r="P2" s="123"/>
      <c r="Q2" s="123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</row>
    <row r="3" spans="2:77" ht="15" hidden="1" customHeight="1">
      <c r="C3" s="81"/>
      <c r="D3" s="117"/>
      <c r="E3" s="117"/>
      <c r="F3" s="117"/>
      <c r="G3" s="117"/>
      <c r="H3" s="117"/>
      <c r="I3" s="117"/>
      <c r="J3" s="117"/>
      <c r="K3" s="118">
        <v>5.4037200000000007</v>
      </c>
      <c r="L3" s="118"/>
      <c r="M3" s="118"/>
      <c r="N3" s="119">
        <v>6.0799999999999965</v>
      </c>
      <c r="P3" s="118"/>
      <c r="Q3" s="118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</row>
    <row r="4" spans="2:77" ht="15" hidden="1" customHeight="1">
      <c r="C4" s="81"/>
      <c r="D4" s="112"/>
      <c r="E4" s="112"/>
      <c r="F4" s="112"/>
      <c r="G4" s="112"/>
      <c r="H4" s="112"/>
      <c r="I4" s="112"/>
      <c r="J4" s="112"/>
      <c r="K4" s="110">
        <v>3.54</v>
      </c>
      <c r="L4" s="110"/>
      <c r="M4" s="110"/>
      <c r="N4" s="111">
        <v>4</v>
      </c>
      <c r="P4" s="110"/>
      <c r="Q4" s="110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</row>
    <row r="5" spans="2:77" ht="15" hidden="1" customHeight="1">
      <c r="C5" s="81"/>
      <c r="D5" s="120"/>
      <c r="E5" s="120"/>
      <c r="F5" s="120"/>
      <c r="G5" s="120"/>
      <c r="H5" s="120"/>
      <c r="I5" s="120"/>
      <c r="J5" s="120"/>
      <c r="K5" s="121">
        <v>1.8</v>
      </c>
      <c r="L5" s="121"/>
      <c r="M5" s="121"/>
      <c r="N5" s="131">
        <v>2</v>
      </c>
      <c r="P5" s="121"/>
      <c r="Q5" s="12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</row>
    <row r="6" spans="2:77" ht="15" hidden="1" customHeight="1">
      <c r="C6" s="81"/>
      <c r="D6" s="122"/>
      <c r="E6" s="122"/>
      <c r="F6" s="122"/>
      <c r="G6" s="122"/>
      <c r="H6" s="122"/>
      <c r="I6" s="122"/>
      <c r="J6" s="122"/>
      <c r="K6" s="130">
        <v>2.3E-2</v>
      </c>
      <c r="L6" s="130"/>
      <c r="M6" s="130"/>
      <c r="N6" s="130">
        <v>5.1999999999999998E-2</v>
      </c>
      <c r="P6" s="130"/>
      <c r="Q6" s="130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</row>
    <row r="7" spans="2:77" ht="15" hidden="1" customHeight="1">
      <c r="C7" s="81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P7" s="113"/>
      <c r="Q7" s="113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</row>
    <row r="8" spans="2:77" ht="15" hidden="1" customHeight="1">
      <c r="C8" s="81"/>
      <c r="D8" s="109"/>
      <c r="E8" s="109"/>
      <c r="F8" s="109"/>
      <c r="G8" s="109"/>
      <c r="H8" s="109"/>
      <c r="I8" s="109"/>
      <c r="J8" s="109"/>
      <c r="K8" s="125">
        <f>+N16/J16*100-100</f>
        <v>-4.1611716181391927</v>
      </c>
      <c r="L8" s="125"/>
      <c r="M8" s="125"/>
      <c r="N8" s="127" t="e">
        <f>+#REF!/#REF!*100-100</f>
        <v>#REF!</v>
      </c>
      <c r="P8" s="125"/>
      <c r="Q8" s="125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</row>
    <row r="9" spans="2:77" ht="15" hidden="1" customHeight="1">
      <c r="C9" s="81"/>
      <c r="D9" s="115"/>
      <c r="E9" s="115"/>
      <c r="F9" s="115"/>
      <c r="G9" s="115"/>
      <c r="H9" s="115"/>
      <c r="I9" s="115"/>
      <c r="J9" s="115"/>
      <c r="K9" s="126" t="e">
        <f>+N16/#REF!*100-100</f>
        <v>#REF!</v>
      </c>
      <c r="L9" s="126"/>
      <c r="M9" s="126"/>
      <c r="N9" s="128" t="e">
        <f>+#REF!/#REF!*100-100</f>
        <v>#REF!</v>
      </c>
      <c r="P9" s="126"/>
      <c r="Q9" s="126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</row>
    <row r="10" spans="2:77" ht="15" customHeight="1" thickBot="1"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</row>
    <row r="11" spans="2:77" ht="18.75" customHeight="1" thickTop="1" thickBot="1">
      <c r="C11" s="180" t="str">
        <f>IF(MasterSheet!$A$1=1,MasterSheet!B67,MasterSheet!B66)</f>
        <v>BDP (u mil. €)</v>
      </c>
      <c r="D11" s="334">
        <v>4202100000</v>
      </c>
      <c r="E11" s="335"/>
      <c r="F11" s="335"/>
      <c r="G11" s="335"/>
      <c r="H11" s="335"/>
      <c r="I11" s="335"/>
      <c r="J11" s="335"/>
      <c r="K11" s="336"/>
      <c r="L11" s="339"/>
      <c r="M11" s="345"/>
      <c r="N11" s="334">
        <v>3954200000</v>
      </c>
      <c r="O11" s="336"/>
      <c r="P11" s="339"/>
      <c r="Q11" s="340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</row>
    <row r="12" spans="2:77" ht="19.5" customHeight="1" thickTop="1">
      <c r="C12" s="81"/>
      <c r="D12" s="242"/>
      <c r="E12" s="242"/>
      <c r="F12" s="242"/>
      <c r="G12" s="242"/>
      <c r="H12" s="242"/>
      <c r="I12" s="242"/>
      <c r="J12" s="83"/>
      <c r="K12" s="83"/>
      <c r="L12" s="82"/>
      <c r="M12" s="82"/>
      <c r="N12" s="82"/>
      <c r="O12" s="82"/>
      <c r="P12" s="82"/>
      <c r="Q12" s="82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</row>
    <row r="13" spans="2:77" ht="17.25" customHeight="1" thickBot="1">
      <c r="B13" s="85"/>
      <c r="C13" s="86"/>
      <c r="D13" s="347"/>
      <c r="E13" s="347"/>
      <c r="F13" s="329"/>
      <c r="G13" s="329"/>
      <c r="H13" s="329"/>
      <c r="I13" s="329"/>
      <c r="J13" s="241"/>
      <c r="K13" s="241"/>
      <c r="L13" s="241"/>
      <c r="M13" s="241"/>
      <c r="N13" s="346"/>
      <c r="O13" s="346"/>
      <c r="P13" s="164"/>
      <c r="Q13" s="164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</row>
    <row r="14" spans="2:77" ht="63.75" customHeight="1" thickTop="1">
      <c r="B14" s="87"/>
      <c r="C14" s="337" t="str">
        <f>IF(MasterSheet!$A$1=1,MasterSheet!B71,MasterSheet!B70)</f>
        <v>Budžet Crne Gore</v>
      </c>
      <c r="D14" s="332" t="s">
        <v>479</v>
      </c>
      <c r="E14" s="333"/>
      <c r="F14" s="341" t="s">
        <v>478</v>
      </c>
      <c r="G14" s="342"/>
      <c r="H14" s="332" t="s">
        <v>448</v>
      </c>
      <c r="I14" s="333"/>
      <c r="J14" s="341" t="s">
        <v>480</v>
      </c>
      <c r="K14" s="342"/>
      <c r="L14" s="332" t="s">
        <v>448</v>
      </c>
      <c r="M14" s="333"/>
      <c r="N14" s="332" t="s">
        <v>467</v>
      </c>
      <c r="O14" s="333"/>
      <c r="P14" s="343" t="str">
        <f>+L14</f>
        <v>Odstupanje</v>
      </c>
      <c r="Q14" s="344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</row>
    <row r="15" spans="2:77" ht="15" customHeight="1" thickBot="1">
      <c r="C15" s="338" t="str">
        <f>IF(MasterSheet!$A$1=1,MasterSheet!B71,MasterSheet!B70)</f>
        <v>Budžet Crne Gore</v>
      </c>
      <c r="D15" s="88" t="str">
        <f>+J15</f>
        <v>mil. €</v>
      </c>
      <c r="E15" s="201" t="str">
        <f>+K15</f>
        <v>% BDP</v>
      </c>
      <c r="F15" s="88" t="s">
        <v>477</v>
      </c>
      <c r="G15" s="89" t="s">
        <v>149</v>
      </c>
      <c r="H15" s="88" t="s">
        <v>477</v>
      </c>
      <c r="I15" s="200" t="s">
        <v>149</v>
      </c>
      <c r="J15" s="88" t="s">
        <v>262</v>
      </c>
      <c r="K15" s="89" t="s">
        <v>149</v>
      </c>
      <c r="L15" s="88" t="s">
        <v>262</v>
      </c>
      <c r="M15" s="200" t="s">
        <v>441</v>
      </c>
      <c r="N15" s="88" t="s">
        <v>262</v>
      </c>
      <c r="O15" s="89" t="s">
        <v>149</v>
      </c>
      <c r="P15" s="202" t="s">
        <v>262</v>
      </c>
      <c r="Q15" s="129" t="s">
        <v>441</v>
      </c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</row>
    <row r="16" spans="2:77" ht="15" customHeight="1" thickTop="1" thickBot="1">
      <c r="B16" s="80">
        <v>7</v>
      </c>
      <c r="C16" s="90" t="str">
        <f>IF(MasterSheet!$A$1=1,MasterSheet!C72,MasterSheet!B72)</f>
        <v>Izvorni prihodi</v>
      </c>
      <c r="D16" s="165">
        <f>+D17+D25+SUM(D30:D34)</f>
        <v>1565919550.3700001</v>
      </c>
      <c r="E16" s="244">
        <f>+D16/$D$11*100</f>
        <v>37.26516623521573</v>
      </c>
      <c r="F16" s="165">
        <f>+F17+F25+SUM(F30:F34)</f>
        <v>1580022265.095793</v>
      </c>
      <c r="G16" s="244">
        <f>+F16/$D$11*100</f>
        <v>37.600777351700174</v>
      </c>
      <c r="H16" s="165">
        <f>D16-F16</f>
        <v>-14102714.725792885</v>
      </c>
      <c r="I16" s="247">
        <f>D16/F16*100-100</f>
        <v>-0.89256430351238691</v>
      </c>
      <c r="J16" s="165">
        <f>+J17+J25+SUM(J30:J34)</f>
        <v>1551616663.462312</v>
      </c>
      <c r="K16" s="244">
        <f>+J16/$D$11*100</f>
        <v>36.924791496211704</v>
      </c>
      <c r="L16" s="165">
        <f>+D16-J16</f>
        <v>14302886.907688141</v>
      </c>
      <c r="M16" s="247">
        <f>+IF(ISNUMBER(D16/J16*100-100),D16/J16*100-100,"...")</f>
        <v>0.92180544618361182</v>
      </c>
      <c r="N16" s="165">
        <f>+N17+N25+SUM(N30:N34)</f>
        <v>1487051231.24</v>
      </c>
      <c r="O16" s="244">
        <f>+N16/$N$11*100</f>
        <v>37.6068795518689</v>
      </c>
      <c r="P16" s="165">
        <f>+D16-N16</f>
        <v>78868319.130000114</v>
      </c>
      <c r="Q16" s="244">
        <f t="shared" ref="Q16:Q59" si="0">+IF(ISNUMBER(D16/N16*100-100),D16/N16*100-100,"...")</f>
        <v>5.3036719564957053</v>
      </c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</row>
    <row r="17" spans="2:84" ht="15" customHeight="1" thickTop="1">
      <c r="B17" s="80">
        <v>711</v>
      </c>
      <c r="C17" s="93" t="str">
        <f>IF(MasterSheet!$A$1=1,MasterSheet!C73,MasterSheet!B73)</f>
        <v>Porezi</v>
      </c>
      <c r="D17" s="154">
        <f>+SUM(D18:D24)</f>
        <v>971155574.28000009</v>
      </c>
      <c r="E17" s="245">
        <f t="shared" ref="E17:G75" si="1">+D17/$D$11*100</f>
        <v>23.111196170486188</v>
      </c>
      <c r="F17" s="154">
        <f>+SUM(F18:F24)</f>
        <v>979100310.26397955</v>
      </c>
      <c r="G17" s="245">
        <f t="shared" si="1"/>
        <v>23.300262018133303</v>
      </c>
      <c r="H17" s="207">
        <f>D17-F17</f>
        <v>-7944735.9839794636</v>
      </c>
      <c r="I17" s="258">
        <f>D17/F17*100-100</f>
        <v>-0.81143228131931266</v>
      </c>
      <c r="J17" s="154">
        <f>+SUM(J18:J24)</f>
        <v>944276594.26457405</v>
      </c>
      <c r="K17" s="245">
        <f t="shared" ref="K17:K75" si="2">+J17/$D$11*100</f>
        <v>22.471540283776541</v>
      </c>
      <c r="L17" s="207">
        <f t="shared" ref="L17:L69" si="3">+D17-J17</f>
        <v>26878980.01542604</v>
      </c>
      <c r="M17" s="258">
        <f t="shared" ref="M17:M69" si="4">+IF(ISNUMBER(D17/J17*100-100),D17/J17*100-100,"...")</f>
        <v>2.8465155420229564</v>
      </c>
      <c r="N17" s="154">
        <f>+SUM(N18:N24)</f>
        <v>886526735.73000002</v>
      </c>
      <c r="O17" s="245">
        <f t="shared" ref="O17:O69" si="5">+N17/$N$11*100</f>
        <v>22.419875973142481</v>
      </c>
      <c r="P17" s="207">
        <f t="shared" ref="P17:P35" si="6">+D17-N17</f>
        <v>84628838.550000072</v>
      </c>
      <c r="Q17" s="258">
        <f t="shared" si="0"/>
        <v>9.5461123888512418</v>
      </c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2:84" ht="15" customHeight="1">
      <c r="B18" s="80">
        <v>7111</v>
      </c>
      <c r="C18" s="97" t="str">
        <f>IF(MasterSheet!$A$1=1,MasterSheet!C74,MasterSheet!B74)</f>
        <v>Porez na dohodak fizičkih lica</v>
      </c>
      <c r="D18" s="155">
        <v>111982440.54000001</v>
      </c>
      <c r="E18" s="246">
        <f t="shared" si="1"/>
        <v>2.6649161262226029</v>
      </c>
      <c r="F18" s="155">
        <v>117734110.65000001</v>
      </c>
      <c r="G18" s="246">
        <f t="shared" si="1"/>
        <v>2.8017922146069822</v>
      </c>
      <c r="H18" s="208">
        <f>D18-F18</f>
        <v>-5751670.1099999994</v>
      </c>
      <c r="I18" s="259">
        <f>(D18/F18)*100-100</f>
        <v>-4.885304758532186</v>
      </c>
      <c r="J18" s="155">
        <v>125583391.53741376</v>
      </c>
      <c r="K18" s="246">
        <f t="shared" si="2"/>
        <v>2.988586457661973</v>
      </c>
      <c r="L18" s="208">
        <f t="shared" si="3"/>
        <v>-13600950.997413754</v>
      </c>
      <c r="M18" s="259">
        <f t="shared" si="4"/>
        <v>-10.830214752849514</v>
      </c>
      <c r="N18" s="156">
        <v>123131602.47000001</v>
      </c>
      <c r="O18" s="246">
        <f t="shared" si="5"/>
        <v>3.1139447288958579</v>
      </c>
      <c r="P18" s="208">
        <f t="shared" si="6"/>
        <v>-11149161.930000007</v>
      </c>
      <c r="Q18" s="259">
        <f t="shared" si="0"/>
        <v>-9.0546713486624242</v>
      </c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</row>
    <row r="19" spans="2:84" ht="15" customHeight="1">
      <c r="B19" s="80">
        <v>7112</v>
      </c>
      <c r="C19" s="97" t="str">
        <f>IF(MasterSheet!$A$1=1,MasterSheet!C75,MasterSheet!B75)</f>
        <v>Porez na dobit pravnih lica</v>
      </c>
      <c r="D19" s="156">
        <v>49228502.210000001</v>
      </c>
      <c r="E19" s="246">
        <f t="shared" si="1"/>
        <v>1.171521434758811</v>
      </c>
      <c r="F19" s="156">
        <v>48749246.08178103</v>
      </c>
      <c r="G19" s="246">
        <f t="shared" si="1"/>
        <v>1.1601162771419298</v>
      </c>
      <c r="H19" s="208">
        <f t="shared" ref="H19:H75" si="7">D19-F19</f>
        <v>479256.12821897119</v>
      </c>
      <c r="I19" s="259">
        <f t="shared" ref="I19:I75" si="8">(D19/F19)*100-100</f>
        <v>0.98310469748594187</v>
      </c>
      <c r="J19" s="156">
        <v>46922688.056049608</v>
      </c>
      <c r="K19" s="246">
        <f t="shared" si="2"/>
        <v>1.1166485342102663</v>
      </c>
      <c r="L19" s="208">
        <f t="shared" si="3"/>
        <v>2305814.1539503932</v>
      </c>
      <c r="M19" s="259">
        <f t="shared" si="4"/>
        <v>4.9140708886841225</v>
      </c>
      <c r="N19" s="156">
        <v>45254590.029999994</v>
      </c>
      <c r="O19" s="246">
        <f t="shared" si="5"/>
        <v>1.1444689198826563</v>
      </c>
      <c r="P19" s="208">
        <f t="shared" si="6"/>
        <v>3973912.1800000072</v>
      </c>
      <c r="Q19" s="259">
        <f t="shared" si="0"/>
        <v>8.7812356213273262</v>
      </c>
      <c r="R19" s="138"/>
      <c r="S19" s="81"/>
      <c r="T19" s="81" t="s">
        <v>447</v>
      </c>
      <c r="U19" s="81" t="s">
        <v>12</v>
      </c>
      <c r="V19" s="81" t="s">
        <v>19</v>
      </c>
      <c r="W19" s="138"/>
      <c r="X19" s="138"/>
      <c r="Y19" s="138"/>
      <c r="Z19" s="138"/>
      <c r="AA19" s="138"/>
      <c r="AB19" s="138"/>
      <c r="AC19" s="139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CA19" s="81"/>
    </row>
    <row r="20" spans="2:84" ht="15" customHeight="1">
      <c r="B20" s="80">
        <v>7113</v>
      </c>
      <c r="C20" s="97" t="str">
        <f>IF(MasterSheet!$A$1=1,MasterSheet!C76,MasterSheet!B76)</f>
        <v>Porez na promet nepokretnosti</v>
      </c>
      <c r="D20" s="156">
        <v>1524664.7</v>
      </c>
      <c r="E20" s="246">
        <f t="shared" si="1"/>
        <v>3.6283398776802075E-2</v>
      </c>
      <c r="F20" s="156">
        <v>1529916.0976644694</v>
      </c>
      <c r="G20" s="246">
        <f t="shared" si="1"/>
        <v>3.640836956913137E-2</v>
      </c>
      <c r="H20" s="208">
        <f t="shared" si="7"/>
        <v>-5251.3976644694339</v>
      </c>
      <c r="I20" s="259">
        <f t="shared" si="8"/>
        <v>-0.34324742856722423</v>
      </c>
      <c r="J20" s="156">
        <v>2459394.3990422501</v>
      </c>
      <c r="K20" s="246">
        <f t="shared" si="2"/>
        <v>5.8527745628191866E-2</v>
      </c>
      <c r="L20" s="208">
        <f t="shared" si="3"/>
        <v>-934729.69904225017</v>
      </c>
      <c r="M20" s="259">
        <f t="shared" si="4"/>
        <v>-38.006498648864827</v>
      </c>
      <c r="N20" s="156">
        <v>1330049.99</v>
      </c>
      <c r="O20" s="246">
        <f t="shared" si="5"/>
        <v>3.3636386373982093E-2</v>
      </c>
      <c r="P20" s="208">
        <f t="shared" si="6"/>
        <v>194614.70999999996</v>
      </c>
      <c r="Q20" s="259">
        <f t="shared" si="0"/>
        <v>14.632134992159209</v>
      </c>
      <c r="R20" s="138"/>
      <c r="S20" s="81" t="s">
        <v>462</v>
      </c>
      <c r="T20" s="210">
        <f>+D21</f>
        <v>548710516.46000004</v>
      </c>
      <c r="U20" s="210">
        <f>+D22</f>
        <v>225084910.21999997</v>
      </c>
      <c r="V20" s="210">
        <f>+D25</f>
        <v>494952632.42000002</v>
      </c>
      <c r="W20" s="138"/>
      <c r="X20" s="138"/>
      <c r="Y20" s="138"/>
      <c r="Z20" s="138"/>
      <c r="AA20" s="138"/>
      <c r="AB20" s="138"/>
      <c r="AC20" s="139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</row>
    <row r="21" spans="2:84" ht="15" customHeight="1">
      <c r="B21" s="80">
        <v>7114</v>
      </c>
      <c r="C21" s="97" t="str">
        <f>IF(MasterSheet!$A$1=1,MasterSheet!C77,MasterSheet!B77)</f>
        <v>Porez na dodatu vrijednost</v>
      </c>
      <c r="D21" s="155">
        <v>548710516.46000004</v>
      </c>
      <c r="E21" s="246">
        <f t="shared" si="1"/>
        <v>13.058007102639158</v>
      </c>
      <c r="F21" s="155">
        <v>550461561.20703423</v>
      </c>
      <c r="G21" s="246">
        <f t="shared" si="1"/>
        <v>13.099677808882088</v>
      </c>
      <c r="H21" s="208">
        <f t="shared" si="7"/>
        <v>-1751044.7470341921</v>
      </c>
      <c r="I21" s="259">
        <f t="shared" si="8"/>
        <v>-0.31810481792670942</v>
      </c>
      <c r="J21" s="155">
        <v>524745437.38105094</v>
      </c>
      <c r="K21" s="246">
        <f t="shared" si="2"/>
        <v>12.487695137694271</v>
      </c>
      <c r="L21" s="208">
        <f t="shared" si="3"/>
        <v>23965079.078949094</v>
      </c>
      <c r="M21" s="259">
        <f t="shared" si="4"/>
        <v>4.5669914156007252</v>
      </c>
      <c r="N21" s="156">
        <v>500656533.33000004</v>
      </c>
      <c r="O21" s="246">
        <f t="shared" si="5"/>
        <v>12.661386205300696</v>
      </c>
      <c r="P21" s="208">
        <f t="shared" si="6"/>
        <v>48053983.129999995</v>
      </c>
      <c r="Q21" s="259">
        <f t="shared" si="0"/>
        <v>9.5981935580426949</v>
      </c>
      <c r="S21" s="81" t="s">
        <v>463</v>
      </c>
      <c r="T21" s="210">
        <f>+J21</f>
        <v>524745437.38105094</v>
      </c>
      <c r="U21" s="210">
        <f>+J22</f>
        <v>210481296.69963041</v>
      </c>
      <c r="V21" s="210">
        <f>+J25</f>
        <v>492156792.05347615</v>
      </c>
    </row>
    <row r="22" spans="2:84" ht="15" customHeight="1">
      <c r="B22" s="80">
        <v>7115</v>
      </c>
      <c r="C22" s="97" t="str">
        <f>IF(MasterSheet!$A$1=1,MasterSheet!C78,MasterSheet!B78)</f>
        <v>Akcize</v>
      </c>
      <c r="D22" s="156">
        <v>225084910.21999997</v>
      </c>
      <c r="E22" s="246">
        <f t="shared" si="1"/>
        <v>5.3564862859046656</v>
      </c>
      <c r="F22" s="156">
        <v>225623515.02582744</v>
      </c>
      <c r="G22" s="246">
        <f t="shared" si="1"/>
        <v>5.3693038010953442</v>
      </c>
      <c r="H22" s="208">
        <f t="shared" si="7"/>
        <v>-538604.80582746863</v>
      </c>
      <c r="I22" s="259">
        <f t="shared" si="8"/>
        <v>-0.23871838259668721</v>
      </c>
      <c r="J22" s="156">
        <v>210481296.69963041</v>
      </c>
      <c r="K22" s="246">
        <f t="shared" si="2"/>
        <v>5.0089549677454226</v>
      </c>
      <c r="L22" s="208">
        <f t="shared" si="3"/>
        <v>14603613.52036956</v>
      </c>
      <c r="M22" s="259">
        <f t="shared" si="4"/>
        <v>6.9382000915785937</v>
      </c>
      <c r="N22" s="156">
        <v>182670922.38</v>
      </c>
      <c r="O22" s="246">
        <f t="shared" si="5"/>
        <v>4.6196682610894744</v>
      </c>
      <c r="P22" s="208">
        <f t="shared" si="6"/>
        <v>42413987.839999974</v>
      </c>
      <c r="Q22" s="259">
        <f t="shared" si="0"/>
        <v>23.218795464211084</v>
      </c>
      <c r="S22" s="137">
        <v>2015</v>
      </c>
      <c r="T22" s="211">
        <f>+N21</f>
        <v>500656533.33000004</v>
      </c>
      <c r="U22" s="212">
        <f>+N22</f>
        <v>182670922.38</v>
      </c>
      <c r="V22" s="212">
        <f>+N25</f>
        <v>462885204.29000008</v>
      </c>
    </row>
    <row r="23" spans="2:84" ht="15" customHeight="1">
      <c r="B23" s="80">
        <v>7116</v>
      </c>
      <c r="C23" s="97" t="str">
        <f>IF(MasterSheet!$A$1=1,MasterSheet!C79,MasterSheet!B79)</f>
        <v>Porez na međunarodnu trgovinu i transakcije</v>
      </c>
      <c r="D23" s="156">
        <v>25424800.799999997</v>
      </c>
      <c r="E23" s="246">
        <f t="shared" si="1"/>
        <v>0.60504987506246866</v>
      </c>
      <c r="F23" s="156">
        <v>25789097.528659306</v>
      </c>
      <c r="G23" s="246">
        <f t="shared" si="1"/>
        <v>0.61371927199874599</v>
      </c>
      <c r="H23" s="208">
        <f t="shared" si="7"/>
        <v>-364296.72865930945</v>
      </c>
      <c r="I23" s="259">
        <f t="shared" si="8"/>
        <v>-1.4125997555923391</v>
      </c>
      <c r="J23" s="156">
        <v>24426743.525325805</v>
      </c>
      <c r="K23" s="246">
        <f t="shared" si="2"/>
        <v>0.58129848231421921</v>
      </c>
      <c r="L23" s="208">
        <f t="shared" si="3"/>
        <v>998057.27467419207</v>
      </c>
      <c r="M23" s="259">
        <f t="shared" si="4"/>
        <v>4.0859203095959202</v>
      </c>
      <c r="N23" s="156">
        <v>24283642.720000003</v>
      </c>
      <c r="O23" s="246">
        <f t="shared" si="5"/>
        <v>0.61412277375954694</v>
      </c>
      <c r="P23" s="208">
        <f t="shared" si="6"/>
        <v>1141158.0799999945</v>
      </c>
      <c r="Q23" s="259">
        <f t="shared" si="0"/>
        <v>4.6992870598451759</v>
      </c>
      <c r="AI23" s="80" t="s">
        <v>473</v>
      </c>
      <c r="CB23" s="140"/>
      <c r="CC23" s="140"/>
      <c r="CD23" s="81"/>
    </row>
    <row r="24" spans="2:84" ht="15" customHeight="1">
      <c r="B24" s="80">
        <v>7118</v>
      </c>
      <c r="C24" s="97" t="s">
        <v>464</v>
      </c>
      <c r="D24" s="156">
        <v>9199739.3499999996</v>
      </c>
      <c r="E24" s="246">
        <f t="shared" si="1"/>
        <v>0.21893194712167724</v>
      </c>
      <c r="F24" s="156">
        <v>9212863.6730131265</v>
      </c>
      <c r="G24" s="246">
        <f t="shared" si="1"/>
        <v>0.21924427483908349</v>
      </c>
      <c r="H24" s="208">
        <f t="shared" si="7"/>
        <v>-13124.32301312685</v>
      </c>
      <c r="I24" s="259">
        <f t="shared" si="8"/>
        <v>-0.14245649864082566</v>
      </c>
      <c r="J24" s="156">
        <v>9657642.6660613157</v>
      </c>
      <c r="K24" s="246">
        <f t="shared" si="2"/>
        <v>0.22982895852219878</v>
      </c>
      <c r="L24" s="208">
        <f t="shared" si="3"/>
        <v>-457903.31606131606</v>
      </c>
      <c r="M24" s="259">
        <f t="shared" si="4"/>
        <v>-4.7413569946056242</v>
      </c>
      <c r="N24" s="156">
        <v>9199394.8100000005</v>
      </c>
      <c r="O24" s="246">
        <f t="shared" si="5"/>
        <v>0.23264869784027112</v>
      </c>
      <c r="P24" s="208">
        <f t="shared" si="6"/>
        <v>344.53999999910593</v>
      </c>
      <c r="Q24" s="259">
        <f t="shared" si="0"/>
        <v>3.7452463679983339E-3</v>
      </c>
      <c r="CB24" s="140"/>
      <c r="CC24" s="140"/>
      <c r="CD24" s="81"/>
    </row>
    <row r="25" spans="2:84" ht="15" customHeight="1">
      <c r="B25" s="80">
        <v>712</v>
      </c>
      <c r="C25" s="93" t="str">
        <f>IF(MasterSheet!$A$1=1,MasterSheet!C81,MasterSheet!B81)</f>
        <v>Doprinosi</v>
      </c>
      <c r="D25" s="154">
        <f>+SUM(D26:D29)</f>
        <v>494952632.42000002</v>
      </c>
      <c r="E25" s="245">
        <f t="shared" si="1"/>
        <v>11.778697137621666</v>
      </c>
      <c r="F25" s="154">
        <f>+SUM(F26:F29)</f>
        <v>500463503.15384978</v>
      </c>
      <c r="G25" s="330">
        <f t="shared" si="1"/>
        <v>11.909842772752905</v>
      </c>
      <c r="H25" s="208">
        <f t="shared" si="7"/>
        <v>-5510870.7338497639</v>
      </c>
      <c r="I25" s="259">
        <f t="shared" si="8"/>
        <v>-1.1011533706496266</v>
      </c>
      <c r="J25" s="154">
        <f>+SUM(J26:J29)</f>
        <v>492156792.05347615</v>
      </c>
      <c r="K25" s="245">
        <f t="shared" si="2"/>
        <v>11.712162777027585</v>
      </c>
      <c r="L25" s="207">
        <f t="shared" si="3"/>
        <v>2795840.3665238619</v>
      </c>
      <c r="M25" s="258">
        <f t="shared" si="4"/>
        <v>0.56807919989449829</v>
      </c>
      <c r="N25" s="154">
        <f>+SUM(N26:N29)</f>
        <v>462885204.29000008</v>
      </c>
      <c r="O25" s="245">
        <f t="shared" si="5"/>
        <v>11.706165704567297</v>
      </c>
      <c r="P25" s="207">
        <f t="shared" si="6"/>
        <v>32067428.129999936</v>
      </c>
      <c r="Q25" s="258">
        <f t="shared" si="0"/>
        <v>6.927728048509735</v>
      </c>
      <c r="CB25" s="140"/>
      <c r="CC25" s="140"/>
      <c r="CD25" s="81"/>
    </row>
    <row r="26" spans="2:84" ht="15" customHeight="1">
      <c r="B26" s="80">
        <v>7121</v>
      </c>
      <c r="C26" s="97" t="str">
        <f>IF(MasterSheet!$A$1=1,MasterSheet!C82,MasterSheet!B82)</f>
        <v>Doprinosi za penzijsko i invalidsko osiguranje</v>
      </c>
      <c r="D26" s="156">
        <v>303042063.35000002</v>
      </c>
      <c r="E26" s="246">
        <f t="shared" si="1"/>
        <v>7.2116813819280843</v>
      </c>
      <c r="F26" s="156">
        <v>304735852.44600284</v>
      </c>
      <c r="G26" s="246">
        <f t="shared" si="1"/>
        <v>7.2519895396588101</v>
      </c>
      <c r="H26" s="208">
        <f t="shared" si="7"/>
        <v>-1693789.0960028172</v>
      </c>
      <c r="I26" s="259">
        <f t="shared" si="8"/>
        <v>-0.55582206110878474</v>
      </c>
      <c r="J26" s="156">
        <v>293612813.84136897</v>
      </c>
      <c r="K26" s="246">
        <f t="shared" si="2"/>
        <v>6.9872876381182971</v>
      </c>
      <c r="L26" s="208">
        <f t="shared" si="3"/>
        <v>9429249.5086310506</v>
      </c>
      <c r="M26" s="259">
        <f t="shared" si="4"/>
        <v>3.2114570836562422</v>
      </c>
      <c r="N26" s="156">
        <v>273553324.41000003</v>
      </c>
      <c r="O26" s="246">
        <f t="shared" si="5"/>
        <v>6.9180447223205714</v>
      </c>
      <c r="P26" s="208">
        <f t="shared" si="6"/>
        <v>29488738.939999998</v>
      </c>
      <c r="Q26" s="259">
        <f t="shared" si="0"/>
        <v>10.779886884431519</v>
      </c>
      <c r="CB26" s="140"/>
      <c r="CC26" s="140"/>
      <c r="CD26" s="81"/>
    </row>
    <row r="27" spans="2:84" ht="15" customHeight="1">
      <c r="B27" s="80">
        <v>7122</v>
      </c>
      <c r="C27" s="97" t="str">
        <f>IF(MasterSheet!$A$1=1,MasterSheet!C83,MasterSheet!B83)</f>
        <v>Doprinosi za zdravstveno osiguranje</v>
      </c>
      <c r="D27" s="156">
        <v>167400672.64999998</v>
      </c>
      <c r="E27" s="246">
        <f t="shared" si="1"/>
        <v>3.9837384319744888</v>
      </c>
      <c r="F27" s="156">
        <v>171280873.00583869</v>
      </c>
      <c r="G27" s="246">
        <f t="shared" si="1"/>
        <v>4.0760779849560622</v>
      </c>
      <c r="H27" s="208">
        <f t="shared" si="7"/>
        <v>-3880200.355838716</v>
      </c>
      <c r="I27" s="259">
        <f t="shared" si="8"/>
        <v>-2.2654020193524076</v>
      </c>
      <c r="J27" s="156">
        <v>172372932.77823201</v>
      </c>
      <c r="K27" s="246">
        <f t="shared" si="2"/>
        <v>4.102066413893815</v>
      </c>
      <c r="L27" s="208">
        <f t="shared" si="3"/>
        <v>-4972260.1282320321</v>
      </c>
      <c r="M27" s="259">
        <f t="shared" si="4"/>
        <v>-2.884594494095623</v>
      </c>
      <c r="N27" s="156">
        <v>164379366.90000004</v>
      </c>
      <c r="O27" s="246">
        <f t="shared" si="5"/>
        <v>4.1570827702190085</v>
      </c>
      <c r="P27" s="208">
        <f t="shared" si="6"/>
        <v>3021305.7499999404</v>
      </c>
      <c r="Q27" s="259">
        <f t="shared" si="0"/>
        <v>1.8380079002481722</v>
      </c>
      <c r="CB27" s="140"/>
      <c r="CC27" s="140"/>
      <c r="CD27" s="81"/>
    </row>
    <row r="28" spans="2:84" ht="15" customHeight="1">
      <c r="B28" s="80">
        <v>7123</v>
      </c>
      <c r="C28" s="97" t="str">
        <f>IF(MasterSheet!$A$1=1,MasterSheet!C84,MasterSheet!B84)</f>
        <v>Doprinosi za osiguranje od nezaposlenosti</v>
      </c>
      <c r="D28" s="156">
        <v>12595344.189999998</v>
      </c>
      <c r="E28" s="246">
        <f t="shared" si="1"/>
        <v>0.29973927774208126</v>
      </c>
      <c r="F28" s="156">
        <v>12796289.599999998</v>
      </c>
      <c r="G28" s="246">
        <f t="shared" si="1"/>
        <v>0.30452130125413479</v>
      </c>
      <c r="H28" s="208">
        <f t="shared" si="7"/>
        <v>-200945.41000000015</v>
      </c>
      <c r="I28" s="259">
        <f t="shared" si="8"/>
        <v>-1.5703412182856482</v>
      </c>
      <c r="J28" s="156">
        <v>13897899.7574651</v>
      </c>
      <c r="K28" s="246">
        <f t="shared" si="2"/>
        <v>0.33073700667440326</v>
      </c>
      <c r="L28" s="208">
        <f t="shared" si="3"/>
        <v>-1302555.5674651023</v>
      </c>
      <c r="M28" s="259">
        <f t="shared" si="4"/>
        <v>-9.3723194885288308</v>
      </c>
      <c r="N28" s="156">
        <v>12989910.719999999</v>
      </c>
      <c r="O28" s="246">
        <f t="shared" si="5"/>
        <v>0.32850919832077285</v>
      </c>
      <c r="P28" s="208">
        <f t="shared" si="6"/>
        <v>-394566.53000000119</v>
      </c>
      <c r="Q28" s="259">
        <f t="shared" si="0"/>
        <v>-3.0374845409253197</v>
      </c>
      <c r="CB28" s="140"/>
      <c r="CC28" s="140"/>
      <c r="CD28" s="81"/>
    </row>
    <row r="29" spans="2:84" ht="15" customHeight="1">
      <c r="B29" s="80">
        <v>7124</v>
      </c>
      <c r="C29" s="97" t="str">
        <f>IF(MasterSheet!$A$1=1,MasterSheet!C85,MasterSheet!B85)</f>
        <v>Ostali doprinosi</v>
      </c>
      <c r="D29" s="155">
        <v>11914552.229999999</v>
      </c>
      <c r="E29" s="246">
        <f t="shared" si="1"/>
        <v>0.28353804597701143</v>
      </c>
      <c r="F29" s="155">
        <v>11650488.102008229</v>
      </c>
      <c r="G29" s="246">
        <f t="shared" si="1"/>
        <v>0.27725394688389687</v>
      </c>
      <c r="H29" s="208">
        <f t="shared" si="7"/>
        <v>264064.12799176946</v>
      </c>
      <c r="I29" s="259">
        <f t="shared" si="8"/>
        <v>2.2665499134431286</v>
      </c>
      <c r="J29" s="155">
        <v>12273145.676410003</v>
      </c>
      <c r="K29" s="246">
        <f t="shared" si="2"/>
        <v>0.2920717183410676</v>
      </c>
      <c r="L29" s="208">
        <f t="shared" si="3"/>
        <v>-358593.44641000405</v>
      </c>
      <c r="M29" s="259">
        <f t="shared" si="4"/>
        <v>-2.9217729167775701</v>
      </c>
      <c r="N29" s="156">
        <v>11962602.260000002</v>
      </c>
      <c r="O29" s="246">
        <f t="shared" si="5"/>
        <v>0.30252901370694457</v>
      </c>
      <c r="P29" s="208">
        <f t="shared" si="6"/>
        <v>-48050.030000003055</v>
      </c>
      <c r="Q29" s="259">
        <f t="shared" si="0"/>
        <v>-0.40166870849390079</v>
      </c>
      <c r="CB29" s="81"/>
      <c r="CC29" s="81"/>
      <c r="CD29" s="81"/>
    </row>
    <row r="30" spans="2:84" ht="15" customHeight="1">
      <c r="B30" s="80">
        <v>713</v>
      </c>
      <c r="C30" s="93" t="str">
        <f>IF(MasterSheet!$A$1=1,MasterSheet!C86,MasterSheet!B86)</f>
        <v>Takse</v>
      </c>
      <c r="D30" s="154">
        <v>13588393.370000001</v>
      </c>
      <c r="E30" s="245">
        <f t="shared" si="1"/>
        <v>0.32337148973132485</v>
      </c>
      <c r="F30" s="154">
        <v>13428059.488738885</v>
      </c>
      <c r="G30" s="330">
        <f t="shared" si="1"/>
        <v>0.31955592415075523</v>
      </c>
      <c r="H30" s="208">
        <f t="shared" si="7"/>
        <v>160333.88126111589</v>
      </c>
      <c r="I30" s="259">
        <f t="shared" si="8"/>
        <v>1.1940212314041077</v>
      </c>
      <c r="J30" s="154">
        <v>13832275.892059395</v>
      </c>
      <c r="K30" s="245">
        <f t="shared" si="2"/>
        <v>0.32917531453462306</v>
      </c>
      <c r="L30" s="207">
        <f t="shared" si="3"/>
        <v>-243882.52205939405</v>
      </c>
      <c r="M30" s="258">
        <f t="shared" si="4"/>
        <v>-1.7631409607684105</v>
      </c>
      <c r="N30" s="154">
        <v>12985556.879999999</v>
      </c>
      <c r="O30" s="245">
        <f t="shared" si="5"/>
        <v>0.32839909159880631</v>
      </c>
      <c r="P30" s="207">
        <f t="shared" si="6"/>
        <v>602836.49000000209</v>
      </c>
      <c r="Q30" s="258">
        <f t="shared" si="0"/>
        <v>4.6423614756828471</v>
      </c>
      <c r="CB30" s="81"/>
      <c r="CC30" s="81"/>
      <c r="CD30" s="81"/>
    </row>
    <row r="31" spans="2:84" ht="15" customHeight="1">
      <c r="B31" s="80">
        <v>714</v>
      </c>
      <c r="C31" s="93" t="str">
        <f>IF(MasterSheet!$A$1=1,MasterSheet!C91,MasterSheet!B91)</f>
        <v>Naknade</v>
      </c>
      <c r="D31" s="154">
        <v>18967775.129999999</v>
      </c>
      <c r="E31" s="245">
        <f t="shared" si="1"/>
        <v>0.45138799957164272</v>
      </c>
      <c r="F31" s="154">
        <v>18062763.465059899</v>
      </c>
      <c r="G31" s="330">
        <f t="shared" si="1"/>
        <v>0.42985087135146471</v>
      </c>
      <c r="H31" s="208">
        <f t="shared" si="7"/>
        <v>905011.66494010016</v>
      </c>
      <c r="I31" s="259">
        <f t="shared" si="8"/>
        <v>5.0103721210252843</v>
      </c>
      <c r="J31" s="154">
        <v>23449281.372267835</v>
      </c>
      <c r="K31" s="245">
        <f t="shared" si="2"/>
        <v>0.5580372045469606</v>
      </c>
      <c r="L31" s="207">
        <f t="shared" si="3"/>
        <v>-4481506.2422678359</v>
      </c>
      <c r="M31" s="258">
        <f t="shared" si="4"/>
        <v>-19.111486493432011</v>
      </c>
      <c r="N31" s="154">
        <v>73964486.599999994</v>
      </c>
      <c r="O31" s="245">
        <f t="shared" si="5"/>
        <v>1.8705297304132311</v>
      </c>
      <c r="P31" s="207">
        <f t="shared" si="6"/>
        <v>-54996711.469999999</v>
      </c>
      <c r="Q31" s="258">
        <f t="shared" si="0"/>
        <v>-74.355564404066314</v>
      </c>
      <c r="CB31" s="140"/>
      <c r="CC31" s="140"/>
      <c r="CD31" s="140"/>
    </row>
    <row r="32" spans="2:84" ht="15" customHeight="1">
      <c r="B32" s="80">
        <v>715</v>
      </c>
      <c r="C32" s="93" t="str">
        <f>IF(MasterSheet!$A$1=1,MasterSheet!C98,MasterSheet!B98)</f>
        <v>Ostali prihodi</v>
      </c>
      <c r="D32" s="154">
        <v>35699194.829999998</v>
      </c>
      <c r="E32" s="245">
        <f t="shared" si="1"/>
        <v>0.84955605126008416</v>
      </c>
      <c r="F32" s="154">
        <v>35600982.576524861</v>
      </c>
      <c r="G32" s="330">
        <f t="shared" si="1"/>
        <v>0.84721883288177002</v>
      </c>
      <c r="H32" s="208">
        <f t="shared" si="7"/>
        <v>98212.253475137055</v>
      </c>
      <c r="I32" s="259">
        <f t="shared" si="8"/>
        <v>0.27586950237687802</v>
      </c>
      <c r="J32" s="154">
        <v>37391136.21111349</v>
      </c>
      <c r="K32" s="245">
        <f t="shared" si="2"/>
        <v>0.88982023776477215</v>
      </c>
      <c r="L32" s="207">
        <f t="shared" si="3"/>
        <v>-1691941.381113492</v>
      </c>
      <c r="M32" s="258">
        <f t="shared" si="4"/>
        <v>-4.5249798550133704</v>
      </c>
      <c r="N32" s="154">
        <v>34446855.609999999</v>
      </c>
      <c r="O32" s="245">
        <f t="shared" si="5"/>
        <v>0.87114601208841225</v>
      </c>
      <c r="P32" s="207">
        <f t="shared" si="6"/>
        <v>1252339.2199999988</v>
      </c>
      <c r="Q32" s="258">
        <f t="shared" si="0"/>
        <v>3.6355690463556982</v>
      </c>
      <c r="CB32" s="81"/>
      <c r="CC32" s="81"/>
      <c r="CD32" s="81"/>
      <c r="CE32" s="81"/>
      <c r="CF32" s="81"/>
    </row>
    <row r="33" spans="1:85">
      <c r="B33" s="80">
        <v>73</v>
      </c>
      <c r="C33" s="101" t="str">
        <f>IF(MasterSheet!$A$1=1,MasterSheet!C103,MasterSheet!B103)</f>
        <v xml:space="preserve">Primici od otplate kredita </v>
      </c>
      <c r="D33" s="154">
        <v>6274510.5800000001</v>
      </c>
      <c r="E33" s="245">
        <f t="shared" si="1"/>
        <v>0.1493184498227077</v>
      </c>
      <c r="F33" s="154">
        <v>6728562.2178598447</v>
      </c>
      <c r="G33" s="330">
        <f t="shared" si="1"/>
        <v>0.16012380042978142</v>
      </c>
      <c r="H33" s="208">
        <f t="shared" si="7"/>
        <v>-454051.6378598446</v>
      </c>
      <c r="I33" s="259">
        <f t="shared" si="8"/>
        <v>-6.7481227513158757</v>
      </c>
      <c r="J33" s="154">
        <v>5310583.6688210517</v>
      </c>
      <c r="K33" s="245">
        <f t="shared" si="2"/>
        <v>0.12637927866593016</v>
      </c>
      <c r="L33" s="207">
        <f t="shared" si="3"/>
        <v>963926.91117894836</v>
      </c>
      <c r="M33" s="258">
        <f t="shared" si="4"/>
        <v>18.151054032690524</v>
      </c>
      <c r="N33" s="154">
        <v>4662620.91</v>
      </c>
      <c r="O33" s="245">
        <f t="shared" si="5"/>
        <v>0.11791565702291235</v>
      </c>
      <c r="P33" s="207">
        <f t="shared" si="6"/>
        <v>1611889.67</v>
      </c>
      <c r="Q33" s="258">
        <f t="shared" si="0"/>
        <v>34.570463718012206</v>
      </c>
      <c r="CA33" s="100"/>
      <c r="CB33" s="100"/>
      <c r="CC33" s="99"/>
      <c r="CD33" s="145"/>
      <c r="CE33" s="145"/>
      <c r="CF33" s="145"/>
      <c r="CG33" s="142"/>
    </row>
    <row r="34" spans="1:85" ht="13.5" customHeight="1" thickBot="1">
      <c r="B34" s="80">
        <v>74</v>
      </c>
      <c r="C34" s="93" t="s">
        <v>122</v>
      </c>
      <c r="D34" s="154">
        <v>25281469.760000002</v>
      </c>
      <c r="E34" s="245">
        <f t="shared" si="1"/>
        <v>0.6016389367221151</v>
      </c>
      <c r="F34" s="154">
        <v>26638083.929780353</v>
      </c>
      <c r="G34" s="330">
        <f t="shared" si="1"/>
        <v>0.63392313200019879</v>
      </c>
      <c r="H34" s="208">
        <f t="shared" si="7"/>
        <v>-1356614.1697803512</v>
      </c>
      <c r="I34" s="259">
        <f t="shared" si="8"/>
        <v>-5.0927618268508752</v>
      </c>
      <c r="J34" s="154">
        <v>35200000</v>
      </c>
      <c r="K34" s="245">
        <f t="shared" si="2"/>
        <v>0.83767639989529041</v>
      </c>
      <c r="L34" s="207">
        <f t="shared" si="3"/>
        <v>-9918530.2399999984</v>
      </c>
      <c r="M34" s="258">
        <f t="shared" si="4"/>
        <v>-28.177642727272726</v>
      </c>
      <c r="N34" s="154">
        <v>11579771.220000001</v>
      </c>
      <c r="O34" s="245">
        <f t="shared" si="5"/>
        <v>0.29284738303575947</v>
      </c>
      <c r="P34" s="207">
        <f t="shared" si="6"/>
        <v>13701698.540000001</v>
      </c>
      <c r="Q34" s="258">
        <f t="shared" si="0"/>
        <v>118.32443214711455</v>
      </c>
      <c r="CB34" s="161"/>
      <c r="CC34" s="161"/>
      <c r="CD34" s="145"/>
      <c r="CE34" s="145"/>
      <c r="CF34" s="145"/>
      <c r="CG34" s="142"/>
    </row>
    <row r="35" spans="1:85" ht="15" customHeight="1" thickTop="1" thickBot="1">
      <c r="B35" s="102"/>
      <c r="C35" s="90" t="s">
        <v>461</v>
      </c>
      <c r="D35" s="91">
        <f>+D37+D48+D54+SUM(D57:D62)</f>
        <v>1803549859.9400001</v>
      </c>
      <c r="E35" s="247">
        <f t="shared" si="1"/>
        <v>42.920203230289616</v>
      </c>
      <c r="F35" s="91">
        <f>+F37+F48+F54+SUM(F57:F62)</f>
        <v>1752020983.9499998</v>
      </c>
      <c r="G35" s="252">
        <f t="shared" si="1"/>
        <v>41.693938362961376</v>
      </c>
      <c r="H35" s="91">
        <f t="shared" si="7"/>
        <v>51528875.990000248</v>
      </c>
      <c r="I35" s="247">
        <f t="shared" si="8"/>
        <v>2.9411106637448086</v>
      </c>
      <c r="J35" s="91">
        <f>+J37+J48+J54+SUM(J57:J62)</f>
        <v>1786079675.6199999</v>
      </c>
      <c r="K35" s="252">
        <f t="shared" si="2"/>
        <v>42.504454335213346</v>
      </c>
      <c r="L35" s="91">
        <f t="shared" si="3"/>
        <v>17470184.320000172</v>
      </c>
      <c r="M35" s="247">
        <f t="shared" si="4"/>
        <v>0.9781301785395442</v>
      </c>
      <c r="N35" s="91">
        <f>+N37+N48+N54+SUM(N57:N61)</f>
        <v>1622008657.8200002</v>
      </c>
      <c r="O35" s="247">
        <f t="shared" si="5"/>
        <v>41.019894234484852</v>
      </c>
      <c r="P35" s="91">
        <f t="shared" si="6"/>
        <v>181541202.11999989</v>
      </c>
      <c r="Q35" s="247">
        <f t="shared" si="0"/>
        <v>11.192369488581733</v>
      </c>
      <c r="CB35" s="81"/>
      <c r="CC35" s="81"/>
      <c r="CD35" s="145"/>
      <c r="CE35" s="145"/>
      <c r="CF35" s="145"/>
      <c r="CG35" s="142"/>
    </row>
    <row r="36" spans="1:85" ht="13.5" customHeight="1" thickTop="1" thickBot="1">
      <c r="C36" s="299" t="s">
        <v>449</v>
      </c>
      <c r="D36" s="91">
        <f>+D35-D57</f>
        <v>1548043509.3900001</v>
      </c>
      <c r="E36" s="247">
        <f t="shared" si="1"/>
        <v>36.839758915542234</v>
      </c>
      <c r="F36" s="91">
        <f>+F35-F57</f>
        <v>1493442383.9499998</v>
      </c>
      <c r="G36" s="252">
        <f t="shared" si="1"/>
        <v>35.540381807905568</v>
      </c>
      <c r="H36" s="91">
        <f t="shared" si="7"/>
        <v>54601125.440000296</v>
      </c>
      <c r="I36" s="247">
        <f t="shared" si="8"/>
        <v>3.656058380744895</v>
      </c>
      <c r="J36" s="91">
        <f>+J35-J57</f>
        <v>1503001075.5999999</v>
      </c>
      <c r="K36" s="252">
        <f t="shared" si="2"/>
        <v>35.767855967254462</v>
      </c>
      <c r="L36" s="91">
        <f t="shared" si="3"/>
        <v>45042433.7900002</v>
      </c>
      <c r="M36" s="247">
        <f t="shared" si="4"/>
        <v>2.9968331041958294</v>
      </c>
      <c r="N36" s="162">
        <f>+N35-N57</f>
        <v>1557189212.8200002</v>
      </c>
      <c r="O36" s="247">
        <f t="shared" si="5"/>
        <v>39.380638632846093</v>
      </c>
      <c r="P36" s="91">
        <f t="shared" ref="P36:P75" si="9">+D36-N36</f>
        <v>-9145703.4300000668</v>
      </c>
      <c r="Q36" s="247">
        <f t="shared" si="0"/>
        <v>-0.58732126800683204</v>
      </c>
      <c r="R36" s="218"/>
      <c r="CB36" s="161"/>
      <c r="CC36" s="161"/>
      <c r="CD36" s="145"/>
      <c r="CE36" s="145"/>
      <c r="CF36" s="145"/>
      <c r="CG36" s="142"/>
    </row>
    <row r="37" spans="1:85" ht="13.5" customHeight="1" thickTop="1">
      <c r="A37" s="80">
        <v>41</v>
      </c>
      <c r="B37" s="80">
        <v>41</v>
      </c>
      <c r="C37" s="93" t="s">
        <v>62</v>
      </c>
      <c r="D37" s="94">
        <f>+SUM(D38:D47)</f>
        <v>778609423.11000013</v>
      </c>
      <c r="E37" s="245">
        <f t="shared" si="1"/>
        <v>18.529055070321984</v>
      </c>
      <c r="F37" s="94">
        <f>+SUM(F38:F47)</f>
        <v>738051705.26999998</v>
      </c>
      <c r="G37" s="253">
        <f t="shared" si="1"/>
        <v>17.563877710430496</v>
      </c>
      <c r="H37" s="205">
        <f t="shared" si="7"/>
        <v>40557717.840000153</v>
      </c>
      <c r="I37" s="258">
        <f t="shared" si="8"/>
        <v>5.4952407196407762</v>
      </c>
      <c r="J37" s="94">
        <f>+SUM(J38:J47)</f>
        <v>750959296.71999979</v>
      </c>
      <c r="K37" s="253">
        <f t="shared" si="2"/>
        <v>17.871047731372407</v>
      </c>
      <c r="L37" s="205">
        <f t="shared" si="3"/>
        <v>27650126.390000343</v>
      </c>
      <c r="M37" s="258">
        <f t="shared" si="4"/>
        <v>3.6819740445013736</v>
      </c>
      <c r="N37" s="94">
        <f>+SUM(N38:N47)</f>
        <v>739361964.83000004</v>
      </c>
      <c r="O37" s="245">
        <f t="shared" si="5"/>
        <v>18.698142856456425</v>
      </c>
      <c r="P37" s="205">
        <f t="shared" si="9"/>
        <v>39247458.280000091</v>
      </c>
      <c r="Q37" s="258">
        <f t="shared" si="0"/>
        <v>5.3082874352380571</v>
      </c>
      <c r="CB37" s="161"/>
      <c r="CC37" s="161"/>
      <c r="CD37" s="145"/>
      <c r="CE37" s="145"/>
      <c r="CF37" s="145"/>
      <c r="CG37" s="142"/>
    </row>
    <row r="38" spans="1:85" ht="13.5" customHeight="1">
      <c r="B38" s="80">
        <v>411</v>
      </c>
      <c r="C38" s="93" t="s">
        <v>63</v>
      </c>
      <c r="D38" s="154">
        <v>445373306.70000005</v>
      </c>
      <c r="E38" s="245">
        <f t="shared" si="1"/>
        <v>10.598826936531736</v>
      </c>
      <c r="F38" s="154">
        <v>439137191.45000005</v>
      </c>
      <c r="G38" s="253">
        <f t="shared" si="1"/>
        <v>10.450422204374005</v>
      </c>
      <c r="H38" s="207">
        <f t="shared" si="7"/>
        <v>6236115.25</v>
      </c>
      <c r="I38" s="258">
        <f t="shared" si="8"/>
        <v>1.4200836028961135</v>
      </c>
      <c r="J38" s="154">
        <v>438246239.97999996</v>
      </c>
      <c r="K38" s="253">
        <f t="shared" si="2"/>
        <v>10.429219675400395</v>
      </c>
      <c r="L38" s="207">
        <f t="shared" si="3"/>
        <v>7127066.7200000882</v>
      </c>
      <c r="M38" s="258">
        <f t="shared" si="4"/>
        <v>1.6262699071474884</v>
      </c>
      <c r="N38" s="154">
        <v>422490767.01999998</v>
      </c>
      <c r="O38" s="245">
        <f t="shared" si="5"/>
        <v>10.684607936371453</v>
      </c>
      <c r="P38" s="207">
        <f t="shared" si="9"/>
        <v>22882539.680000067</v>
      </c>
      <c r="Q38" s="258">
        <f t="shared" si="0"/>
        <v>5.4161040823211408</v>
      </c>
      <c r="CB38" s="161"/>
      <c r="CC38" s="161"/>
      <c r="CD38" s="145"/>
      <c r="CE38" s="145"/>
      <c r="CF38" s="145"/>
      <c r="CG38" s="142"/>
    </row>
    <row r="39" spans="1:85" ht="13.5" customHeight="1">
      <c r="B39" s="80">
        <v>412</v>
      </c>
      <c r="C39" s="93" t="s">
        <v>74</v>
      </c>
      <c r="D39" s="154">
        <v>10648738.729999999</v>
      </c>
      <c r="E39" s="245">
        <f t="shared" si="1"/>
        <v>0.25341469098783936</v>
      </c>
      <c r="F39" s="154">
        <v>10083960.970000001</v>
      </c>
      <c r="G39" s="253">
        <f t="shared" si="1"/>
        <v>0.23997432164869947</v>
      </c>
      <c r="H39" s="207">
        <f t="shared" si="7"/>
        <v>564777.75999999791</v>
      </c>
      <c r="I39" s="258">
        <f t="shared" si="8"/>
        <v>5.600753133418749</v>
      </c>
      <c r="J39" s="154">
        <v>10188146.970000004</v>
      </c>
      <c r="K39" s="253">
        <f t="shared" si="2"/>
        <v>0.24245370100663965</v>
      </c>
      <c r="L39" s="207">
        <f t="shared" si="3"/>
        <v>460591.75999999419</v>
      </c>
      <c r="M39" s="258">
        <f t="shared" si="4"/>
        <v>4.5208590075923638</v>
      </c>
      <c r="N39" s="154">
        <v>10906112.039999999</v>
      </c>
      <c r="O39" s="245">
        <f t="shared" si="5"/>
        <v>0.2758108350614536</v>
      </c>
      <c r="P39" s="207">
        <f t="shared" si="9"/>
        <v>-257373.31000000052</v>
      </c>
      <c r="Q39" s="258">
        <f t="shared" si="0"/>
        <v>-2.3598997429701853</v>
      </c>
      <c r="R39" s="218"/>
      <c r="CB39" s="161"/>
      <c r="CC39" s="161"/>
      <c r="CD39" s="145"/>
      <c r="CE39" s="145"/>
      <c r="CF39" s="145"/>
      <c r="CG39" s="142"/>
    </row>
    <row r="40" spans="1:85" ht="13.5" customHeight="1">
      <c r="B40" s="80">
        <v>413</v>
      </c>
      <c r="C40" s="93" t="s">
        <v>428</v>
      </c>
      <c r="D40" s="154">
        <v>29263150.719999999</v>
      </c>
      <c r="E40" s="245">
        <f t="shared" si="1"/>
        <v>0.6963934870659908</v>
      </c>
      <c r="F40" s="154">
        <v>29226302.879999999</v>
      </c>
      <c r="G40" s="253">
        <f t="shared" si="1"/>
        <v>0.69551659598772042</v>
      </c>
      <c r="H40" s="207">
        <f t="shared" si="7"/>
        <v>36847.839999999851</v>
      </c>
      <c r="I40" s="258">
        <f t="shared" si="8"/>
        <v>0.12607766418932442</v>
      </c>
      <c r="J40" s="154">
        <v>29597112.899999995</v>
      </c>
      <c r="K40" s="253">
        <f t="shared" si="2"/>
        <v>0.70434099378881976</v>
      </c>
      <c r="L40" s="207">
        <f t="shared" si="3"/>
        <v>-333962.17999999598</v>
      </c>
      <c r="M40" s="258">
        <f t="shared" si="4"/>
        <v>-1.1283606652052782</v>
      </c>
      <c r="N40" s="154">
        <v>31295356.900000002</v>
      </c>
      <c r="O40" s="245">
        <f t="shared" si="5"/>
        <v>0.79144597895908153</v>
      </c>
      <c r="P40" s="207">
        <f t="shared" si="9"/>
        <v>-2032206.1800000034</v>
      </c>
      <c r="Q40" s="258">
        <f t="shared" si="0"/>
        <v>-6.4936347794135685</v>
      </c>
      <c r="CB40" s="161"/>
      <c r="CC40" s="161"/>
      <c r="CD40" s="145"/>
      <c r="CE40" s="145"/>
      <c r="CF40" s="145"/>
      <c r="CG40" s="142"/>
    </row>
    <row r="41" spans="1:85" ht="13.5" customHeight="1">
      <c r="B41" s="80">
        <v>414</v>
      </c>
      <c r="C41" s="93" t="s">
        <v>429</v>
      </c>
      <c r="D41" s="154">
        <v>66738764.819999993</v>
      </c>
      <c r="E41" s="245">
        <f t="shared" si="1"/>
        <v>1.5882240979510243</v>
      </c>
      <c r="F41" s="154">
        <v>49907266.939999998</v>
      </c>
      <c r="G41" s="253">
        <f t="shared" si="1"/>
        <v>1.1876744232645582</v>
      </c>
      <c r="H41" s="207">
        <f t="shared" si="7"/>
        <v>16831497.879999995</v>
      </c>
      <c r="I41" s="258">
        <f t="shared" si="8"/>
        <v>33.725545220168698</v>
      </c>
      <c r="J41" s="154">
        <v>53024750.940000013</v>
      </c>
      <c r="K41" s="253">
        <f t="shared" si="2"/>
        <v>1.261863138430785</v>
      </c>
      <c r="L41" s="207">
        <f t="shared" si="3"/>
        <v>13714013.87999998</v>
      </c>
      <c r="M41" s="258">
        <f t="shared" si="4"/>
        <v>25.863419699072281</v>
      </c>
      <c r="N41" s="154">
        <v>59827010.189999998</v>
      </c>
      <c r="O41" s="245">
        <f t="shared" si="5"/>
        <v>1.5129990943806584</v>
      </c>
      <c r="P41" s="207">
        <f t="shared" si="9"/>
        <v>6911754.6299999952</v>
      </c>
      <c r="Q41" s="258">
        <f t="shared" si="0"/>
        <v>11.552899949453405</v>
      </c>
      <c r="CB41" s="161"/>
      <c r="CC41" s="161"/>
      <c r="CD41" s="145"/>
      <c r="CE41" s="145"/>
      <c r="CF41" s="145"/>
      <c r="CG41" s="142"/>
    </row>
    <row r="42" spans="1:85" ht="13.5" customHeight="1">
      <c r="B42" s="80">
        <v>415</v>
      </c>
      <c r="C42" s="93" t="s">
        <v>430</v>
      </c>
      <c r="D42" s="154">
        <v>20224989.950000003</v>
      </c>
      <c r="E42" s="245">
        <f t="shared" si="1"/>
        <v>0.48130672639870553</v>
      </c>
      <c r="F42" s="154">
        <v>20636969.719999999</v>
      </c>
      <c r="G42" s="253">
        <f t="shared" si="1"/>
        <v>0.49111086647152613</v>
      </c>
      <c r="H42" s="207">
        <f t="shared" si="7"/>
        <v>-411979.76999999583</v>
      </c>
      <c r="I42" s="258">
        <f t="shared" si="8"/>
        <v>-1.9963191088114627</v>
      </c>
      <c r="J42" s="154">
        <v>21226969.68</v>
      </c>
      <c r="K42" s="253">
        <f t="shared" si="2"/>
        <v>0.50515146426786606</v>
      </c>
      <c r="L42" s="207">
        <f t="shared" si="3"/>
        <v>-1001979.7299999967</v>
      </c>
      <c r="M42" s="258">
        <f t="shared" si="4"/>
        <v>-4.7203145107615541</v>
      </c>
      <c r="N42" s="154">
        <v>20452287.48</v>
      </c>
      <c r="O42" s="245">
        <f t="shared" si="5"/>
        <v>0.51722946436700223</v>
      </c>
      <c r="P42" s="207">
        <f t="shared" si="9"/>
        <v>-227297.52999999747</v>
      </c>
      <c r="Q42" s="258">
        <f t="shared" si="0"/>
        <v>-1.1113550512248054</v>
      </c>
      <c r="CB42" s="161"/>
      <c r="CC42" s="161"/>
      <c r="CD42" s="145"/>
      <c r="CE42" s="145"/>
      <c r="CF42" s="145"/>
      <c r="CG42" s="142"/>
    </row>
    <row r="43" spans="1:85" ht="15" customHeight="1">
      <c r="B43" s="80">
        <v>416</v>
      </c>
      <c r="C43" s="93" t="s">
        <v>79</v>
      </c>
      <c r="D43" s="154">
        <v>98705378.580000013</v>
      </c>
      <c r="E43" s="245">
        <f t="shared" si="1"/>
        <v>2.3489535846362535</v>
      </c>
      <c r="F43" s="154">
        <v>95363625.909999996</v>
      </c>
      <c r="G43" s="253">
        <f t="shared" si="1"/>
        <v>2.269427807762785</v>
      </c>
      <c r="H43" s="207">
        <f t="shared" si="7"/>
        <v>3341752.6700000167</v>
      </c>
      <c r="I43" s="258">
        <f t="shared" si="8"/>
        <v>3.5042214870833561</v>
      </c>
      <c r="J43" s="154">
        <v>95363625.910000011</v>
      </c>
      <c r="K43" s="253">
        <f t="shared" si="2"/>
        <v>2.2694278077627854</v>
      </c>
      <c r="L43" s="207">
        <f t="shared" si="3"/>
        <v>3341752.6700000018</v>
      </c>
      <c r="M43" s="258">
        <f t="shared" si="4"/>
        <v>3.5042214870833419</v>
      </c>
      <c r="N43" s="154">
        <v>81576080.650000006</v>
      </c>
      <c r="O43" s="245">
        <f t="shared" si="5"/>
        <v>2.0630236368924182</v>
      </c>
      <c r="P43" s="207">
        <f t="shared" si="9"/>
        <v>17129297.930000007</v>
      </c>
      <c r="Q43" s="258">
        <f t="shared" si="0"/>
        <v>20.997941790673664</v>
      </c>
      <c r="CB43" s="161"/>
      <c r="CC43" s="161"/>
      <c r="CD43" s="145"/>
      <c r="CE43" s="145"/>
      <c r="CF43" s="145"/>
      <c r="CG43" s="142"/>
    </row>
    <row r="44" spans="1:85" ht="13.5" customHeight="1">
      <c r="B44" s="80">
        <v>417</v>
      </c>
      <c r="C44" s="93" t="s">
        <v>81</v>
      </c>
      <c r="D44" s="154">
        <v>9120340.8300000001</v>
      </c>
      <c r="E44" s="245">
        <f t="shared" si="1"/>
        <v>0.21704245091739843</v>
      </c>
      <c r="F44" s="154">
        <v>9103779.5199999996</v>
      </c>
      <c r="G44" s="253">
        <f t="shared" si="1"/>
        <v>0.21664833107255896</v>
      </c>
      <c r="H44" s="207">
        <f t="shared" si="7"/>
        <v>16561.310000000522</v>
      </c>
      <c r="I44" s="258">
        <f t="shared" si="8"/>
        <v>0.18191686171240917</v>
      </c>
      <c r="J44" s="154">
        <v>9323779.5200000014</v>
      </c>
      <c r="K44" s="253">
        <f t="shared" si="2"/>
        <v>0.22188380857190454</v>
      </c>
      <c r="L44" s="207">
        <f t="shared" si="3"/>
        <v>-203438.69000000134</v>
      </c>
      <c r="M44" s="258">
        <f t="shared" si="4"/>
        <v>-2.181933727235986</v>
      </c>
      <c r="N44" s="154">
        <v>9216029.3300000001</v>
      </c>
      <c r="O44" s="245">
        <f t="shared" si="5"/>
        <v>0.23306937762379243</v>
      </c>
      <c r="P44" s="207">
        <f t="shared" si="9"/>
        <v>-95688.5</v>
      </c>
      <c r="Q44" s="258">
        <f t="shared" si="0"/>
        <v>-1.0382833710013841</v>
      </c>
      <c r="CB44" s="161"/>
      <c r="CC44" s="161"/>
      <c r="CD44" s="145"/>
      <c r="CE44" s="145"/>
      <c r="CF44" s="145"/>
      <c r="CG44" s="142"/>
    </row>
    <row r="45" spans="1:85" ht="13.5" customHeight="1">
      <c r="B45" s="80">
        <v>418</v>
      </c>
      <c r="C45" s="93" t="s">
        <v>83</v>
      </c>
      <c r="D45" s="154">
        <v>27803826.270000003</v>
      </c>
      <c r="E45" s="245">
        <f t="shared" si="1"/>
        <v>0.66166503105590069</v>
      </c>
      <c r="F45" s="154">
        <v>27339607.030000001</v>
      </c>
      <c r="G45" s="253">
        <f t="shared" si="1"/>
        <v>0.65061771566597659</v>
      </c>
      <c r="H45" s="207">
        <f t="shared" si="7"/>
        <v>464219.24000000209</v>
      </c>
      <c r="I45" s="258">
        <f t="shared" si="8"/>
        <v>1.6979733450104533</v>
      </c>
      <c r="J45" s="154">
        <v>24921799.98</v>
      </c>
      <c r="K45" s="253">
        <f t="shared" si="2"/>
        <v>0.59307965017491249</v>
      </c>
      <c r="L45" s="207">
        <f t="shared" si="3"/>
        <v>2882026.2900000028</v>
      </c>
      <c r="M45" s="258">
        <f t="shared" si="4"/>
        <v>11.56427823155974</v>
      </c>
      <c r="N45" s="154">
        <v>27120821.130000003</v>
      </c>
      <c r="O45" s="245">
        <f t="shared" si="5"/>
        <v>0.68587378306610691</v>
      </c>
      <c r="P45" s="207">
        <f t="shared" si="9"/>
        <v>683005.1400000006</v>
      </c>
      <c r="Q45" s="258">
        <f t="shared" si="0"/>
        <v>2.5183792803547931</v>
      </c>
      <c r="CB45" s="161"/>
      <c r="CC45" s="161"/>
      <c r="CD45" s="145"/>
      <c r="CE45" s="145"/>
      <c r="CF45" s="145"/>
      <c r="CG45" s="142"/>
    </row>
    <row r="46" spans="1:85" ht="13.5" customHeight="1">
      <c r="B46" s="80">
        <v>419</v>
      </c>
      <c r="C46" s="93" t="s">
        <v>85</v>
      </c>
      <c r="D46" s="154">
        <v>38311275</v>
      </c>
      <c r="E46" s="245">
        <f t="shared" si="1"/>
        <v>0.91171735560791034</v>
      </c>
      <c r="F46" s="154">
        <v>32845247.539999999</v>
      </c>
      <c r="G46" s="253">
        <f t="shared" si="1"/>
        <v>0.78163888389138769</v>
      </c>
      <c r="H46" s="207">
        <f t="shared" si="7"/>
        <v>5466027.4600000009</v>
      </c>
      <c r="I46" s="258">
        <f t="shared" si="8"/>
        <v>16.641760587565372</v>
      </c>
      <c r="J46" s="154">
        <v>32959947.539999999</v>
      </c>
      <c r="K46" s="253">
        <f t="shared" si="2"/>
        <v>0.78436847147854638</v>
      </c>
      <c r="L46" s="207">
        <f t="shared" si="3"/>
        <v>5351327.4600000009</v>
      </c>
      <c r="M46" s="258">
        <f t="shared" si="4"/>
        <v>16.235849445772516</v>
      </c>
      <c r="N46" s="154">
        <v>34388227.020000003</v>
      </c>
      <c r="O46" s="245">
        <f>+N45/$N$11*100</f>
        <v>0.68587378306610691</v>
      </c>
      <c r="P46" s="207">
        <f t="shared" si="9"/>
        <v>3923047.9799999967</v>
      </c>
      <c r="Q46" s="258">
        <f t="shared" si="0"/>
        <v>11.408113531757166</v>
      </c>
      <c r="CB46" s="161"/>
      <c r="CC46" s="161"/>
      <c r="CD46" s="145"/>
      <c r="CE46" s="145"/>
      <c r="CF46" s="145"/>
      <c r="CG46" s="142"/>
    </row>
    <row r="47" spans="1:85" ht="13.5" customHeight="1">
      <c r="B47" s="80">
        <v>441</v>
      </c>
      <c r="C47" s="93" t="s">
        <v>129</v>
      </c>
      <c r="D47" s="166">
        <v>32419651.509999998</v>
      </c>
      <c r="E47" s="248">
        <f t="shared" si="1"/>
        <v>0.77151070916922493</v>
      </c>
      <c r="F47" s="154">
        <v>24407753.310000002</v>
      </c>
      <c r="G47" s="253">
        <f t="shared" si="1"/>
        <v>0.5808465602912829</v>
      </c>
      <c r="H47" s="207">
        <f t="shared" si="7"/>
        <v>8011898.1999999955</v>
      </c>
      <c r="I47" s="260">
        <f t="shared" si="8"/>
        <v>32.825217865166934</v>
      </c>
      <c r="J47" s="154">
        <v>36106923.299999997</v>
      </c>
      <c r="K47" s="253">
        <f t="shared" si="2"/>
        <v>0.85925902048975511</v>
      </c>
      <c r="L47" s="207">
        <f t="shared" si="3"/>
        <v>-3687271.7899999991</v>
      </c>
      <c r="M47" s="260">
        <f t="shared" si="4"/>
        <v>-10.212090793124986</v>
      </c>
      <c r="N47" s="154">
        <v>42089273.07</v>
      </c>
      <c r="O47" s="248">
        <f>+N46/$N$11*100</f>
        <v>0.86966332051995354</v>
      </c>
      <c r="P47" s="207">
        <f t="shared" si="9"/>
        <v>-9669621.5600000024</v>
      </c>
      <c r="Q47" s="260">
        <f t="shared" si="0"/>
        <v>-22.974075945474638</v>
      </c>
      <c r="CB47" s="161"/>
      <c r="CC47" s="161"/>
      <c r="CD47" s="145"/>
      <c r="CE47" s="145"/>
      <c r="CF47" s="145"/>
      <c r="CG47" s="142"/>
    </row>
    <row r="48" spans="1:85" ht="13.5" customHeight="1">
      <c r="A48" s="80">
        <v>42</v>
      </c>
      <c r="B48" s="80">
        <v>42</v>
      </c>
      <c r="C48" s="93" t="s">
        <v>86</v>
      </c>
      <c r="D48" s="154">
        <f>+SUM(D49:D53)</f>
        <v>538050896.17999995</v>
      </c>
      <c r="E48" s="245">
        <f t="shared" si="1"/>
        <v>12.804333456605029</v>
      </c>
      <c r="F48" s="154">
        <f>+SUM(F49:F53)</f>
        <v>562418105</v>
      </c>
      <c r="G48" s="253">
        <f t="shared" si="1"/>
        <v>13.384215154327597</v>
      </c>
      <c r="H48" s="205">
        <f t="shared" si="7"/>
        <v>-24367208.820000052</v>
      </c>
      <c r="I48" s="258">
        <f t="shared" si="8"/>
        <v>-4.3325790196601162</v>
      </c>
      <c r="J48" s="154">
        <f>+SUM(J49:J53)</f>
        <v>570918105</v>
      </c>
      <c r="K48" s="253">
        <f t="shared" si="2"/>
        <v>13.586494966802313</v>
      </c>
      <c r="L48" s="205">
        <f t="shared" si="3"/>
        <v>-32867208.820000052</v>
      </c>
      <c r="M48" s="258">
        <f t="shared" si="4"/>
        <v>-5.7569042796427112</v>
      </c>
      <c r="N48" s="154">
        <f>+SUM(N49:N53)</f>
        <v>554983220.35000002</v>
      </c>
      <c r="O48" s="245">
        <f t="shared" si="5"/>
        <v>14.035284516463509</v>
      </c>
      <c r="P48" s="205">
        <f t="shared" si="9"/>
        <v>-16932324.170000076</v>
      </c>
      <c r="Q48" s="258">
        <f t="shared" si="0"/>
        <v>-3.0509614613792593</v>
      </c>
      <c r="CB48" s="161"/>
      <c r="CC48" s="161"/>
      <c r="CD48" s="145"/>
      <c r="CE48" s="145"/>
      <c r="CF48" s="145"/>
      <c r="CG48" s="142"/>
    </row>
    <row r="49" spans="1:85" ht="13.5" customHeight="1">
      <c r="B49" s="80">
        <v>421</v>
      </c>
      <c r="C49" s="97" t="s">
        <v>88</v>
      </c>
      <c r="D49" s="156">
        <v>98704880.719999999</v>
      </c>
      <c r="E49" s="246">
        <f t="shared" si="1"/>
        <v>2.348941736750672</v>
      </c>
      <c r="F49" s="156">
        <v>112415625</v>
      </c>
      <c r="G49" s="254">
        <f t="shared" si="1"/>
        <v>2.6752248875562219</v>
      </c>
      <c r="H49" s="208">
        <f t="shared" si="7"/>
        <v>-13710744.280000001</v>
      </c>
      <c r="I49" s="259">
        <f t="shared" si="8"/>
        <v>-12.196475605593079</v>
      </c>
      <c r="J49" s="156">
        <v>114715625.00000001</v>
      </c>
      <c r="K49" s="254">
        <f t="shared" si="2"/>
        <v>2.7299594250493802</v>
      </c>
      <c r="L49" s="208">
        <f t="shared" si="3"/>
        <v>-16010744.280000016</v>
      </c>
      <c r="M49" s="259">
        <f t="shared" si="4"/>
        <v>-13.956899315154331</v>
      </c>
      <c r="N49" s="156">
        <v>114054928.72</v>
      </c>
      <c r="O49" s="246">
        <f t="shared" si="5"/>
        <v>2.8843995933437863</v>
      </c>
      <c r="P49" s="208">
        <f t="shared" si="9"/>
        <v>-15350048</v>
      </c>
      <c r="Q49" s="259">
        <f t="shared" si="0"/>
        <v>-13.45846967971346</v>
      </c>
      <c r="CB49" s="161"/>
      <c r="CC49" s="161"/>
      <c r="CD49" s="145"/>
      <c r="CE49" s="145"/>
      <c r="CF49" s="145"/>
      <c r="CG49" s="142"/>
    </row>
    <row r="50" spans="1:85" ht="13.5" customHeight="1">
      <c r="B50" s="80">
        <v>422</v>
      </c>
      <c r="C50" s="97" t="s">
        <v>90</v>
      </c>
      <c r="D50" s="156">
        <v>12968450.790000001</v>
      </c>
      <c r="E50" s="246">
        <f t="shared" si="1"/>
        <v>0.30861832869279648</v>
      </c>
      <c r="F50" s="156">
        <v>15396480</v>
      </c>
      <c r="G50" s="254">
        <f t="shared" si="1"/>
        <v>0.36639965731420004</v>
      </c>
      <c r="H50" s="208">
        <f t="shared" si="7"/>
        <v>-2428029.209999999</v>
      </c>
      <c r="I50" s="259">
        <f t="shared" si="8"/>
        <v>-15.770028019391432</v>
      </c>
      <c r="J50" s="156">
        <v>20596480</v>
      </c>
      <c r="K50" s="254">
        <f t="shared" si="2"/>
        <v>0.49014730729873157</v>
      </c>
      <c r="L50" s="208">
        <f t="shared" si="3"/>
        <v>-7628029.209999999</v>
      </c>
      <c r="M50" s="259">
        <f t="shared" si="4"/>
        <v>-37.035596422301289</v>
      </c>
      <c r="N50" s="156">
        <v>22568289.629999999</v>
      </c>
      <c r="O50" s="246">
        <f t="shared" si="5"/>
        <v>0.57074223939102731</v>
      </c>
      <c r="P50" s="208">
        <f t="shared" si="9"/>
        <v>-9599838.839999998</v>
      </c>
      <c r="Q50" s="259">
        <f t="shared" si="0"/>
        <v>-42.53684704240478</v>
      </c>
      <c r="CB50" s="161"/>
      <c r="CC50" s="161"/>
      <c r="CD50" s="145"/>
      <c r="CE50" s="145"/>
      <c r="CF50" s="145"/>
      <c r="CG50" s="142"/>
    </row>
    <row r="51" spans="1:85" ht="13.5" customHeight="1">
      <c r="B51" s="80">
        <v>423</v>
      </c>
      <c r="C51" s="97" t="s">
        <v>92</v>
      </c>
      <c r="D51" s="156">
        <v>401263898.76999998</v>
      </c>
      <c r="E51" s="246">
        <f t="shared" si="1"/>
        <v>9.5491277877727789</v>
      </c>
      <c r="F51" s="156">
        <v>410150000</v>
      </c>
      <c r="G51" s="254">
        <f t="shared" si="1"/>
        <v>9.7605958925299259</v>
      </c>
      <c r="H51" s="208">
        <f t="shared" si="7"/>
        <v>-8886101.2300000191</v>
      </c>
      <c r="I51" s="259">
        <f t="shared" si="8"/>
        <v>-2.1665491234914072</v>
      </c>
      <c r="J51" s="156">
        <v>411150000</v>
      </c>
      <c r="K51" s="254">
        <f t="shared" si="2"/>
        <v>9.7843935175269507</v>
      </c>
      <c r="L51" s="208">
        <f t="shared" si="3"/>
        <v>-9886101.2300000191</v>
      </c>
      <c r="M51" s="259">
        <f t="shared" si="4"/>
        <v>-2.4044998735254808</v>
      </c>
      <c r="N51" s="156">
        <v>390815475.43000001</v>
      </c>
      <c r="O51" s="246">
        <f t="shared" si="5"/>
        <v>9.8835535741742966</v>
      </c>
      <c r="P51" s="208">
        <f t="shared" si="9"/>
        <v>10448423.339999974</v>
      </c>
      <c r="Q51" s="259">
        <f t="shared" si="0"/>
        <v>2.6734927342638883</v>
      </c>
      <c r="CB51" s="161"/>
      <c r="CC51" s="161"/>
      <c r="CD51" s="145"/>
      <c r="CE51" s="145"/>
      <c r="CF51" s="145"/>
      <c r="CG51" s="142"/>
    </row>
    <row r="52" spans="1:85" ht="13.5" customHeight="1">
      <c r="B52" s="80">
        <v>424</v>
      </c>
      <c r="C52" s="97" t="s">
        <v>94</v>
      </c>
      <c r="D52" s="156">
        <v>16489379.109999999</v>
      </c>
      <c r="E52" s="246">
        <f t="shared" si="1"/>
        <v>0.39240806049356275</v>
      </c>
      <c r="F52" s="156">
        <v>15931000</v>
      </c>
      <c r="G52" s="254">
        <f t="shared" si="1"/>
        <v>0.37911996382761004</v>
      </c>
      <c r="H52" s="208">
        <f t="shared" si="7"/>
        <v>558379.1099999994</v>
      </c>
      <c r="I52" s="259">
        <f t="shared" si="8"/>
        <v>3.5049846839495302</v>
      </c>
      <c r="J52" s="156">
        <v>15931000.000000002</v>
      </c>
      <c r="K52" s="254">
        <f t="shared" si="2"/>
        <v>0.37911996382761004</v>
      </c>
      <c r="L52" s="208">
        <f t="shared" si="3"/>
        <v>558379.10999999754</v>
      </c>
      <c r="M52" s="259">
        <f t="shared" si="4"/>
        <v>3.5049846839495018</v>
      </c>
      <c r="N52" s="156">
        <v>16279749.999999996</v>
      </c>
      <c r="O52" s="246">
        <f t="shared" si="5"/>
        <v>0.41170780435992099</v>
      </c>
      <c r="P52" s="208">
        <f t="shared" si="9"/>
        <v>209629.11000000313</v>
      </c>
      <c r="Q52" s="259">
        <f t="shared" si="0"/>
        <v>1.287667869592596</v>
      </c>
      <c r="CB52" s="161"/>
      <c r="CC52" s="161"/>
      <c r="CD52" s="145"/>
      <c r="CE52" s="145"/>
      <c r="CF52" s="145"/>
      <c r="CG52" s="142"/>
    </row>
    <row r="53" spans="1:85" ht="13.5" customHeight="1">
      <c r="B53" s="80">
        <v>425</v>
      </c>
      <c r="C53" s="97" t="s">
        <v>431</v>
      </c>
      <c r="D53" s="156">
        <v>8624286.790000001</v>
      </c>
      <c r="E53" s="246">
        <f t="shared" si="1"/>
        <v>0.20523754289521909</v>
      </c>
      <c r="F53" s="156">
        <v>8525000</v>
      </c>
      <c r="G53" s="254">
        <f t="shared" si="1"/>
        <v>0.20287475309964065</v>
      </c>
      <c r="H53" s="208">
        <f t="shared" si="7"/>
        <v>99286.790000000969</v>
      </c>
      <c r="I53" s="259">
        <f t="shared" si="8"/>
        <v>1.1646544281525024</v>
      </c>
      <c r="J53" s="156">
        <v>8525000.0000000019</v>
      </c>
      <c r="K53" s="254">
        <f t="shared" si="2"/>
        <v>0.2028747530996407</v>
      </c>
      <c r="L53" s="208">
        <f t="shared" si="3"/>
        <v>99286.789999999106</v>
      </c>
      <c r="M53" s="259">
        <f t="shared" si="4"/>
        <v>1.164654428152474</v>
      </c>
      <c r="N53" s="156">
        <v>11264776.57</v>
      </c>
      <c r="O53" s="246">
        <f t="shared" si="5"/>
        <v>0.28488130519447674</v>
      </c>
      <c r="P53" s="208">
        <f t="shared" si="9"/>
        <v>-2640489.7799999993</v>
      </c>
      <c r="Q53" s="259">
        <f t="shared" si="0"/>
        <v>-23.440232157218887</v>
      </c>
      <c r="CB53" s="161"/>
      <c r="CC53" s="161"/>
      <c r="CD53" s="145"/>
      <c r="CE53" s="145"/>
      <c r="CF53" s="145"/>
      <c r="CG53" s="142"/>
    </row>
    <row r="54" spans="1:85" ht="13.5" customHeight="1" thickBot="1">
      <c r="A54" s="80">
        <v>43</v>
      </c>
      <c r="B54" s="80">
        <v>431</v>
      </c>
      <c r="C54" s="93" t="s">
        <v>432</v>
      </c>
      <c r="D54" s="154">
        <f>SUM(D55:D56)</f>
        <v>166881124.75999999</v>
      </c>
      <c r="E54" s="245">
        <f t="shared" si="1"/>
        <v>3.9713744261202728</v>
      </c>
      <c r="F54" s="154">
        <f>SUM(F55:F56)</f>
        <v>167760308.30000001</v>
      </c>
      <c r="G54" s="253">
        <f t="shared" si="1"/>
        <v>3.9922969063087512</v>
      </c>
      <c r="H54" s="94">
        <f t="shared" si="7"/>
        <v>-879183.54000002146</v>
      </c>
      <c r="I54" s="245">
        <f t="shared" si="8"/>
        <v>-0.52407124719144349</v>
      </c>
      <c r="J54" s="154">
        <f>SUM(J55:J56)</f>
        <v>164400000</v>
      </c>
      <c r="K54" s="253">
        <f t="shared" si="2"/>
        <v>3.9123295495109587</v>
      </c>
      <c r="L54" s="94">
        <f t="shared" si="3"/>
        <v>2481124.7599999905</v>
      </c>
      <c r="M54" s="245">
        <f t="shared" si="4"/>
        <v>1.509199975669091</v>
      </c>
      <c r="N54" s="154">
        <v>171815385.72</v>
      </c>
      <c r="O54" s="245">
        <f t="shared" si="5"/>
        <v>4.3451364554144956</v>
      </c>
      <c r="P54" s="205">
        <f t="shared" si="9"/>
        <v>-4934260.9600000083</v>
      </c>
      <c r="Q54" s="258">
        <f t="shared" si="0"/>
        <v>-2.871838828241593</v>
      </c>
      <c r="CB54" s="161"/>
      <c r="CC54" s="161"/>
      <c r="CD54" s="145"/>
      <c r="CE54" s="145"/>
      <c r="CF54" s="145"/>
      <c r="CG54" s="142"/>
    </row>
    <row r="55" spans="1:85" ht="13.5" hidden="1" customHeight="1">
      <c r="C55" s="243" t="s">
        <v>432</v>
      </c>
      <c r="D55" s="301">
        <v>164834834.72999999</v>
      </c>
      <c r="E55" s="245">
        <f t="shared" si="1"/>
        <v>3.9226775833511813</v>
      </c>
      <c r="F55" s="301">
        <v>165952808.30000001</v>
      </c>
      <c r="G55" s="253">
        <f t="shared" si="1"/>
        <v>3.949282699126627</v>
      </c>
      <c r="H55" s="94">
        <f t="shared" si="7"/>
        <v>-1117973.5700000226</v>
      </c>
      <c r="I55" s="245">
        <f t="shared" si="8"/>
        <v>-0.67366956995329019</v>
      </c>
      <c r="J55" s="301">
        <v>162699999.96000001</v>
      </c>
      <c r="K55" s="253">
        <f t="shared" si="2"/>
        <v>3.8718735860641109</v>
      </c>
      <c r="L55" s="94">
        <f t="shared" si="3"/>
        <v>2134834.7699999809</v>
      </c>
      <c r="M55" s="245">
        <f t="shared" si="4"/>
        <v>1.3121295454977542</v>
      </c>
      <c r="N55" s="301">
        <v>170621786.5</v>
      </c>
      <c r="O55" s="245">
        <f t="shared" si="5"/>
        <v>4.3149508497294011</v>
      </c>
      <c r="P55" s="205">
        <f t="shared" si="9"/>
        <v>-5786951.7700000107</v>
      </c>
      <c r="Q55" s="258">
        <f t="shared" si="0"/>
        <v>-3.3916839629386999</v>
      </c>
      <c r="CB55" s="161"/>
      <c r="CC55" s="161"/>
      <c r="CD55" s="145"/>
      <c r="CE55" s="145"/>
      <c r="CF55" s="145"/>
      <c r="CG55" s="142"/>
    </row>
    <row r="56" spans="1:85" ht="13.5" hidden="1" customHeight="1" thickBot="1">
      <c r="C56" s="243" t="s">
        <v>466</v>
      </c>
      <c r="D56" s="301">
        <v>2046290.03</v>
      </c>
      <c r="E56" s="245">
        <f t="shared" si="1"/>
        <v>4.8696842769091642E-2</v>
      </c>
      <c r="F56" s="301">
        <v>1807500</v>
      </c>
      <c r="G56" s="253">
        <f t="shared" si="1"/>
        <v>4.3014207182123225E-2</v>
      </c>
      <c r="H56" s="94">
        <f t="shared" si="7"/>
        <v>238790.03000000003</v>
      </c>
      <c r="I56" s="245">
        <f t="shared" si="8"/>
        <v>13.211066666666667</v>
      </c>
      <c r="J56" s="301">
        <v>1700000.04</v>
      </c>
      <c r="K56" s="253">
        <f t="shared" si="2"/>
        <v>4.0455963446848008E-2</v>
      </c>
      <c r="L56" s="94">
        <f t="shared" si="3"/>
        <v>346289.99</v>
      </c>
      <c r="M56" s="245">
        <f t="shared" si="4"/>
        <v>20.369998932470622</v>
      </c>
      <c r="N56" s="301">
        <v>1193599.22</v>
      </c>
      <c r="O56" s="245">
        <f t="shared" si="5"/>
        <v>3.0185605685094333E-2</v>
      </c>
      <c r="P56" s="205">
        <f t="shared" si="9"/>
        <v>852690.81</v>
      </c>
      <c r="Q56" s="258">
        <f t="shared" si="0"/>
        <v>71.438619907945309</v>
      </c>
      <c r="CB56" s="161"/>
      <c r="CC56" s="161"/>
      <c r="CD56" s="145"/>
      <c r="CE56" s="145"/>
      <c r="CF56" s="145"/>
      <c r="CG56" s="142"/>
    </row>
    <row r="57" spans="1:85" ht="13.5" customHeight="1" thickTop="1" thickBot="1">
      <c r="B57" s="80">
        <v>44</v>
      </c>
      <c r="C57" s="90" t="s">
        <v>130</v>
      </c>
      <c r="D57" s="302">
        <v>255506350.55000001</v>
      </c>
      <c r="E57" s="247">
        <f t="shared" si="1"/>
        <v>6.080444314747389</v>
      </c>
      <c r="F57" s="162">
        <v>258578600</v>
      </c>
      <c r="G57" s="252">
        <f t="shared" si="1"/>
        <v>6.1535565550558049</v>
      </c>
      <c r="H57" s="162">
        <f t="shared" si="7"/>
        <v>-3072249.4499999881</v>
      </c>
      <c r="I57" s="247">
        <f t="shared" si="8"/>
        <v>-1.188129818167468</v>
      </c>
      <c r="J57" s="162">
        <v>283078600.02000004</v>
      </c>
      <c r="K57" s="252">
        <f t="shared" si="2"/>
        <v>6.7365983679588792</v>
      </c>
      <c r="L57" s="162">
        <f t="shared" si="3"/>
        <v>-27572249.470000029</v>
      </c>
      <c r="M57" s="247">
        <f t="shared" si="4"/>
        <v>-9.740139123215954</v>
      </c>
      <c r="N57" s="162">
        <v>64819445</v>
      </c>
      <c r="O57" s="247">
        <f t="shared" si="5"/>
        <v>1.6392556016387636</v>
      </c>
      <c r="P57" s="162">
        <f>+D57-N57</f>
        <v>190686905.55000001</v>
      </c>
      <c r="Q57" s="247">
        <f t="shared" si="0"/>
        <v>294.18163878138733</v>
      </c>
      <c r="CB57" s="161"/>
      <c r="CC57" s="161"/>
      <c r="CD57" s="145"/>
      <c r="CE57" s="145"/>
      <c r="CF57" s="145"/>
      <c r="CG57" s="142"/>
    </row>
    <row r="58" spans="1:85" ht="13.5" customHeight="1" thickTop="1">
      <c r="B58" s="80">
        <v>451</v>
      </c>
      <c r="C58" s="93" t="s">
        <v>110</v>
      </c>
      <c r="D58" s="154">
        <v>4857410.76</v>
      </c>
      <c r="E58" s="245">
        <f t="shared" si="1"/>
        <v>0.11559483972299564</v>
      </c>
      <c r="F58" s="154">
        <v>2425000</v>
      </c>
      <c r="G58" s="253">
        <f t="shared" si="1"/>
        <v>5.7709240617786345E-2</v>
      </c>
      <c r="H58" s="207">
        <f t="shared" si="7"/>
        <v>2432410.7599999998</v>
      </c>
      <c r="I58" s="258">
        <f t="shared" si="8"/>
        <v>100.30559835051545</v>
      </c>
      <c r="J58" s="154">
        <v>2425000</v>
      </c>
      <c r="K58" s="253">
        <f t="shared" si="2"/>
        <v>5.7709240617786345E-2</v>
      </c>
      <c r="L58" s="207">
        <f t="shared" si="3"/>
        <v>2432410.7599999998</v>
      </c>
      <c r="M58" s="258">
        <f t="shared" si="4"/>
        <v>100.30559835051545</v>
      </c>
      <c r="N58" s="154">
        <v>2868099.3</v>
      </c>
      <c r="O58" s="245">
        <f t="shared" si="5"/>
        <v>7.2532985180314591E-2</v>
      </c>
      <c r="P58" s="154">
        <f t="shared" si="9"/>
        <v>1989311.46</v>
      </c>
      <c r="Q58" s="258">
        <f t="shared" si="0"/>
        <v>69.359922789284184</v>
      </c>
      <c r="CB58" s="161"/>
      <c r="CC58" s="161"/>
      <c r="CD58" s="145"/>
      <c r="CE58" s="145"/>
      <c r="CF58" s="145"/>
      <c r="CG58" s="142"/>
    </row>
    <row r="59" spans="1:85" ht="13.5" customHeight="1" thickBot="1">
      <c r="B59" s="80">
        <v>47</v>
      </c>
      <c r="C59" s="93" t="s">
        <v>117</v>
      </c>
      <c r="D59" s="154">
        <v>19683829.93</v>
      </c>
      <c r="E59" s="245">
        <f t="shared" si="1"/>
        <v>0.46842840317936274</v>
      </c>
      <c r="F59" s="154">
        <v>22787265.379999999</v>
      </c>
      <c r="G59" s="253">
        <f t="shared" si="1"/>
        <v>0.54228279622093711</v>
      </c>
      <c r="H59" s="207">
        <f t="shared" si="7"/>
        <v>-3103435.4499999993</v>
      </c>
      <c r="I59" s="258">
        <f t="shared" si="8"/>
        <v>-13.619165785131173</v>
      </c>
      <c r="J59" s="154">
        <v>14298673.879999997</v>
      </c>
      <c r="K59" s="253">
        <f t="shared" si="2"/>
        <v>0.3402744789510006</v>
      </c>
      <c r="L59" s="207">
        <f t="shared" si="3"/>
        <v>5385156.0500000026</v>
      </c>
      <c r="M59" s="258">
        <f t="shared" si="4"/>
        <v>37.661926519859918</v>
      </c>
      <c r="N59" s="154">
        <v>18898013.969999999</v>
      </c>
      <c r="O59" s="245">
        <f t="shared" si="5"/>
        <v>0.47792256259167459</v>
      </c>
      <c r="P59" s="154">
        <f t="shared" si="9"/>
        <v>785815.96000000089</v>
      </c>
      <c r="Q59" s="258">
        <f t="shared" si="0"/>
        <v>4.1581933490337093</v>
      </c>
      <c r="CB59" s="161"/>
      <c r="CC59" s="161"/>
      <c r="CD59" s="145"/>
      <c r="CE59" s="145"/>
      <c r="CF59" s="145"/>
      <c r="CG59" s="142"/>
    </row>
    <row r="60" spans="1:85" ht="13.5" customHeight="1" thickTop="1" thickBot="1">
      <c r="B60" s="80">
        <v>462</v>
      </c>
      <c r="C60" s="148" t="s">
        <v>112</v>
      </c>
      <c r="D60" s="163">
        <v>0</v>
      </c>
      <c r="E60" s="249">
        <f t="shared" si="1"/>
        <v>0</v>
      </c>
      <c r="F60" s="163">
        <v>0</v>
      </c>
      <c r="G60" s="255">
        <f t="shared" si="1"/>
        <v>0</v>
      </c>
      <c r="H60" s="209">
        <f t="shared" si="7"/>
        <v>0</v>
      </c>
      <c r="I60" s="261" t="e">
        <f t="shared" si="8"/>
        <v>#DIV/0!</v>
      </c>
      <c r="J60" s="163">
        <v>0</v>
      </c>
      <c r="K60" s="255">
        <f t="shared" si="2"/>
        <v>0</v>
      </c>
      <c r="L60" s="209">
        <f t="shared" si="3"/>
        <v>0</v>
      </c>
      <c r="M60" s="261" t="str">
        <f t="shared" si="4"/>
        <v>...</v>
      </c>
      <c r="N60" s="163">
        <v>0</v>
      </c>
      <c r="O60" s="249">
        <f t="shared" si="5"/>
        <v>0</v>
      </c>
      <c r="P60" s="163">
        <f t="shared" si="9"/>
        <v>0</v>
      </c>
      <c r="Q60" s="261" t="str">
        <f>+IF(ISNUMBER(D60/N60*100-100),D60/N60*100-100,"...")</f>
        <v>...</v>
      </c>
      <c r="CB60" s="161"/>
      <c r="CC60" s="161"/>
      <c r="CD60" s="145"/>
      <c r="CE60" s="145"/>
      <c r="CF60" s="145"/>
      <c r="CG60" s="142"/>
    </row>
    <row r="61" spans="1:85" ht="13.5" customHeight="1" thickTop="1" thickBot="1">
      <c r="B61" s="308" t="s">
        <v>451</v>
      </c>
      <c r="C61" s="215" t="s">
        <v>450</v>
      </c>
      <c r="D61" s="331">
        <v>39960824.650000006</v>
      </c>
      <c r="E61" s="250">
        <f t="shared" si="1"/>
        <v>0.95097271959258478</v>
      </c>
      <c r="F61" s="216">
        <v>0</v>
      </c>
      <c r="G61" s="256">
        <f t="shared" si="1"/>
        <v>0</v>
      </c>
      <c r="H61" s="217">
        <f t="shared" si="7"/>
        <v>39960824.650000006</v>
      </c>
      <c r="I61" s="262" t="e">
        <f t="shared" si="8"/>
        <v>#DIV/0!</v>
      </c>
      <c r="J61" s="216">
        <v>0</v>
      </c>
      <c r="K61" s="256">
        <f t="shared" si="2"/>
        <v>0</v>
      </c>
      <c r="L61" s="217">
        <f>+D61-J61</f>
        <v>39960824.650000006</v>
      </c>
      <c r="M61" s="262" t="str">
        <f>+IF(ISNUMBER(D61/J61*100-100),D61/J61*100-100,"...")</f>
        <v>...</v>
      </c>
      <c r="N61" s="216">
        <v>69262528.650000006</v>
      </c>
      <c r="O61" s="250">
        <f>+N61/$N$11*100</f>
        <v>1.7516192567396691</v>
      </c>
      <c r="P61" s="217">
        <f>+D61-N61</f>
        <v>-29301704</v>
      </c>
      <c r="Q61" s="261">
        <f t="shared" ref="Q61:Q75" si="10">+IF(ISNUMBER(L61/N61*100-100),L61/N61*100-100,"...")</f>
        <v>-42.30527612999586</v>
      </c>
      <c r="CB61" s="161"/>
      <c r="CC61" s="161"/>
      <c r="CD61" s="145"/>
      <c r="CE61" s="145"/>
      <c r="CF61" s="145"/>
      <c r="CG61" s="142"/>
    </row>
    <row r="62" spans="1:85" ht="13.5" customHeight="1" thickTop="1" thickBot="1">
      <c r="B62" s="80">
        <v>990</v>
      </c>
      <c r="C62" s="322" t="s">
        <v>471</v>
      </c>
      <c r="D62" s="154">
        <v>0</v>
      </c>
      <c r="E62" s="245">
        <f t="shared" si="1"/>
        <v>0</v>
      </c>
      <c r="F62" s="154">
        <v>0</v>
      </c>
      <c r="G62" s="253">
        <f t="shared" si="1"/>
        <v>0</v>
      </c>
      <c r="H62" s="207">
        <f t="shared" si="7"/>
        <v>0</v>
      </c>
      <c r="I62" s="263" t="e">
        <f t="shared" si="8"/>
        <v>#DIV/0!</v>
      </c>
      <c r="J62" s="154">
        <v>0</v>
      </c>
      <c r="K62" s="253">
        <f t="shared" si="2"/>
        <v>0</v>
      </c>
      <c r="L62" s="207">
        <f t="shared" si="3"/>
        <v>0</v>
      </c>
      <c r="M62" s="263" t="str">
        <f t="shared" si="4"/>
        <v>...</v>
      </c>
      <c r="N62" s="324">
        <v>-12686256.23</v>
      </c>
      <c r="O62" s="245">
        <f t="shared" si="5"/>
        <v>-0.32082990819887719</v>
      </c>
      <c r="P62" s="154">
        <f t="shared" si="9"/>
        <v>12686256.23</v>
      </c>
      <c r="Q62" s="261">
        <f t="shared" si="10"/>
        <v>-100</v>
      </c>
      <c r="CB62" s="161"/>
      <c r="CC62" s="161"/>
      <c r="CD62" s="145"/>
      <c r="CE62" s="145"/>
      <c r="CF62" s="145"/>
      <c r="CG62" s="142"/>
    </row>
    <row r="63" spans="1:85" ht="13.5" customHeight="1" thickTop="1" thickBot="1">
      <c r="C63" s="90" t="s">
        <v>446</v>
      </c>
      <c r="D63" s="91">
        <f>+D16-D35</f>
        <v>-237630309.56999993</v>
      </c>
      <c r="E63" s="247">
        <f>+D63/$D$11*100</f>
        <v>-5.6550369950738899</v>
      </c>
      <c r="F63" s="91">
        <f>+F16-F35</f>
        <v>-171998718.8542068</v>
      </c>
      <c r="G63" s="252">
        <f t="shared" si="1"/>
        <v>-4.0931610112611985</v>
      </c>
      <c r="H63" s="91">
        <f t="shared" si="7"/>
        <v>-65631590.715793133</v>
      </c>
      <c r="I63" s="247">
        <f t="shared" si="8"/>
        <v>38.158185801037945</v>
      </c>
      <c r="J63" s="91">
        <f>+J16-J35</f>
        <v>-234463012.1576879</v>
      </c>
      <c r="K63" s="252">
        <f t="shared" si="2"/>
        <v>-5.5796628390016396</v>
      </c>
      <c r="L63" s="91">
        <f t="shared" si="3"/>
        <v>-3167297.4123120308</v>
      </c>
      <c r="M63" s="247">
        <f t="shared" si="4"/>
        <v>1.3508729514154112</v>
      </c>
      <c r="N63" s="91">
        <f>+N16-N35</f>
        <v>-134957426.58000016</v>
      </c>
      <c r="O63" s="247">
        <f t="shared" si="5"/>
        <v>-3.4130146826159566</v>
      </c>
      <c r="P63" s="91">
        <f t="shared" si="9"/>
        <v>-102672882.98999977</v>
      </c>
      <c r="Q63" s="247">
        <f t="shared" si="10"/>
        <v>-97.653113657710037</v>
      </c>
      <c r="CB63" s="161"/>
      <c r="CC63" s="161"/>
      <c r="CD63" s="145"/>
      <c r="CE63" s="145"/>
      <c r="CF63" s="145"/>
      <c r="CG63" s="142"/>
    </row>
    <row r="64" spans="1:85" ht="13.5" customHeight="1" thickTop="1" thickBot="1">
      <c r="C64" s="328" t="s">
        <v>476</v>
      </c>
      <c r="D64" s="91"/>
      <c r="E64" s="247"/>
      <c r="F64" s="91"/>
      <c r="G64" s="252">
        <f t="shared" si="1"/>
        <v>0</v>
      </c>
      <c r="H64" s="91">
        <f t="shared" si="7"/>
        <v>0</v>
      </c>
      <c r="I64" s="247" t="e">
        <f t="shared" si="8"/>
        <v>#DIV/0!</v>
      </c>
      <c r="J64" s="91"/>
      <c r="K64" s="252"/>
      <c r="L64" s="91"/>
      <c r="M64" s="247"/>
      <c r="N64" s="91">
        <f>N63-N62</f>
        <v>-122271170.35000016</v>
      </c>
      <c r="O64" s="247">
        <f t="shared" si="5"/>
        <v>-3.0921847744170798</v>
      </c>
      <c r="P64" s="91"/>
      <c r="Q64" s="247"/>
      <c r="CB64" s="161"/>
      <c r="CC64" s="161"/>
      <c r="CD64" s="145"/>
      <c r="CE64" s="145"/>
      <c r="CF64" s="145"/>
      <c r="CG64" s="142"/>
    </row>
    <row r="65" spans="2:85" ht="13.5" customHeight="1" thickTop="1" thickBot="1">
      <c r="C65" s="90" t="s">
        <v>453</v>
      </c>
      <c r="D65" s="91">
        <f>+D63+D43</f>
        <v>-138924930.98999992</v>
      </c>
      <c r="E65" s="247">
        <f t="shared" si="1"/>
        <v>-3.3060834104376364</v>
      </c>
      <c r="F65" s="91">
        <f>+F63+F43</f>
        <v>-76635092.944206804</v>
      </c>
      <c r="G65" s="252">
        <f t="shared" si="1"/>
        <v>-1.8237332034984128</v>
      </c>
      <c r="H65" s="91">
        <f t="shared" si="7"/>
        <v>-62289838.045793116</v>
      </c>
      <c r="I65" s="247">
        <f t="shared" si="8"/>
        <v>81.281088927682816</v>
      </c>
      <c r="J65" s="91">
        <f>+J63+J43</f>
        <v>-139099386.24768788</v>
      </c>
      <c r="K65" s="252">
        <f t="shared" si="2"/>
        <v>-3.3102350312388542</v>
      </c>
      <c r="L65" s="91">
        <f t="shared" si="3"/>
        <v>174455.25768795609</v>
      </c>
      <c r="M65" s="247">
        <f t="shared" si="4"/>
        <v>-0.12541770484688186</v>
      </c>
      <c r="N65" s="91">
        <f>+N63+N43</f>
        <v>-53381345.930000156</v>
      </c>
      <c r="O65" s="247">
        <f t="shared" si="5"/>
        <v>-1.3499910457235385</v>
      </c>
      <c r="P65" s="91">
        <f t="shared" si="9"/>
        <v>-85543585.059999764</v>
      </c>
      <c r="Q65" s="247">
        <f t="shared" si="10"/>
        <v>-100.32680940251436</v>
      </c>
      <c r="CB65" s="161"/>
      <c r="CC65" s="161"/>
      <c r="CD65" s="145"/>
      <c r="CE65" s="145"/>
      <c r="CF65" s="145"/>
      <c r="CG65" s="142"/>
    </row>
    <row r="66" spans="2:85" ht="13.5" customHeight="1" thickTop="1" thickBot="1">
      <c r="C66" s="90" t="s">
        <v>454</v>
      </c>
      <c r="D66" s="91">
        <f>+SUM(D67:D68)</f>
        <v>358600568.85000002</v>
      </c>
      <c r="E66" s="247">
        <f t="shared" si="1"/>
        <v>8.5338418612122524</v>
      </c>
      <c r="F66" s="91">
        <f>+SUM(F67:F69)</f>
        <v>220415503.14999998</v>
      </c>
      <c r="G66" s="252">
        <f t="shared" si="1"/>
        <v>5.2453654874943476</v>
      </c>
      <c r="H66" s="91">
        <f t="shared" si="7"/>
        <v>138185065.70000005</v>
      </c>
      <c r="I66" s="247">
        <f t="shared" si="8"/>
        <v>62.692988344817365</v>
      </c>
      <c r="J66" s="91">
        <f>+SUM(J67:J69)</f>
        <v>220415503.15000001</v>
      </c>
      <c r="K66" s="252">
        <f t="shared" si="2"/>
        <v>5.2453654874943485</v>
      </c>
      <c r="L66" s="91">
        <f t="shared" si="3"/>
        <v>138185065.70000002</v>
      </c>
      <c r="M66" s="247">
        <f t="shared" si="4"/>
        <v>62.692988344817365</v>
      </c>
      <c r="N66" s="91">
        <f>+SUM(N67:N68)</f>
        <v>533116186.30999994</v>
      </c>
      <c r="O66" s="247">
        <f t="shared" si="5"/>
        <v>13.482276726265741</v>
      </c>
      <c r="P66" s="91">
        <f t="shared" si="9"/>
        <v>-174515617.45999992</v>
      </c>
      <c r="Q66" s="247">
        <f t="shared" si="10"/>
        <v>-74.079746732798085</v>
      </c>
      <c r="CB66" s="161"/>
      <c r="CC66" s="161"/>
      <c r="CD66" s="145"/>
      <c r="CE66" s="145"/>
      <c r="CF66" s="145"/>
      <c r="CG66" s="142"/>
    </row>
    <row r="67" spans="2:85" ht="13.5" customHeight="1" thickTop="1">
      <c r="B67" s="80">
        <v>4611</v>
      </c>
      <c r="C67" s="97" t="s">
        <v>455</v>
      </c>
      <c r="D67" s="156">
        <v>226012655.83000001</v>
      </c>
      <c r="E67" s="246">
        <f t="shared" si="1"/>
        <v>5.3785644280240836</v>
      </c>
      <c r="F67" s="156">
        <v>51911842.149999999</v>
      </c>
      <c r="G67" s="254">
        <f t="shared" si="1"/>
        <v>1.2353785523904715</v>
      </c>
      <c r="H67" s="208">
        <f t="shared" si="7"/>
        <v>174100813.68000001</v>
      </c>
      <c r="I67" s="259">
        <f t="shared" si="8"/>
        <v>335.37783763660951</v>
      </c>
      <c r="J67" s="156">
        <v>51911842.149999999</v>
      </c>
      <c r="K67" s="254">
        <f t="shared" si="2"/>
        <v>1.2353785523904715</v>
      </c>
      <c r="L67" s="208">
        <f t="shared" si="3"/>
        <v>174100813.68000001</v>
      </c>
      <c r="M67" s="259">
        <f t="shared" si="4"/>
        <v>335.37783763660951</v>
      </c>
      <c r="N67" s="156">
        <v>225446619.97999999</v>
      </c>
      <c r="O67" s="246">
        <f t="shared" si="5"/>
        <v>5.7014470684335645</v>
      </c>
      <c r="P67" s="208">
        <f t="shared" si="9"/>
        <v>566035.85000002384</v>
      </c>
      <c r="Q67" s="259">
        <f t="shared" si="10"/>
        <v>-22.77515019056618</v>
      </c>
      <c r="CB67" s="161"/>
      <c r="CC67" s="161"/>
      <c r="CD67" s="145"/>
      <c r="CE67" s="145"/>
      <c r="CF67" s="145"/>
      <c r="CG67" s="142"/>
    </row>
    <row r="68" spans="2:85" ht="13.5" customHeight="1">
      <c r="B68" s="80">
        <v>4612</v>
      </c>
      <c r="C68" s="97" t="s">
        <v>456</v>
      </c>
      <c r="D68" s="156">
        <v>132587913.02000004</v>
      </c>
      <c r="E68" s="246">
        <f t="shared" si="1"/>
        <v>3.1552774331881688</v>
      </c>
      <c r="F68" s="156">
        <v>134787162.19999999</v>
      </c>
      <c r="G68" s="254">
        <f t="shared" si="1"/>
        <v>3.2076143404488229</v>
      </c>
      <c r="H68" s="208">
        <f t="shared" si="7"/>
        <v>-2199249.1799999475</v>
      </c>
      <c r="I68" s="259">
        <f t="shared" si="8"/>
        <v>-1.6316458808863814</v>
      </c>
      <c r="J68" s="156">
        <v>134787162.19999999</v>
      </c>
      <c r="K68" s="254">
        <f t="shared" si="2"/>
        <v>3.2076143404488229</v>
      </c>
      <c r="L68" s="208">
        <f t="shared" si="3"/>
        <v>-2199249.1799999475</v>
      </c>
      <c r="M68" s="259">
        <f t="shared" si="4"/>
        <v>-1.6316458808863814</v>
      </c>
      <c r="N68" s="156">
        <v>307669566.32999992</v>
      </c>
      <c r="O68" s="246">
        <f t="shared" si="5"/>
        <v>7.7808296578321761</v>
      </c>
      <c r="P68" s="208">
        <f t="shared" si="9"/>
        <v>-175081653.30999988</v>
      </c>
      <c r="Q68" s="259">
        <f t="shared" si="10"/>
        <v>-100.71480881461024</v>
      </c>
      <c r="CB68" s="161"/>
      <c r="CC68" s="161"/>
      <c r="CD68" s="145"/>
      <c r="CE68" s="145"/>
      <c r="CF68" s="145"/>
      <c r="CG68" s="142"/>
    </row>
    <row r="69" spans="2:85" ht="13.5" customHeight="1" thickBot="1">
      <c r="B69" s="80" t="s">
        <v>452</v>
      </c>
      <c r="C69" s="97" t="s">
        <v>450</v>
      </c>
      <c r="D69" s="156">
        <v>0</v>
      </c>
      <c r="E69" s="246">
        <f t="shared" si="1"/>
        <v>0</v>
      </c>
      <c r="F69" s="156">
        <v>33716498.799999997</v>
      </c>
      <c r="G69" s="254">
        <f t="shared" si="1"/>
        <v>0.80237259465505328</v>
      </c>
      <c r="H69" s="208">
        <f t="shared" si="7"/>
        <v>-33716498.799999997</v>
      </c>
      <c r="I69" s="259">
        <f t="shared" si="8"/>
        <v>-100</v>
      </c>
      <c r="J69" s="156">
        <v>33716498.800000004</v>
      </c>
      <c r="K69" s="254">
        <f t="shared" si="2"/>
        <v>0.80237259465505351</v>
      </c>
      <c r="L69" s="208">
        <f t="shared" si="3"/>
        <v>-33716498.800000004</v>
      </c>
      <c r="M69" s="259">
        <f t="shared" si="4"/>
        <v>-100</v>
      </c>
      <c r="N69" s="156">
        <v>0</v>
      </c>
      <c r="O69" s="246">
        <f t="shared" si="5"/>
        <v>0</v>
      </c>
      <c r="P69" s="208">
        <f t="shared" si="9"/>
        <v>0</v>
      </c>
      <c r="Q69" s="259" t="str">
        <f t="shared" si="10"/>
        <v>...</v>
      </c>
      <c r="CB69" s="161"/>
      <c r="CC69" s="161"/>
      <c r="CD69" s="145"/>
      <c r="CE69" s="145"/>
      <c r="CF69" s="145"/>
      <c r="CG69" s="142"/>
    </row>
    <row r="70" spans="2:85" ht="13.5" customHeight="1" thickTop="1" thickBot="1">
      <c r="C70" s="90" t="s">
        <v>140</v>
      </c>
      <c r="D70" s="91">
        <f>+D63-D66</f>
        <v>-596230878.41999996</v>
      </c>
      <c r="E70" s="247">
        <f t="shared" si="1"/>
        <v>-14.188878856286141</v>
      </c>
      <c r="F70" s="91">
        <f>+F63-F66</f>
        <v>-392414222.00420678</v>
      </c>
      <c r="G70" s="252">
        <f t="shared" si="1"/>
        <v>-9.3385264987555452</v>
      </c>
      <c r="H70" s="91">
        <f t="shared" si="7"/>
        <v>-203816656.41579318</v>
      </c>
      <c r="I70" s="247">
        <f t="shared" si="8"/>
        <v>51.939161474531915</v>
      </c>
      <c r="J70" s="91">
        <f>+J63-J66</f>
        <v>-454878515.30768788</v>
      </c>
      <c r="K70" s="252">
        <f t="shared" si="2"/>
        <v>-10.825028326495987</v>
      </c>
      <c r="L70" s="91">
        <f t="shared" ref="L70:L75" si="11">+D70-J70</f>
        <v>-141352363.11231208</v>
      </c>
      <c r="M70" s="247">
        <f t="shared" ref="M70:M75" si="12">+IF(ISNUMBER(D70/J70*100-100),D70/J70*100-100,"...")</f>
        <v>31.074750368611888</v>
      </c>
      <c r="N70" s="91">
        <f>+N64-N66</f>
        <v>-655387356.66000009</v>
      </c>
      <c r="O70" s="247">
        <f t="shared" ref="O70:O75" si="13">+N70/$N$11*100</f>
        <v>-16.574461500682823</v>
      </c>
      <c r="P70" s="91">
        <f t="shared" si="9"/>
        <v>59156478.240000129</v>
      </c>
      <c r="Q70" s="247">
        <f t="shared" si="10"/>
        <v>-78.432241379712423</v>
      </c>
      <c r="CB70" s="161"/>
      <c r="CC70" s="161"/>
      <c r="CD70" s="145"/>
      <c r="CE70" s="145"/>
      <c r="CF70" s="145"/>
      <c r="CG70" s="142"/>
    </row>
    <row r="71" spans="2:85" ht="13.5" customHeight="1" thickTop="1" thickBot="1">
      <c r="C71" s="90" t="s">
        <v>120</v>
      </c>
      <c r="D71" s="91">
        <f>+SUM(D72:D75)</f>
        <v>596230878.41999996</v>
      </c>
      <c r="E71" s="247">
        <f t="shared" si="1"/>
        <v>14.188878856286141</v>
      </c>
      <c r="F71" s="91">
        <f>+SUM(F72:F75)</f>
        <v>392414222.00420702</v>
      </c>
      <c r="G71" s="252">
        <f t="shared" si="1"/>
        <v>9.3385264987555505</v>
      </c>
      <c r="H71" s="91">
        <f t="shared" si="7"/>
        <v>203816656.41579294</v>
      </c>
      <c r="I71" s="247">
        <f t="shared" si="8"/>
        <v>51.939161474531829</v>
      </c>
      <c r="J71" s="91">
        <f>+SUM(J72:J75)</f>
        <v>454878515.30768788</v>
      </c>
      <c r="K71" s="252">
        <f t="shared" si="2"/>
        <v>10.825028326495987</v>
      </c>
      <c r="L71" s="91">
        <f t="shared" si="11"/>
        <v>141352363.11231208</v>
      </c>
      <c r="M71" s="247">
        <f t="shared" si="12"/>
        <v>31.074750368611888</v>
      </c>
      <c r="N71" s="91">
        <f>+SUM(N72:N75)+N62</f>
        <v>655387356.66000009</v>
      </c>
      <c r="O71" s="247">
        <f t="shared" si="13"/>
        <v>16.574461500682823</v>
      </c>
      <c r="P71" s="91">
        <f>+SUM(P72:P75)</f>
        <v>-71842734.470000163</v>
      </c>
      <c r="Q71" s="247">
        <f t="shared" si="10"/>
        <v>-78.432241379712423</v>
      </c>
      <c r="CB71" s="161"/>
      <c r="CC71" s="161"/>
      <c r="CD71" s="145"/>
      <c r="CE71" s="145"/>
      <c r="CF71" s="145"/>
      <c r="CG71" s="142"/>
    </row>
    <row r="72" spans="2:85" ht="13.5" customHeight="1" thickTop="1">
      <c r="B72" s="80">
        <v>7511</v>
      </c>
      <c r="C72" s="97" t="s">
        <v>457</v>
      </c>
      <c r="D72" s="156">
        <v>260070000</v>
      </c>
      <c r="E72" s="246">
        <f t="shared" si="1"/>
        <v>6.1890483329763688</v>
      </c>
      <c r="F72" s="156">
        <v>100000000</v>
      </c>
      <c r="G72" s="254">
        <f t="shared" si="1"/>
        <v>2.3797624997025295</v>
      </c>
      <c r="H72" s="208">
        <f t="shared" si="7"/>
        <v>160070000</v>
      </c>
      <c r="I72" s="259">
        <f t="shared" si="8"/>
        <v>160.07</v>
      </c>
      <c r="J72" s="156">
        <v>99999999.999999985</v>
      </c>
      <c r="K72" s="254">
        <f t="shared" si="2"/>
        <v>2.3797624997025291</v>
      </c>
      <c r="L72" s="208">
        <f t="shared" si="11"/>
        <v>160070000</v>
      </c>
      <c r="M72" s="259">
        <f t="shared" si="12"/>
        <v>160.07000000000005</v>
      </c>
      <c r="N72" s="156">
        <v>317784300</v>
      </c>
      <c r="O72" s="246">
        <f t="shared" si="13"/>
        <v>8.0366268777502405</v>
      </c>
      <c r="P72" s="208">
        <f t="shared" si="9"/>
        <v>-57714300</v>
      </c>
      <c r="Q72" s="259">
        <f t="shared" si="10"/>
        <v>-49.629355509381682</v>
      </c>
      <c r="S72" s="100"/>
      <c r="CB72" s="161"/>
      <c r="CC72" s="161"/>
      <c r="CD72" s="145"/>
      <c r="CE72" s="145"/>
      <c r="CF72" s="145"/>
      <c r="CG72" s="142"/>
    </row>
    <row r="73" spans="2:85" ht="13.5" customHeight="1">
      <c r="B73" s="80">
        <v>7512</v>
      </c>
      <c r="C73" s="97" t="s">
        <v>458</v>
      </c>
      <c r="D73" s="156">
        <v>352766852.38</v>
      </c>
      <c r="E73" s="246">
        <f t="shared" si="1"/>
        <v>8.3950132643202213</v>
      </c>
      <c r="F73" s="156">
        <v>292414222.00420702</v>
      </c>
      <c r="G73" s="254">
        <f t="shared" si="1"/>
        <v>6.9587639990530219</v>
      </c>
      <c r="H73" s="208">
        <f t="shared" si="7"/>
        <v>60352630.37579298</v>
      </c>
      <c r="I73" s="259">
        <f t="shared" si="8"/>
        <v>20.639430586561787</v>
      </c>
      <c r="J73" s="156">
        <v>354173823.63486993</v>
      </c>
      <c r="K73" s="254">
        <f t="shared" si="2"/>
        <v>8.42849583862521</v>
      </c>
      <c r="L73" s="208">
        <f t="shared" si="11"/>
        <v>-1406971.2548699379</v>
      </c>
      <c r="M73" s="259">
        <f t="shared" si="12"/>
        <v>-0.39725444428113121</v>
      </c>
      <c r="N73" s="156">
        <v>331776196.05999994</v>
      </c>
      <c r="O73" s="246">
        <f t="shared" si="13"/>
        <v>8.3904758499822965</v>
      </c>
      <c r="P73" s="208">
        <f t="shared" si="9"/>
        <v>20990656.320000052</v>
      </c>
      <c r="Q73" s="259">
        <f t="shared" si="10"/>
        <v>-100.42407239325135</v>
      </c>
      <c r="S73" s="100"/>
      <c r="CB73" s="161"/>
      <c r="CC73" s="161"/>
      <c r="CD73" s="145"/>
      <c r="CE73" s="145"/>
      <c r="CF73" s="145"/>
      <c r="CG73" s="142"/>
    </row>
    <row r="74" spans="2:85" ht="13.5" customHeight="1" thickBot="1">
      <c r="B74" s="80">
        <v>72</v>
      </c>
      <c r="C74" s="103" t="s">
        <v>401</v>
      </c>
      <c r="D74" s="156">
        <v>6191115.2299999995</v>
      </c>
      <c r="E74" s="251">
        <f t="shared" si="1"/>
        <v>0.14733383855691201</v>
      </c>
      <c r="F74" s="156">
        <v>0</v>
      </c>
      <c r="G74" s="257">
        <f t="shared" si="1"/>
        <v>0</v>
      </c>
      <c r="H74" s="208">
        <f t="shared" si="7"/>
        <v>6191115.2299999995</v>
      </c>
      <c r="I74" s="259" t="e">
        <f t="shared" si="8"/>
        <v>#DIV/0!</v>
      </c>
      <c r="J74" s="156">
        <v>0</v>
      </c>
      <c r="K74" s="257">
        <f t="shared" si="2"/>
        <v>0</v>
      </c>
      <c r="L74" s="208">
        <f t="shared" si="11"/>
        <v>6191115.2299999995</v>
      </c>
      <c r="M74" s="259" t="str">
        <f t="shared" si="12"/>
        <v>...</v>
      </c>
      <c r="N74" s="156">
        <v>4219567.51</v>
      </c>
      <c r="O74" s="251">
        <f t="shared" si="13"/>
        <v>0.10671102903242122</v>
      </c>
      <c r="P74" s="208">
        <f t="shared" si="9"/>
        <v>1971547.7199999997</v>
      </c>
      <c r="Q74" s="259">
        <f t="shared" si="10"/>
        <v>46.723928822743261</v>
      </c>
      <c r="S74" s="100"/>
      <c r="CB74" s="161"/>
      <c r="CC74" s="161"/>
      <c r="CD74" s="145"/>
      <c r="CE74" s="145"/>
      <c r="CF74" s="145"/>
      <c r="CG74" s="142"/>
    </row>
    <row r="75" spans="2:85" ht="13.5" customHeight="1" thickTop="1" thickBot="1">
      <c r="C75" s="148" t="s">
        <v>459</v>
      </c>
      <c r="D75" s="163">
        <f>-D70-SUM(D72:D74)</f>
        <v>-22797089.190000057</v>
      </c>
      <c r="E75" s="249">
        <f t="shared" si="1"/>
        <v>-0.54251657956736055</v>
      </c>
      <c r="F75" s="163">
        <f>-F70-SUM(F72:F74)</f>
        <v>0</v>
      </c>
      <c r="G75" s="255">
        <f t="shared" si="1"/>
        <v>0</v>
      </c>
      <c r="H75" s="206">
        <f t="shared" si="7"/>
        <v>-22797089.190000057</v>
      </c>
      <c r="I75" s="249" t="e">
        <f t="shared" si="8"/>
        <v>#DIV/0!</v>
      </c>
      <c r="J75" s="163">
        <f>-J70-SUM(J72:J74)</f>
        <v>704691.67281794548</v>
      </c>
      <c r="K75" s="255">
        <f t="shared" si="2"/>
        <v>1.6769988168247912E-2</v>
      </c>
      <c r="L75" s="206">
        <f t="shared" si="11"/>
        <v>-23501780.862818003</v>
      </c>
      <c r="M75" s="264">
        <f t="shared" si="12"/>
        <v>-3335.0444980906709</v>
      </c>
      <c r="N75" s="206">
        <f>-N70-SUM(N72:N74)-N62</f>
        <v>14293549.320000153</v>
      </c>
      <c r="O75" s="249">
        <f t="shared" si="13"/>
        <v>0.36147765211674049</v>
      </c>
      <c r="P75" s="217">
        <f t="shared" si="9"/>
        <v>-37090638.510000214</v>
      </c>
      <c r="Q75" s="264">
        <f t="shared" si="10"/>
        <v>-264.42228824112493</v>
      </c>
      <c r="CB75" s="161"/>
      <c r="CC75" s="161"/>
      <c r="CD75" s="145"/>
      <c r="CE75" s="145"/>
      <c r="CF75" s="145"/>
      <c r="CG75" s="142"/>
    </row>
    <row r="76" spans="2:85" s="189" customFormat="1" ht="13.5" thickTop="1">
      <c r="C76" s="190" t="str">
        <f>IF([1]MasterSheet!$A$1=1,[1]MasterSheet!C151,[1]MasterSheet!B151)</f>
        <v>Izvor: Ministarstvo finansija Crne Gore</v>
      </c>
      <c r="D76" s="314"/>
      <c r="E76" s="195"/>
      <c r="F76" s="195"/>
      <c r="G76" s="195"/>
      <c r="H76" s="195"/>
      <c r="I76" s="195"/>
      <c r="J76" s="194"/>
      <c r="K76" s="195"/>
      <c r="L76" s="195"/>
      <c r="M76" s="195"/>
      <c r="N76" s="194"/>
      <c r="O76" s="195"/>
      <c r="P76" s="195"/>
      <c r="Q76" s="195"/>
    </row>
    <row r="77" spans="2:85" s="189" customFormat="1">
      <c r="C77" s="192"/>
      <c r="D77" s="191"/>
      <c r="E77" s="191"/>
      <c r="F77" s="191"/>
      <c r="G77" s="191"/>
      <c r="H77" s="191"/>
      <c r="I77" s="191"/>
      <c r="J77" s="196"/>
      <c r="K77" s="191"/>
      <c r="L77" s="191"/>
      <c r="M77" s="191"/>
      <c r="N77" s="196"/>
      <c r="O77" s="199"/>
      <c r="P77" s="191"/>
      <c r="Q77" s="191"/>
    </row>
    <row r="78" spans="2:85" s="189" customFormat="1" ht="15">
      <c r="C78" s="318" t="s">
        <v>483</v>
      </c>
      <c r="D78" s="319"/>
      <c r="E78" s="320"/>
      <c r="F78" s="320"/>
      <c r="G78" s="320"/>
      <c r="H78" s="320"/>
      <c r="I78" s="320"/>
      <c r="J78" s="321"/>
      <c r="K78" s="320"/>
      <c r="L78" s="320"/>
      <c r="M78" s="320"/>
      <c r="N78" s="317"/>
      <c r="O78" s="311"/>
      <c r="P78" s="191"/>
      <c r="Q78" s="191"/>
    </row>
    <row r="79" spans="2:85" s="189" customFormat="1">
      <c r="J79" s="191"/>
      <c r="K79" s="191"/>
      <c r="L79" s="191"/>
      <c r="M79" s="191"/>
      <c r="N79" s="191"/>
      <c r="O79" s="191"/>
      <c r="P79" s="191"/>
      <c r="Q79" s="191"/>
    </row>
    <row r="80" spans="2:85" s="189" customFormat="1">
      <c r="C80" s="193"/>
    </row>
    <row r="81" spans="3:3">
      <c r="C81" s="193"/>
    </row>
    <row r="82" spans="3:3">
      <c r="C82" s="312"/>
    </row>
    <row r="83" spans="3:3">
      <c r="C83" s="313"/>
    </row>
  </sheetData>
  <sheetProtection formatCells="0" formatColumns="0" formatRows="0" sort="0" autoFilter="0"/>
  <mergeCells count="14">
    <mergeCell ref="D14:E14"/>
    <mergeCell ref="L14:M14"/>
    <mergeCell ref="D11:K11"/>
    <mergeCell ref="C14:C15"/>
    <mergeCell ref="P11:Q11"/>
    <mergeCell ref="N14:O14"/>
    <mergeCell ref="J14:K14"/>
    <mergeCell ref="P14:Q14"/>
    <mergeCell ref="L11:M11"/>
    <mergeCell ref="N13:O13"/>
    <mergeCell ref="D13:E13"/>
    <mergeCell ref="F14:G14"/>
    <mergeCell ref="H14:I14"/>
    <mergeCell ref="N11:O11"/>
  </mergeCells>
  <printOptions horizontalCentered="1" verticalCentered="1"/>
  <pageMargins left="0" right="0" top="0.19685039370078741" bottom="0.19685039370078741" header="0" footer="0"/>
  <pageSetup paperSize="9" scale="1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96" r:id="rId4" name="List Box 8">
              <controlPr defaultSize="0" autoLine="0" autoPict="0">
                <anchor moveWithCells="1">
                  <from>
                    <xdr:col>0</xdr:col>
                    <xdr:colOff>9525</xdr:colOff>
                    <xdr:row>0</xdr:row>
                    <xdr:rowOff>0</xdr:rowOff>
                  </from>
                  <to>
                    <xdr:col>2</xdr:col>
                    <xdr:colOff>1000125</xdr:colOff>
                    <xdr:row>9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CD91"/>
  <sheetViews>
    <sheetView tabSelected="1" topLeftCell="B44" zoomScaleNormal="100" workbookViewId="0">
      <selection activeCell="D72" sqref="D72"/>
    </sheetView>
  </sheetViews>
  <sheetFormatPr defaultColWidth="9.140625" defaultRowHeight="12.75"/>
  <cols>
    <col min="1" max="2" width="9.140625" style="80" customWidth="1"/>
    <col min="3" max="3" width="40.42578125" style="80" customWidth="1"/>
    <col min="4" max="5" width="7.7109375" style="80" customWidth="1"/>
    <col min="6" max="6" width="9.28515625" style="80" customWidth="1"/>
    <col min="7" max="9" width="7.7109375" style="80" customWidth="1"/>
    <col min="10" max="10" width="9.28515625" style="80" customWidth="1"/>
    <col min="11" max="13" width="7.7109375" style="80" customWidth="1"/>
    <col min="14" max="14" width="6.85546875" style="80" customWidth="1"/>
    <col min="15" max="76" width="9.140625" style="80" customWidth="1"/>
    <col min="77" max="77" width="9.140625" style="80"/>
    <col min="78" max="78" width="15.42578125" style="80" customWidth="1"/>
    <col min="79" max="79" width="12.7109375" style="80" customWidth="1"/>
    <col min="80" max="80" width="11.85546875" style="80" customWidth="1"/>
    <col min="81" max="16384" width="9.140625" style="80"/>
  </cols>
  <sheetData>
    <row r="1" spans="2:76" ht="15" customHeight="1">
      <c r="C1" s="81"/>
      <c r="D1" s="82"/>
      <c r="E1" s="82"/>
      <c r="F1" s="82"/>
      <c r="G1" s="82"/>
      <c r="H1" s="82"/>
      <c r="I1" s="82"/>
      <c r="J1" s="82"/>
      <c r="K1" s="82"/>
      <c r="L1" s="82"/>
      <c r="M1" s="82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</row>
    <row r="2" spans="2:76" ht="15" hidden="1" customHeight="1"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</row>
    <row r="3" spans="2:76" ht="15" hidden="1" customHeight="1"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</row>
    <row r="4" spans="2:76" ht="15" hidden="1" customHeight="1">
      <c r="C4" s="81"/>
      <c r="D4" s="82"/>
      <c r="E4" s="82"/>
      <c r="F4" s="82"/>
      <c r="G4" s="82"/>
      <c r="H4" s="82"/>
      <c r="I4" s="82"/>
      <c r="J4" s="82"/>
      <c r="K4" s="82"/>
      <c r="L4" s="82"/>
      <c r="M4" s="82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</row>
    <row r="5" spans="2:76" ht="15" hidden="1" customHeight="1">
      <c r="C5" s="81"/>
      <c r="D5" s="82"/>
      <c r="E5" s="82"/>
      <c r="F5" s="82"/>
      <c r="G5" s="82"/>
      <c r="H5" s="82"/>
      <c r="I5" s="82"/>
      <c r="J5" s="82"/>
      <c r="K5" s="82"/>
      <c r="L5" s="82"/>
      <c r="M5" s="82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</row>
    <row r="6" spans="2:76" ht="15" hidden="1" customHeight="1">
      <c r="C6" s="81"/>
      <c r="D6" s="82"/>
      <c r="E6" s="82"/>
      <c r="F6" s="82"/>
      <c r="G6" s="82"/>
      <c r="H6" s="82"/>
      <c r="I6" s="82"/>
      <c r="J6" s="82"/>
      <c r="K6" s="82"/>
      <c r="L6" s="82"/>
      <c r="M6" s="82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</row>
    <row r="7" spans="2:76" ht="15" hidden="1" customHeight="1">
      <c r="C7" s="81"/>
      <c r="D7" s="82"/>
      <c r="E7" s="82"/>
      <c r="F7" s="82"/>
      <c r="G7" s="82"/>
      <c r="H7" s="82"/>
      <c r="I7" s="82"/>
      <c r="J7" s="82"/>
      <c r="K7" s="82"/>
      <c r="L7" s="82"/>
      <c r="M7" s="82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</row>
    <row r="8" spans="2:76" ht="15" hidden="1" customHeight="1">
      <c r="C8" s="81"/>
      <c r="D8" s="82"/>
      <c r="E8" s="82"/>
      <c r="F8" s="82"/>
      <c r="G8" s="82"/>
      <c r="H8" s="82"/>
      <c r="I8" s="82"/>
      <c r="J8" s="82"/>
      <c r="K8" s="82"/>
      <c r="L8" s="82"/>
      <c r="M8" s="82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</row>
    <row r="9" spans="2:76" ht="15" hidden="1" customHeight="1">
      <c r="C9" s="81"/>
      <c r="D9" s="82"/>
      <c r="E9" s="82"/>
      <c r="F9" s="82"/>
      <c r="G9" s="82"/>
      <c r="H9" s="82"/>
      <c r="I9" s="82"/>
      <c r="J9" s="82"/>
      <c r="K9" s="82"/>
      <c r="L9" s="82"/>
      <c r="M9" s="82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</row>
    <row r="10" spans="2:76" ht="15" customHeight="1" thickBot="1"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</row>
    <row r="11" spans="2:76" ht="18.75" customHeight="1" thickTop="1" thickBot="1">
      <c r="C11" s="151" t="str">
        <f>+'Central Budget'!C11</f>
        <v>BDP (u mil. €)</v>
      </c>
      <c r="D11" s="353">
        <f>+'Central Budget'!D11:K11</f>
        <v>4202100000</v>
      </c>
      <c r="E11" s="354"/>
      <c r="F11" s="354"/>
      <c r="G11" s="355"/>
      <c r="H11" s="350"/>
      <c r="I11" s="351"/>
      <c r="J11" s="357">
        <f>+'Central Budget'!N11</f>
        <v>3954200000</v>
      </c>
      <c r="K11" s="358"/>
      <c r="L11" s="350"/>
      <c r="M11" s="352"/>
      <c r="N11" s="203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</row>
    <row r="12" spans="2:76" ht="19.5" customHeight="1" thickTop="1">
      <c r="C12" s="81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4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</row>
    <row r="13" spans="2:76" ht="17.25" customHeight="1" thickBot="1">
      <c r="B13" s="85"/>
      <c r="C13" s="86"/>
      <c r="D13" s="356"/>
      <c r="E13" s="356"/>
      <c r="F13" s="86"/>
      <c r="G13" s="86"/>
      <c r="H13" s="86"/>
      <c r="I13" s="86"/>
      <c r="J13" s="356"/>
      <c r="K13" s="356"/>
      <c r="L13" s="86"/>
      <c r="M13" s="86"/>
      <c r="N13" s="84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</row>
    <row r="14" spans="2:76" ht="15.75" customHeight="1" thickTop="1">
      <c r="B14" s="87"/>
      <c r="C14" s="359" t="s">
        <v>258</v>
      </c>
      <c r="D14" s="348" t="s">
        <v>481</v>
      </c>
      <c r="E14" s="349"/>
      <c r="F14" s="348" t="s">
        <v>482</v>
      </c>
      <c r="G14" s="349"/>
      <c r="H14" s="348" t="s">
        <v>448</v>
      </c>
      <c r="I14" s="349"/>
      <c r="J14" s="348" t="s">
        <v>467</v>
      </c>
      <c r="K14" s="349"/>
      <c r="L14" s="348" t="str">
        <f>+H14</f>
        <v>Odstupanje</v>
      </c>
      <c r="M14" s="349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</row>
    <row r="15" spans="2:76" ht="15" customHeight="1" thickBot="1">
      <c r="C15" s="360"/>
      <c r="D15" s="152" t="str">
        <f>IF(MasterSheet!$A$1=1,MasterSheet!C71,MasterSheet!C70)</f>
        <v>mil. €</v>
      </c>
      <c r="E15" s="159" t="str">
        <f>IF(MasterSheet!$A$1=1,MasterSheet!D71,MasterSheet!D70)</f>
        <v>% BDP</v>
      </c>
      <c r="F15" s="152" t="str">
        <f>IF(MasterSheet!$A$1=1,MasterSheet!E71,MasterSheet!E70)</f>
        <v>mil. €</v>
      </c>
      <c r="G15" s="159" t="str">
        <f>IF(MasterSheet!$A$1=1,MasterSheet!F71,MasterSheet!F70)</f>
        <v>% BDP</v>
      </c>
      <c r="H15" s="152" t="str">
        <f>IF(MasterSheet!$A$1=1,MasterSheet!G71,MasterSheet!G70)</f>
        <v>mil. €</v>
      </c>
      <c r="I15" s="159" t="s">
        <v>441</v>
      </c>
      <c r="J15" s="152" t="str">
        <f>IF(MasterSheet!$A$1=1,MasterSheet!I71,MasterSheet!I70)</f>
        <v>mil. €</v>
      </c>
      <c r="K15" s="159" t="str">
        <f>IF(MasterSheet!$A$1=1,MasterSheet!J71,MasterSheet!J70)</f>
        <v>% BDP</v>
      </c>
      <c r="L15" s="152" t="str">
        <f>IF(MasterSheet!$A$1=1,MasterSheet!K71,MasterSheet!K70)</f>
        <v>mil. €</v>
      </c>
      <c r="M15" s="159" t="s">
        <v>441</v>
      </c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</row>
    <row r="16" spans="2:76" ht="15" customHeight="1" thickTop="1" thickBot="1">
      <c r="B16" s="80">
        <v>7</v>
      </c>
      <c r="C16" s="153" t="str">
        <f>IF(MasterSheet!$A$1=1,MasterSheet!C72,MasterSheet!B72)</f>
        <v>Izvorni prihodi</v>
      </c>
      <c r="D16" s="219">
        <f>+D17+D21+D27+D33+D38+D39</f>
        <v>219122420.69000003</v>
      </c>
      <c r="E16" s="265">
        <f>+D16/$D$11*100</f>
        <v>5.2145931960210374</v>
      </c>
      <c r="F16" s="219">
        <f>+F17+F21+F27+F33+F38+F39</f>
        <v>206414753.87031811</v>
      </c>
      <c r="G16" s="265">
        <f t="shared" ref="G16:G73" si="0">+F16/$D$11*100</f>
        <v>4.9121809064591062</v>
      </c>
      <c r="H16" s="219">
        <f>+D16-F16</f>
        <v>12707666.819681913</v>
      </c>
      <c r="I16" s="265">
        <f>+D16/F16*100-100</f>
        <v>6.1563752500296545</v>
      </c>
      <c r="J16" s="219">
        <f>+J17+J21+J27+J33+J38+J39</f>
        <v>197197453.69</v>
      </c>
      <c r="K16" s="265">
        <f>+J16/$J$11*100</f>
        <v>4.9870379265085223</v>
      </c>
      <c r="L16" s="219">
        <f>+D16-J16</f>
        <v>21924967.00000003</v>
      </c>
      <c r="M16" s="265">
        <f>+D16/J16*100-100</f>
        <v>11.118280986765015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</row>
    <row r="17" spans="2:81" ht="15" customHeight="1" thickTop="1">
      <c r="B17" s="80">
        <v>711</v>
      </c>
      <c r="C17" s="93" t="str">
        <f>IF(MasterSheet!$A$1=1,MasterSheet!C73,MasterSheet!B73)</f>
        <v>Porezi</v>
      </c>
      <c r="D17" s="220">
        <f>+SUM(D18:D20)</f>
        <v>133196468.59</v>
      </c>
      <c r="E17" s="266">
        <f t="shared" ref="E17:E74" si="1">+D17/$D$11*100</f>
        <v>3.1697596104328789</v>
      </c>
      <c r="F17" s="220">
        <f>+SUM(F18:F20)</f>
        <v>125495999.29787783</v>
      </c>
      <c r="G17" s="266">
        <f t="shared" si="0"/>
        <v>2.9865067299178465</v>
      </c>
      <c r="H17" s="221">
        <f t="shared" ref="H17:H74" si="2">+D17-F17</f>
        <v>7700469.2921221703</v>
      </c>
      <c r="I17" s="275">
        <f t="shared" ref="I17:I74" si="3">+D17/F17*100-100</f>
        <v>6.1360277102095608</v>
      </c>
      <c r="J17" s="220">
        <f>+SUM(J18:J20)</f>
        <v>126225514.57000001</v>
      </c>
      <c r="K17" s="266">
        <f t="shared" ref="K17:K74" si="4">+J17/$J$11*100</f>
        <v>3.1921884216782157</v>
      </c>
      <c r="L17" s="221">
        <f t="shared" ref="L17:L74" si="5">+D17-J17</f>
        <v>6970954.0199999958</v>
      </c>
      <c r="M17" s="275">
        <f t="shared" ref="M17:M74" si="6">+D17/J17*100-100</f>
        <v>5.5226188173977704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</row>
    <row r="18" spans="2:81" ht="15" customHeight="1">
      <c r="B18" s="80">
        <v>7111</v>
      </c>
      <c r="C18" s="97" t="str">
        <f>IF(MasterSheet!$A$1=1,MasterSheet!C74,MasterSheet!B74)</f>
        <v>Porez na dohodak fizičkih lica</v>
      </c>
      <c r="D18" s="222">
        <v>33638773.960000001</v>
      </c>
      <c r="E18" s="267">
        <f>+D18/$D$11*100</f>
        <v>0.80052292805977954</v>
      </c>
      <c r="F18" s="222">
        <v>35588124.425239906</v>
      </c>
      <c r="G18" s="267">
        <f t="shared" si="0"/>
        <v>0.84691283941933582</v>
      </c>
      <c r="H18" s="223">
        <f>+D18-F18</f>
        <v>-1949350.4652399048</v>
      </c>
      <c r="I18" s="276">
        <f>+D18/F18*100-100</f>
        <v>-5.4775307682620706</v>
      </c>
      <c r="J18" s="222">
        <v>36916505.5</v>
      </c>
      <c r="K18" s="267">
        <f t="shared" si="4"/>
        <v>0.93360238480602908</v>
      </c>
      <c r="L18" s="223">
        <f>+D18-J18</f>
        <v>-3277731.5399999991</v>
      </c>
      <c r="M18" s="276">
        <f>+D18/J18*100-100</f>
        <v>-8.8787697958031231</v>
      </c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</row>
    <row r="19" spans="2:81" ht="15" customHeight="1">
      <c r="B19" s="80">
        <v>7113</v>
      </c>
      <c r="C19" s="97" t="str">
        <f>IF(MasterSheet!$A$1=1,MasterSheet!C76,MasterSheet!B76)</f>
        <v>Porez na promet nepokretnosti</v>
      </c>
      <c r="D19" s="222">
        <v>13649749.639999997</v>
      </c>
      <c r="E19" s="267">
        <f>+D19/$D$11*100</f>
        <v>0.32483162323600101</v>
      </c>
      <c r="F19" s="222">
        <v>12242015.821212919</v>
      </c>
      <c r="G19" s="267">
        <f t="shared" si="0"/>
        <v>0.29133090172087572</v>
      </c>
      <c r="H19" s="223">
        <f>+D19-F19</f>
        <v>1407733.8187870774</v>
      </c>
      <c r="I19" s="276">
        <f>+D19/F19*100-100</f>
        <v>11.49919947291491</v>
      </c>
      <c r="J19" s="222">
        <v>11897399.580000002</v>
      </c>
      <c r="K19" s="267">
        <f t="shared" si="4"/>
        <v>0.30088006625866176</v>
      </c>
      <c r="L19" s="223">
        <f>+D19-J19</f>
        <v>1752350.0599999949</v>
      </c>
      <c r="M19" s="276">
        <f>+D19/J19*100-100</f>
        <v>14.728849344068124</v>
      </c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9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</row>
    <row r="20" spans="2:81" ht="15" customHeight="1">
      <c r="B20" s="80">
        <v>7117</v>
      </c>
      <c r="C20" s="97" t="s">
        <v>11</v>
      </c>
      <c r="D20" s="222">
        <v>85907944.99000001</v>
      </c>
      <c r="E20" s="267">
        <f>+D20/$D$11*100</f>
        <v>2.0444050591370981</v>
      </c>
      <c r="F20" s="222">
        <v>77665859.05142501</v>
      </c>
      <c r="G20" s="267">
        <f t="shared" si="0"/>
        <v>1.8482629887776354</v>
      </c>
      <c r="H20" s="223">
        <f>+D20-F20</f>
        <v>8242085.9385749996</v>
      </c>
      <c r="I20" s="276">
        <f>+D20/F20*100-100</f>
        <v>10.612238169048837</v>
      </c>
      <c r="J20" s="222">
        <v>77411609.49000001</v>
      </c>
      <c r="K20" s="267">
        <f t="shared" si="4"/>
        <v>1.9577059706135251</v>
      </c>
      <c r="L20" s="223">
        <f>+D20-J20</f>
        <v>8496335.5</v>
      </c>
      <c r="M20" s="276">
        <f>+D20/J20*100-100</f>
        <v>10.97553139118952</v>
      </c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9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</row>
    <row r="21" spans="2:81" ht="15" customHeight="1">
      <c r="B21" s="80">
        <v>713</v>
      </c>
      <c r="C21" s="93" t="str">
        <f>IF(MasterSheet!$A$1=1,MasterSheet!C86,MasterSheet!B86)</f>
        <v>Takse</v>
      </c>
      <c r="D21" s="94">
        <f>+D22+D23+D24+D25+D26</f>
        <v>6557602.5800000001</v>
      </c>
      <c r="E21" s="245">
        <f t="shared" si="1"/>
        <v>0.15605536707836556</v>
      </c>
      <c r="F21" s="228">
        <v>5998605.0022170115</v>
      </c>
      <c r="G21" s="245">
        <f t="shared" si="0"/>
        <v>0.14275255234804052</v>
      </c>
      <c r="H21" s="205">
        <f t="shared" si="2"/>
        <v>558997.57778298855</v>
      </c>
      <c r="I21" s="258">
        <f t="shared" si="3"/>
        <v>9.31879291229194</v>
      </c>
      <c r="J21" s="94">
        <f>+J22+J23+J24+J25+J26</f>
        <v>5940652.6299999999</v>
      </c>
      <c r="K21" s="248">
        <f t="shared" si="4"/>
        <v>0.15023652394921855</v>
      </c>
      <c r="L21" s="205">
        <f t="shared" si="5"/>
        <v>616949.95000000019</v>
      </c>
      <c r="M21" s="258">
        <f t="shared" si="6"/>
        <v>10.38522176645094</v>
      </c>
      <c r="BY21" s="81"/>
      <c r="BZ21" s="81"/>
      <c r="CA21" s="81"/>
    </row>
    <row r="22" spans="2:81" ht="15" hidden="1" customHeight="1">
      <c r="B22" s="80">
        <v>7131</v>
      </c>
      <c r="C22" s="97" t="str">
        <f>IF(MasterSheet!$A$1=1,MasterSheet!C87,MasterSheet!B87)</f>
        <v>Administrativne takse</v>
      </c>
      <c r="D22" s="222">
        <v>1182529.4999999998</v>
      </c>
      <c r="E22" s="267">
        <f t="shared" si="1"/>
        <v>2.8141393588919823E-2</v>
      </c>
      <c r="F22" s="222">
        <v>1513336.1</v>
      </c>
      <c r="G22" s="267">
        <f t="shared" si="0"/>
        <v>3.6013805002260778E-2</v>
      </c>
      <c r="H22" s="223">
        <f t="shared" si="2"/>
        <v>-330806.60000000033</v>
      </c>
      <c r="I22" s="276">
        <f t="shared" si="3"/>
        <v>-21.859426997082821</v>
      </c>
      <c r="J22" s="222">
        <v>1192377.3399999999</v>
      </c>
      <c r="K22" s="267">
        <f t="shared" si="4"/>
        <v>3.0154704870770318E-2</v>
      </c>
      <c r="L22" s="223">
        <f t="shared" si="5"/>
        <v>-9847.8400000000838</v>
      </c>
      <c r="M22" s="276">
        <f t="shared" si="6"/>
        <v>-0.82589962670709838</v>
      </c>
      <c r="BY22" s="81"/>
      <c r="BZ22" s="81"/>
      <c r="CA22" s="81"/>
    </row>
    <row r="23" spans="2:81" ht="15" hidden="1" customHeight="1">
      <c r="B23" s="80">
        <v>7133</v>
      </c>
      <c r="C23" s="97" t="str">
        <f>IF(MasterSheet!$A$1=1,MasterSheet!C89,MasterSheet!B89)</f>
        <v>Boravišne takse</v>
      </c>
      <c r="D23" s="222">
        <v>0</v>
      </c>
      <c r="E23" s="267">
        <f t="shared" si="1"/>
        <v>0</v>
      </c>
      <c r="F23" s="222">
        <v>0</v>
      </c>
      <c r="G23" s="267">
        <f t="shared" si="0"/>
        <v>0</v>
      </c>
      <c r="H23" s="223">
        <f t="shared" si="2"/>
        <v>0</v>
      </c>
      <c r="I23" s="276" t="e">
        <f t="shared" si="3"/>
        <v>#DIV/0!</v>
      </c>
      <c r="J23" s="222">
        <v>0</v>
      </c>
      <c r="K23" s="267">
        <f t="shared" si="4"/>
        <v>0</v>
      </c>
      <c r="L23" s="223">
        <f t="shared" si="5"/>
        <v>0</v>
      </c>
      <c r="M23" s="276" t="e">
        <f t="shared" si="6"/>
        <v>#DIV/0!</v>
      </c>
      <c r="BY23" s="140"/>
      <c r="BZ23" s="140"/>
      <c r="CA23" s="140"/>
    </row>
    <row r="24" spans="2:81" ht="15" hidden="1" customHeight="1">
      <c r="B24" s="80">
        <v>7134</v>
      </c>
      <c r="C24" s="97" t="s">
        <v>434</v>
      </c>
      <c r="D24" s="222">
        <v>0</v>
      </c>
      <c r="E24" s="267">
        <f t="shared" si="1"/>
        <v>0</v>
      </c>
      <c r="F24" s="222">
        <v>0</v>
      </c>
      <c r="G24" s="267">
        <f t="shared" si="0"/>
        <v>0</v>
      </c>
      <c r="H24" s="223">
        <f t="shared" si="2"/>
        <v>0</v>
      </c>
      <c r="I24" s="276" t="e">
        <f t="shared" si="3"/>
        <v>#DIV/0!</v>
      </c>
      <c r="J24" s="222">
        <v>0</v>
      </c>
      <c r="K24" s="267">
        <f t="shared" si="4"/>
        <v>0</v>
      </c>
      <c r="L24" s="223">
        <f t="shared" si="5"/>
        <v>0</v>
      </c>
      <c r="M24" s="276" t="e">
        <f t="shared" si="6"/>
        <v>#DIV/0!</v>
      </c>
      <c r="BY24" s="140"/>
      <c r="BZ24" s="140"/>
      <c r="CA24" s="140"/>
    </row>
    <row r="25" spans="2:81" ht="15" hidden="1" customHeight="1">
      <c r="B25" s="80">
        <v>7135</v>
      </c>
      <c r="C25" s="97" t="s">
        <v>36</v>
      </c>
      <c r="D25" s="222">
        <v>4838031.2300000004</v>
      </c>
      <c r="E25" s="267">
        <f t="shared" si="1"/>
        <v>0.11513365293543704</v>
      </c>
      <c r="F25" s="222">
        <v>4306483.08</v>
      </c>
      <c r="G25" s="267">
        <f t="shared" si="0"/>
        <v>0.1024840693938745</v>
      </c>
      <c r="H25" s="223">
        <f t="shared" si="2"/>
        <v>531548.15000000037</v>
      </c>
      <c r="I25" s="276">
        <f t="shared" si="3"/>
        <v>12.342975465725047</v>
      </c>
      <c r="J25" s="222">
        <v>3679695.01</v>
      </c>
      <c r="K25" s="267">
        <f t="shared" si="4"/>
        <v>9.3057888068382985E-2</v>
      </c>
      <c r="L25" s="223">
        <f t="shared" si="5"/>
        <v>1158336.2200000007</v>
      </c>
      <c r="M25" s="276">
        <f t="shared" si="6"/>
        <v>31.479136636381213</v>
      </c>
      <c r="BY25" s="140"/>
      <c r="BZ25" s="140"/>
      <c r="CA25" s="140"/>
    </row>
    <row r="26" spans="2:81" ht="15" hidden="1" customHeight="1">
      <c r="B26" s="80">
        <v>7136</v>
      </c>
      <c r="C26" s="97" t="s">
        <v>37</v>
      </c>
      <c r="D26" s="222">
        <v>537041.85</v>
      </c>
      <c r="E26" s="267">
        <f t="shared" si="1"/>
        <v>1.278032055400871E-2</v>
      </c>
      <c r="F26" s="222">
        <v>277107.12</v>
      </c>
      <c r="G26" s="267">
        <f t="shared" si="0"/>
        <v>6.5944913257656879E-3</v>
      </c>
      <c r="H26" s="223">
        <f t="shared" si="2"/>
        <v>259934.72999999998</v>
      </c>
      <c r="I26" s="276">
        <f t="shared" si="3"/>
        <v>93.802977707682146</v>
      </c>
      <c r="J26" s="222">
        <v>1068580.28</v>
      </c>
      <c r="K26" s="267">
        <f t="shared" si="4"/>
        <v>2.7023931010065248E-2</v>
      </c>
      <c r="L26" s="223">
        <f t="shared" si="5"/>
        <v>-531538.43000000005</v>
      </c>
      <c r="M26" s="276">
        <f t="shared" si="6"/>
        <v>-49.742489165156599</v>
      </c>
      <c r="BY26" s="140"/>
      <c r="BZ26" s="140"/>
      <c r="CA26" s="140"/>
    </row>
    <row r="27" spans="2:81" ht="15" customHeight="1">
      <c r="B27" s="80">
        <v>714</v>
      </c>
      <c r="C27" s="93" t="str">
        <f>IF(MasterSheet!$A$1=1,MasterSheet!C91,MasterSheet!B91)</f>
        <v>Naknade</v>
      </c>
      <c r="D27" s="94">
        <f>+SUM(D28:D32)</f>
        <v>60804184.160000004</v>
      </c>
      <c r="E27" s="245">
        <f t="shared" si="1"/>
        <v>1.4469951728897457</v>
      </c>
      <c r="F27" s="228">
        <v>55000000</v>
      </c>
      <c r="G27" s="245">
        <f t="shared" si="0"/>
        <v>1.3088693748363913</v>
      </c>
      <c r="H27" s="205">
        <f>+D27-F27</f>
        <v>5804184.1600000039</v>
      </c>
      <c r="I27" s="258">
        <f t="shared" si="3"/>
        <v>10.553062109090931</v>
      </c>
      <c r="J27" s="94">
        <f>+SUM(J28:J32)</f>
        <v>46265096.809999995</v>
      </c>
      <c r="K27" s="248">
        <f t="shared" si="4"/>
        <v>1.1700241973091901</v>
      </c>
      <c r="L27" s="205">
        <f t="shared" si="5"/>
        <v>14539087.350000009</v>
      </c>
      <c r="M27" s="258">
        <f t="shared" si="6"/>
        <v>31.425606672149996</v>
      </c>
      <c r="BY27" s="140"/>
      <c r="BZ27" s="140"/>
      <c r="CA27" s="140"/>
    </row>
    <row r="28" spans="2:81" ht="15" hidden="1" customHeight="1">
      <c r="B28" s="80">
        <v>7141</v>
      </c>
      <c r="C28" s="97" t="str">
        <f>IF(MasterSheet!$A$1=1,MasterSheet!C92,MasterSheet!B92)</f>
        <v>Naknade za korišćenje dobara od opšteg interesa</v>
      </c>
      <c r="D28" s="224">
        <v>2302689.6399999997</v>
      </c>
      <c r="E28" s="268">
        <f t="shared" si="1"/>
        <v>5.4798544537255175E-2</v>
      </c>
      <c r="F28" s="224">
        <v>0</v>
      </c>
      <c r="G28" s="268">
        <f t="shared" si="0"/>
        <v>0</v>
      </c>
      <c r="H28" s="225">
        <f t="shared" si="2"/>
        <v>2302689.6399999997</v>
      </c>
      <c r="I28" s="277" t="e">
        <f t="shared" si="3"/>
        <v>#DIV/0!</v>
      </c>
      <c r="J28" s="224">
        <v>1777773.86</v>
      </c>
      <c r="K28" s="268">
        <f t="shared" si="4"/>
        <v>4.4959128521572002E-2</v>
      </c>
      <c r="L28" s="225">
        <f t="shared" si="5"/>
        <v>524915.77999999956</v>
      </c>
      <c r="M28" s="277">
        <f t="shared" si="6"/>
        <v>29.526577694195566</v>
      </c>
      <c r="BY28" s="140"/>
      <c r="BZ28" s="140"/>
      <c r="CA28" s="140"/>
    </row>
    <row r="29" spans="2:81" ht="15" hidden="1" customHeight="1">
      <c r="B29" s="80">
        <v>7142</v>
      </c>
      <c r="C29" s="97" t="str">
        <f>IF(MasterSheet!$A$1=1,MasterSheet!C93,MasterSheet!B93)</f>
        <v>Naknade za korišćenje prirodnih dobara</v>
      </c>
      <c r="D29" s="226">
        <v>8957142.0299999993</v>
      </c>
      <c r="E29" s="246">
        <f t="shared" si="1"/>
        <v>0.2131587070750339</v>
      </c>
      <c r="F29" s="156">
        <v>9299146.75</v>
      </c>
      <c r="G29" s="246">
        <f t="shared" si="0"/>
        <v>0.22129760714880656</v>
      </c>
      <c r="H29" s="227">
        <f t="shared" si="2"/>
        <v>-342004.72000000067</v>
      </c>
      <c r="I29" s="259">
        <f t="shared" si="3"/>
        <v>-3.6778075364817795</v>
      </c>
      <c r="J29" s="156">
        <v>8713739.5999999996</v>
      </c>
      <c r="K29" s="295">
        <f t="shared" si="4"/>
        <v>0.22036668858429012</v>
      </c>
      <c r="L29" s="227">
        <f t="shared" si="5"/>
        <v>243402.4299999997</v>
      </c>
      <c r="M29" s="259">
        <f t="shared" si="6"/>
        <v>2.7933176933586594</v>
      </c>
      <c r="BY29" s="140"/>
      <c r="BZ29" s="140"/>
      <c r="CA29" s="140"/>
    </row>
    <row r="30" spans="2:81" ht="24.75" hidden="1" customHeight="1">
      <c r="B30" s="80">
        <v>7146</v>
      </c>
      <c r="C30" s="157" t="s">
        <v>445</v>
      </c>
      <c r="D30" s="224">
        <v>40084820.299999997</v>
      </c>
      <c r="E30" s="246">
        <f t="shared" si="1"/>
        <v>0.95392352157254701</v>
      </c>
      <c r="F30" s="224">
        <v>37024035.200000003</v>
      </c>
      <c r="G30" s="246">
        <f t="shared" si="0"/>
        <v>0.8810841055662646</v>
      </c>
      <c r="H30" s="225">
        <f t="shared" si="2"/>
        <v>3060785.099999994</v>
      </c>
      <c r="I30" s="259">
        <f t="shared" si="3"/>
        <v>8.2670219047328288</v>
      </c>
      <c r="J30" s="224">
        <v>27579446.249999996</v>
      </c>
      <c r="K30" s="295">
        <f t="shared" si="4"/>
        <v>0.69747221308987906</v>
      </c>
      <c r="L30" s="225">
        <f t="shared" si="5"/>
        <v>12505374.050000001</v>
      </c>
      <c r="M30" s="259">
        <f t="shared" si="6"/>
        <v>45.34309331899658</v>
      </c>
      <c r="BY30" s="140"/>
      <c r="BZ30" s="140"/>
      <c r="CA30" s="140"/>
    </row>
    <row r="31" spans="2:81" ht="38.25" hidden="1">
      <c r="B31" s="158">
        <v>7147</v>
      </c>
      <c r="C31" s="157" t="s">
        <v>435</v>
      </c>
      <c r="D31" s="224">
        <v>5569113.5999999996</v>
      </c>
      <c r="E31" s="246">
        <f t="shared" si="1"/>
        <v>0.13253167701863353</v>
      </c>
      <c r="F31" s="224">
        <v>2857504.52</v>
      </c>
      <c r="G31" s="246">
        <f t="shared" si="0"/>
        <v>6.8001820994264772E-2</v>
      </c>
      <c r="H31" s="225">
        <f t="shared" si="2"/>
        <v>2711609.0799999996</v>
      </c>
      <c r="I31" s="259">
        <f t="shared" si="3"/>
        <v>94.894305888971928</v>
      </c>
      <c r="J31" s="224">
        <v>1404598.95</v>
      </c>
      <c r="K31" s="295">
        <f t="shared" si="4"/>
        <v>3.5521697182742396E-2</v>
      </c>
      <c r="L31" s="227">
        <f t="shared" si="5"/>
        <v>4164514.6499999994</v>
      </c>
      <c r="M31" s="259">
        <f t="shared" si="6"/>
        <v>296.49136858602947</v>
      </c>
      <c r="BY31" s="140"/>
      <c r="BZ31" s="140"/>
      <c r="CA31" s="140"/>
    </row>
    <row r="32" spans="2:81" ht="15" hidden="1" customHeight="1">
      <c r="B32" s="80">
        <v>7149</v>
      </c>
      <c r="C32" s="97" t="str">
        <f>IF(MasterSheet!$A$1=1,MasterSheet!C97,MasterSheet!B97)</f>
        <v>Ostale naknade</v>
      </c>
      <c r="D32" s="222">
        <v>3890418.5900000003</v>
      </c>
      <c r="E32" s="267">
        <f t="shared" si="1"/>
        <v>9.2582722686275917E-2</v>
      </c>
      <c r="F32" s="222">
        <v>5747283.9499999993</v>
      </c>
      <c r="G32" s="267">
        <f t="shared" si="0"/>
        <v>0.13677170819352227</v>
      </c>
      <c r="H32" s="223">
        <f t="shared" si="2"/>
        <v>-1856865.3599999989</v>
      </c>
      <c r="I32" s="276">
        <f t="shared" si="3"/>
        <v>-32.308571773280832</v>
      </c>
      <c r="J32" s="222">
        <v>6789538.1500000004</v>
      </c>
      <c r="K32" s="267">
        <f t="shared" si="4"/>
        <v>0.17170446993070659</v>
      </c>
      <c r="L32" s="223">
        <f t="shared" si="5"/>
        <v>-2899119.56</v>
      </c>
      <c r="M32" s="276">
        <f t="shared" si="6"/>
        <v>-42.699805140648628</v>
      </c>
      <c r="BY32" s="81"/>
      <c r="BZ32" s="81"/>
      <c r="CA32" s="81"/>
      <c r="CB32" s="81"/>
      <c r="CC32" s="81"/>
    </row>
    <row r="33" spans="1:82" ht="15" customHeight="1">
      <c r="B33" s="80">
        <v>715</v>
      </c>
      <c r="C33" s="93" t="str">
        <f>IF(MasterSheet!$A$1=1,MasterSheet!C98,MasterSheet!B98)</f>
        <v>Ostali prihodi</v>
      </c>
      <c r="D33" s="228">
        <f>+SUM(D34:D37)</f>
        <v>13379064.710000001</v>
      </c>
      <c r="E33" s="269">
        <f t="shared" si="1"/>
        <v>0.31838996477951503</v>
      </c>
      <c r="F33" s="228">
        <v>12772334.895326324</v>
      </c>
      <c r="G33" s="269">
        <f t="shared" si="0"/>
        <v>0.30395123617539621</v>
      </c>
      <c r="H33" s="229">
        <f t="shared" si="2"/>
        <v>606729.81467367709</v>
      </c>
      <c r="I33" s="278">
        <f t="shared" si="3"/>
        <v>4.7503437675729288</v>
      </c>
      <c r="J33" s="228">
        <f>+SUM(J34:J37)</f>
        <v>13023079.540000001</v>
      </c>
      <c r="K33" s="269">
        <f t="shared" si="4"/>
        <v>0.32934802336755853</v>
      </c>
      <c r="L33" s="229">
        <f t="shared" si="5"/>
        <v>355985.16999999993</v>
      </c>
      <c r="M33" s="278">
        <f t="shared" si="6"/>
        <v>2.7334945540845581</v>
      </c>
      <c r="BY33" s="81"/>
      <c r="BZ33" s="81"/>
      <c r="CA33" s="81"/>
      <c r="CB33" s="81"/>
      <c r="CC33" s="81"/>
    </row>
    <row r="34" spans="1:82" ht="15" customHeight="1">
      <c r="B34" s="80">
        <v>7151</v>
      </c>
      <c r="C34" s="97" t="str">
        <f>IF(MasterSheet!$A$1=1,MasterSheet!C99,MasterSheet!B99)</f>
        <v>Prihodi od kapitala</v>
      </c>
      <c r="D34" s="222">
        <v>1090502.76</v>
      </c>
      <c r="E34" s="267">
        <f t="shared" si="1"/>
        <v>2.5951375740701076E-2</v>
      </c>
      <c r="F34" s="222">
        <v>1798608.69</v>
      </c>
      <c r="G34" s="267">
        <f t="shared" si="0"/>
        <v>4.2802615121010926E-2</v>
      </c>
      <c r="H34" s="223">
        <f t="shared" si="2"/>
        <v>-708105.92999999993</v>
      </c>
      <c r="I34" s="276">
        <f t="shared" si="3"/>
        <v>-39.369649103607962</v>
      </c>
      <c r="J34" s="222">
        <v>2105757.3699999996</v>
      </c>
      <c r="K34" s="267">
        <f t="shared" si="4"/>
        <v>5.3253688988923166E-2</v>
      </c>
      <c r="L34" s="223">
        <f t="shared" si="5"/>
        <v>-1015254.6099999996</v>
      </c>
      <c r="M34" s="276">
        <f t="shared" si="6"/>
        <v>-48.213275872329007</v>
      </c>
      <c r="BY34" s="141"/>
      <c r="BZ34" s="141"/>
      <c r="CA34" s="141"/>
      <c r="CB34" s="141"/>
      <c r="CC34" s="141"/>
      <c r="CD34" s="142"/>
    </row>
    <row r="35" spans="1:82" ht="15" customHeight="1">
      <c r="B35" s="80">
        <v>7152</v>
      </c>
      <c r="C35" s="97" t="str">
        <f>IF(MasterSheet!$A$1=1,MasterSheet!C100,MasterSheet!B100)</f>
        <v>Novčane kazne i oduzete imovinske koristi</v>
      </c>
      <c r="D35" s="222">
        <v>1335327.76</v>
      </c>
      <c r="E35" s="267">
        <f t="shared" si="1"/>
        <v>3.1777629280597797E-2</v>
      </c>
      <c r="F35" s="222">
        <v>604377.29</v>
      </c>
      <c r="G35" s="267">
        <f t="shared" si="0"/>
        <v>1.4382744104138407E-2</v>
      </c>
      <c r="H35" s="223">
        <f t="shared" si="2"/>
        <v>730950.47</v>
      </c>
      <c r="I35" s="276">
        <f t="shared" si="3"/>
        <v>120.94274257062173</v>
      </c>
      <c r="J35" s="222">
        <v>1224399.33</v>
      </c>
      <c r="K35" s="267">
        <f t="shared" si="4"/>
        <v>3.096452708512468E-2</v>
      </c>
      <c r="L35" s="223">
        <f t="shared" si="5"/>
        <v>110928.42999999993</v>
      </c>
      <c r="M35" s="276">
        <f t="shared" si="6"/>
        <v>9.059824461027759</v>
      </c>
      <c r="BY35" s="141"/>
      <c r="BZ35" s="141"/>
      <c r="CA35" s="143"/>
      <c r="CB35" s="143"/>
      <c r="CC35" s="144"/>
      <c r="CD35" s="142"/>
    </row>
    <row r="36" spans="1:82" ht="15" customHeight="1">
      <c r="B36" s="80">
        <v>7153</v>
      </c>
      <c r="C36" s="97" t="str">
        <f>IF(MasterSheet!$A$1=1,MasterSheet!C101,MasterSheet!B101)</f>
        <v>Prihodi koje organi ostvaruju vršenjem svoje djelatnosti</v>
      </c>
      <c r="D36" s="222">
        <v>4278124.3</v>
      </c>
      <c r="E36" s="267">
        <f t="shared" si="1"/>
        <v>0.10180919778206134</v>
      </c>
      <c r="F36" s="222">
        <v>6806974.21</v>
      </c>
      <c r="G36" s="267">
        <f t="shared" si="0"/>
        <v>0.16198981961400252</v>
      </c>
      <c r="H36" s="223">
        <f t="shared" si="2"/>
        <v>-2528849.91</v>
      </c>
      <c r="I36" s="276">
        <f t="shared" si="3"/>
        <v>-37.15086662565745</v>
      </c>
      <c r="J36" s="222">
        <v>2832288.34</v>
      </c>
      <c r="K36" s="267">
        <f t="shared" si="4"/>
        <v>7.1627341560871971E-2</v>
      </c>
      <c r="L36" s="223">
        <f t="shared" si="5"/>
        <v>1445835.96</v>
      </c>
      <c r="M36" s="276">
        <f t="shared" si="6"/>
        <v>51.048332176518443</v>
      </c>
      <c r="BY36" s="81"/>
      <c r="BZ36" s="81"/>
      <c r="CA36" s="145"/>
      <c r="CB36" s="145"/>
      <c r="CC36" s="145"/>
      <c r="CD36" s="142"/>
    </row>
    <row r="37" spans="1:82" ht="15" customHeight="1">
      <c r="B37" s="80">
        <v>7154</v>
      </c>
      <c r="C37" s="97" t="str">
        <f>IF(MasterSheet!$A$1=1,MasterSheet!C102,MasterSheet!B102)</f>
        <v>Ostali prihodi</v>
      </c>
      <c r="D37" s="222">
        <v>6675109.8900000006</v>
      </c>
      <c r="E37" s="267">
        <f t="shared" si="1"/>
        <v>0.15885176197615478</v>
      </c>
      <c r="F37" s="222">
        <v>7423081.3600000003</v>
      </c>
      <c r="G37" s="267">
        <f t="shared" si="0"/>
        <v>0.17665170652768855</v>
      </c>
      <c r="H37" s="222">
        <f t="shared" si="2"/>
        <v>-747971.46999999974</v>
      </c>
      <c r="I37" s="267">
        <f t="shared" si="3"/>
        <v>-10.076293573050634</v>
      </c>
      <c r="J37" s="222">
        <v>6860634.5000000019</v>
      </c>
      <c r="K37" s="267">
        <f t="shared" si="4"/>
        <v>0.17350246573263878</v>
      </c>
      <c r="L37" s="223">
        <f t="shared" si="5"/>
        <v>-185524.61000000127</v>
      </c>
      <c r="M37" s="276">
        <f t="shared" si="6"/>
        <v>-2.7041902611194502</v>
      </c>
      <c r="BX37" s="100"/>
      <c r="BY37" s="100"/>
      <c r="BZ37" s="99"/>
      <c r="CA37" s="145"/>
      <c r="CB37" s="145"/>
      <c r="CC37" s="145"/>
      <c r="CD37" s="142"/>
    </row>
    <row r="38" spans="1:82">
      <c r="B38" s="80">
        <v>73</v>
      </c>
      <c r="C38" s="101" t="str">
        <f>IF(MasterSheet!$A$1=1,MasterSheet!C103,MasterSheet!B103)</f>
        <v xml:space="preserve">Primici od otplate kredita </v>
      </c>
      <c r="D38" s="228">
        <v>0</v>
      </c>
      <c r="E38" s="269">
        <f t="shared" si="1"/>
        <v>0</v>
      </c>
      <c r="F38" s="228">
        <v>202999.99999999997</v>
      </c>
      <c r="G38" s="269">
        <f t="shared" si="0"/>
        <v>4.8309178743961342E-3</v>
      </c>
      <c r="H38" s="228">
        <f t="shared" si="2"/>
        <v>-202999.99999999997</v>
      </c>
      <c r="I38" s="267">
        <f t="shared" si="3"/>
        <v>-100</v>
      </c>
      <c r="J38" s="228">
        <v>0</v>
      </c>
      <c r="K38" s="269">
        <f t="shared" si="4"/>
        <v>0</v>
      </c>
      <c r="L38" s="229">
        <f t="shared" si="5"/>
        <v>0</v>
      </c>
      <c r="M38" s="278" t="e">
        <f t="shared" si="6"/>
        <v>#DIV/0!</v>
      </c>
      <c r="BX38" s="100"/>
      <c r="BY38" s="100"/>
      <c r="BZ38" s="99"/>
      <c r="CA38" s="145"/>
      <c r="CB38" s="145"/>
      <c r="CC38" s="145"/>
      <c r="CD38" s="142"/>
    </row>
    <row r="39" spans="1:82" ht="13.5" customHeight="1" thickBot="1">
      <c r="B39" s="80">
        <v>74</v>
      </c>
      <c r="C39" s="93" t="s">
        <v>122</v>
      </c>
      <c r="D39" s="228">
        <v>5185100.6500000004</v>
      </c>
      <c r="E39" s="269">
        <f t="shared" si="1"/>
        <v>0.12339308084053213</v>
      </c>
      <c r="F39" s="228">
        <v>6944814.6748969685</v>
      </c>
      <c r="G39" s="269">
        <f t="shared" si="0"/>
        <v>0.16527009530703621</v>
      </c>
      <c r="H39" s="228">
        <f t="shared" si="2"/>
        <v>-1759714.0248969682</v>
      </c>
      <c r="I39" s="269">
        <f t="shared" si="3"/>
        <v>-25.338531080717061</v>
      </c>
      <c r="J39" s="228">
        <v>5743110.1400000006</v>
      </c>
      <c r="K39" s="269">
        <f t="shared" si="4"/>
        <v>0.14524076020433971</v>
      </c>
      <c r="L39" s="229">
        <f t="shared" si="5"/>
        <v>-558009.49000000022</v>
      </c>
      <c r="M39" s="278">
        <f t="shared" si="6"/>
        <v>-9.7161551214826574</v>
      </c>
      <c r="BY39" s="146"/>
      <c r="BZ39" s="146"/>
      <c r="CA39" s="145"/>
      <c r="CB39" s="145"/>
      <c r="CC39" s="145"/>
      <c r="CD39" s="142"/>
    </row>
    <row r="40" spans="1:82" ht="15" customHeight="1" thickTop="1" thickBot="1">
      <c r="B40" s="102"/>
      <c r="C40" s="153" t="str">
        <f>IF(MasterSheet!$A$1=1,MasterSheet!C104,MasterSheet!B104)</f>
        <v>Izdaci</v>
      </c>
      <c r="D40" s="230">
        <f>+D42+D51+D54+D55+D56+D57+D58+D59+D60</f>
        <v>209326250.91999993</v>
      </c>
      <c r="E40" s="270">
        <f t="shared" si="1"/>
        <v>4.9814676214273792</v>
      </c>
      <c r="F40" s="230">
        <f>+F42+F51+F54+F55+F56+F57+F58+F59+F60</f>
        <v>210842175.00203449</v>
      </c>
      <c r="G40" s="270">
        <f t="shared" si="0"/>
        <v>5.0175430142555983</v>
      </c>
      <c r="H40" s="230">
        <f t="shared" si="2"/>
        <v>-1515924.0820345581</v>
      </c>
      <c r="I40" s="270">
        <f t="shared" si="3"/>
        <v>-0.71898522296116596</v>
      </c>
      <c r="J40" s="230">
        <f>+J42+J51+J54+J55+J56+J57+J58+J59</f>
        <v>204446762.20000002</v>
      </c>
      <c r="K40" s="296">
        <f t="shared" si="4"/>
        <v>5.170369789085024</v>
      </c>
      <c r="L40" s="230">
        <f t="shared" si="5"/>
        <v>4879488.7199999094</v>
      </c>
      <c r="M40" s="270">
        <f t="shared" si="6"/>
        <v>2.3866793817094276</v>
      </c>
      <c r="BY40" s="81"/>
      <c r="BZ40" s="81"/>
      <c r="CA40" s="145"/>
      <c r="CB40" s="145"/>
      <c r="CC40" s="145"/>
      <c r="CD40" s="142"/>
    </row>
    <row r="41" spans="1:82" ht="13.5" customHeight="1" thickTop="1" thickBot="1">
      <c r="C41" s="153" t="str">
        <f>IF(MasterSheet!$A$1=1,MasterSheet!C105,MasterSheet!B105)</f>
        <v>Tekuća budžetska potrošnja</v>
      </c>
      <c r="D41" s="230">
        <f>+D40-D55</f>
        <v>163202414.80999994</v>
      </c>
      <c r="E41" s="270">
        <f t="shared" si="1"/>
        <v>3.8838298662573463</v>
      </c>
      <c r="F41" s="230">
        <f>+F40-F55</f>
        <v>175842175.00203449</v>
      </c>
      <c r="G41" s="270">
        <f t="shared" si="0"/>
        <v>4.1846261393597128</v>
      </c>
      <c r="H41" s="230">
        <f t="shared" si="2"/>
        <v>-12639760.192034543</v>
      </c>
      <c r="I41" s="270">
        <f t="shared" si="3"/>
        <v>-7.1881277582515679</v>
      </c>
      <c r="J41" s="230">
        <f>+J40-J55</f>
        <v>163410936.36000001</v>
      </c>
      <c r="K41" s="296">
        <f t="shared" si="4"/>
        <v>4.1325915826210116</v>
      </c>
      <c r="L41" s="230">
        <f t="shared" si="5"/>
        <v>-208521.55000007153</v>
      </c>
      <c r="M41" s="270">
        <f t="shared" si="6"/>
        <v>-0.12760562704364986</v>
      </c>
      <c r="BY41" s="146"/>
      <c r="BZ41" s="146"/>
      <c r="CA41" s="145"/>
      <c r="CB41" s="145"/>
      <c r="CC41" s="145"/>
      <c r="CD41" s="142"/>
    </row>
    <row r="42" spans="1:82" ht="13.5" customHeight="1" thickTop="1">
      <c r="A42" s="80">
        <v>41</v>
      </c>
      <c r="C42" s="93" t="str">
        <f>+'Central Budget'!C37</f>
        <v>Tekući izdaci</v>
      </c>
      <c r="D42" s="94">
        <f>+SUM(D43:D50)</f>
        <v>80236963.439999968</v>
      </c>
      <c r="E42" s="245">
        <f t="shared" si="1"/>
        <v>1.9094491668451479</v>
      </c>
      <c r="F42" s="94">
        <f>+SUM(F43:F50)</f>
        <v>88536915.727138564</v>
      </c>
      <c r="G42" s="245">
        <f t="shared" si="0"/>
        <v>2.1069683188676747</v>
      </c>
      <c r="H42" s="205">
        <f t="shared" si="2"/>
        <v>-8299952.2871385962</v>
      </c>
      <c r="I42" s="258">
        <f t="shared" si="3"/>
        <v>-9.374566777002002</v>
      </c>
      <c r="J42" s="94">
        <f>+SUM(J43:J50)</f>
        <v>78974895.13000001</v>
      </c>
      <c r="K42" s="248">
        <f t="shared" si="4"/>
        <v>1.9972407852410099</v>
      </c>
      <c r="L42" s="205">
        <f t="shared" si="5"/>
        <v>1262068.3099999577</v>
      </c>
      <c r="M42" s="258">
        <f t="shared" si="6"/>
        <v>1.59806266019406</v>
      </c>
      <c r="BY42" s="146"/>
      <c r="BZ42" s="146"/>
      <c r="CA42" s="145"/>
      <c r="CB42" s="145"/>
      <c r="CC42" s="145"/>
      <c r="CD42" s="142"/>
    </row>
    <row r="43" spans="1:82" ht="13.5" customHeight="1">
      <c r="B43" s="80">
        <v>411</v>
      </c>
      <c r="C43" s="93" t="str">
        <f>+'Central Budget'!C38</f>
        <v>Bruto zarade i doprinosi na teret poslodavca</v>
      </c>
      <c r="D43" s="228">
        <v>46744798.819999985</v>
      </c>
      <c r="E43" s="269">
        <f t="shared" si="1"/>
        <v>1.1124151928797503</v>
      </c>
      <c r="F43" s="228">
        <v>48498849.127893083</v>
      </c>
      <c r="G43" s="269">
        <f t="shared" si="0"/>
        <v>1.1541574243329069</v>
      </c>
      <c r="H43" s="229">
        <f t="shared" si="2"/>
        <v>-1754050.3078930974</v>
      </c>
      <c r="I43" s="278">
        <f t="shared" si="3"/>
        <v>-3.6166843944432685</v>
      </c>
      <c r="J43" s="228">
        <v>45098519.069999993</v>
      </c>
      <c r="K43" s="269">
        <f t="shared" si="4"/>
        <v>1.1405219531131454</v>
      </c>
      <c r="L43" s="229">
        <f t="shared" si="5"/>
        <v>1646279.7499999925</v>
      </c>
      <c r="M43" s="278">
        <f t="shared" si="6"/>
        <v>3.6504075609327771</v>
      </c>
      <c r="BY43" s="146"/>
      <c r="BZ43" s="146"/>
      <c r="CA43" s="145"/>
      <c r="CB43" s="145"/>
      <c r="CC43" s="145"/>
      <c r="CD43" s="142"/>
    </row>
    <row r="44" spans="1:82" ht="13.5" customHeight="1">
      <c r="B44" s="80">
        <v>412</v>
      </c>
      <c r="C44" s="93" t="str">
        <f>+'Central Budget'!C39</f>
        <v>Ostala lična primanja</v>
      </c>
      <c r="D44" s="228">
        <v>3227794.9600000004</v>
      </c>
      <c r="E44" s="269">
        <f t="shared" si="1"/>
        <v>7.6813854025368278E-2</v>
      </c>
      <c r="F44" s="228">
        <v>7376996.1794646056</v>
      </c>
      <c r="G44" s="269">
        <f t="shared" si="0"/>
        <v>0.17555498868338701</v>
      </c>
      <c r="H44" s="229">
        <f t="shared" si="2"/>
        <v>-4149201.2194646052</v>
      </c>
      <c r="I44" s="278">
        <f t="shared" si="3"/>
        <v>-56.245131738237369</v>
      </c>
      <c r="J44" s="228">
        <v>4422209.4800000004</v>
      </c>
      <c r="K44" s="269">
        <f t="shared" si="4"/>
        <v>0.11183575641090487</v>
      </c>
      <c r="L44" s="229">
        <f t="shared" si="5"/>
        <v>-1194414.52</v>
      </c>
      <c r="M44" s="278">
        <f t="shared" si="6"/>
        <v>-27.009451393062449</v>
      </c>
      <c r="BY44" s="146"/>
      <c r="BZ44" s="146"/>
      <c r="CA44" s="145"/>
      <c r="CB44" s="145"/>
      <c r="CC44" s="145"/>
      <c r="CD44" s="142"/>
    </row>
    <row r="45" spans="1:82" ht="13.5" customHeight="1">
      <c r="B45" s="80">
        <v>413</v>
      </c>
      <c r="C45" s="93" t="s">
        <v>76</v>
      </c>
      <c r="D45" s="228">
        <v>14756484.77</v>
      </c>
      <c r="E45" s="269">
        <f t="shared" si="1"/>
        <v>0.35116929083077508</v>
      </c>
      <c r="F45" s="228">
        <v>16972112.796194404</v>
      </c>
      <c r="G45" s="269">
        <f t="shared" si="0"/>
        <v>0.40389597573104885</v>
      </c>
      <c r="H45" s="229">
        <f t="shared" si="2"/>
        <v>-2215628.0261944048</v>
      </c>
      <c r="I45" s="278">
        <f t="shared" si="3"/>
        <v>-13.054520982745331</v>
      </c>
      <c r="J45" s="228">
        <v>15302758.890000001</v>
      </c>
      <c r="K45" s="269">
        <f t="shared" si="4"/>
        <v>0.38700012366597542</v>
      </c>
      <c r="L45" s="229">
        <f t="shared" si="5"/>
        <v>-546274.12000000104</v>
      </c>
      <c r="M45" s="278">
        <f t="shared" si="6"/>
        <v>-3.5697753844699065</v>
      </c>
      <c r="BY45" s="146"/>
      <c r="BZ45" s="146"/>
      <c r="CA45" s="145"/>
      <c r="CB45" s="145"/>
      <c r="CC45" s="145"/>
      <c r="CD45" s="142"/>
    </row>
    <row r="46" spans="1:82" ht="13.5" customHeight="1">
      <c r="B46" s="80">
        <v>415</v>
      </c>
      <c r="C46" s="93" t="str">
        <f>+'Central Budget'!C42</f>
        <v>Rashodi za tekuće održavanje</v>
      </c>
      <c r="D46" s="228">
        <v>6171266.3400000017</v>
      </c>
      <c r="E46" s="269">
        <f t="shared" si="1"/>
        <v>0.14686148211608485</v>
      </c>
      <c r="F46" s="228">
        <v>5075602.2693896275</v>
      </c>
      <c r="G46" s="269">
        <f t="shared" si="0"/>
        <v>0.12078727944098494</v>
      </c>
      <c r="H46" s="229">
        <f t="shared" si="2"/>
        <v>1095664.0706103742</v>
      </c>
      <c r="I46" s="278">
        <f t="shared" si="3"/>
        <v>21.586878018756465</v>
      </c>
      <c r="J46" s="228">
        <v>5731511.8699999982</v>
      </c>
      <c r="K46" s="269">
        <f t="shared" si="4"/>
        <v>0.14494744499519494</v>
      </c>
      <c r="L46" s="229">
        <f t="shared" si="5"/>
        <v>439754.47000000346</v>
      </c>
      <c r="M46" s="278">
        <f t="shared" si="6"/>
        <v>7.6725736589986866</v>
      </c>
      <c r="BY46" s="146"/>
      <c r="BZ46" s="146"/>
      <c r="CA46" s="145"/>
      <c r="CB46" s="145"/>
      <c r="CC46" s="145"/>
      <c r="CD46" s="142"/>
    </row>
    <row r="47" spans="1:82" ht="13.5" customHeight="1">
      <c r="B47" s="80">
        <v>416</v>
      </c>
      <c r="C47" s="93" t="str">
        <f>+'Central Budget'!C43</f>
        <v>Kamate</v>
      </c>
      <c r="D47" s="228">
        <v>3808674.2700000005</v>
      </c>
      <c r="E47" s="269">
        <f t="shared" si="1"/>
        <v>9.0637402013279092E-2</v>
      </c>
      <c r="F47" s="228">
        <v>6000000</v>
      </c>
      <c r="G47" s="269">
        <f t="shared" si="0"/>
        <v>0.14278574998215177</v>
      </c>
      <c r="H47" s="229">
        <f t="shared" si="2"/>
        <v>-2191325.7299999995</v>
      </c>
      <c r="I47" s="278">
        <f t="shared" si="3"/>
        <v>-36.522095499999999</v>
      </c>
      <c r="J47" s="228">
        <v>4099927.0799999996</v>
      </c>
      <c r="K47" s="269">
        <f t="shared" si="4"/>
        <v>0.10368537453846544</v>
      </c>
      <c r="L47" s="229">
        <f t="shared" si="5"/>
        <v>-291252.80999999912</v>
      </c>
      <c r="M47" s="278">
        <f t="shared" si="6"/>
        <v>-7.1038534178027248</v>
      </c>
      <c r="BY47" s="146"/>
      <c r="BZ47" s="146"/>
      <c r="CA47" s="145"/>
      <c r="CB47" s="145"/>
      <c r="CC47" s="145"/>
      <c r="CD47" s="142"/>
    </row>
    <row r="48" spans="1:82" ht="13.5" customHeight="1">
      <c r="B48" s="80">
        <v>417</v>
      </c>
      <c r="C48" s="93" t="str">
        <f>+'Central Budget'!C44</f>
        <v>Renta</v>
      </c>
      <c r="D48" s="228">
        <v>583911.56999999995</v>
      </c>
      <c r="E48" s="269">
        <f t="shared" si="1"/>
        <v>1.3895708574284286E-2</v>
      </c>
      <c r="F48" s="228">
        <v>610832.91939052171</v>
      </c>
      <c r="G48" s="269">
        <f t="shared" si="0"/>
        <v>1.4536372751493817E-2</v>
      </c>
      <c r="H48" s="229">
        <f t="shared" si="2"/>
        <v>-26921.349390521762</v>
      </c>
      <c r="I48" s="278">
        <f t="shared" si="3"/>
        <v>-4.4073180301715524</v>
      </c>
      <c r="J48" s="228">
        <v>505241.3600000001</v>
      </c>
      <c r="K48" s="269">
        <f t="shared" si="4"/>
        <v>1.277733447979364E-2</v>
      </c>
      <c r="L48" s="229">
        <f t="shared" si="5"/>
        <v>78670.209999999846</v>
      </c>
      <c r="M48" s="278">
        <f t="shared" si="6"/>
        <v>15.57081748018409</v>
      </c>
      <c r="BY48" s="146"/>
      <c r="BZ48" s="146"/>
      <c r="CA48" s="145"/>
      <c r="CB48" s="145"/>
      <c r="CC48" s="145"/>
      <c r="CD48" s="142"/>
    </row>
    <row r="49" spans="1:82" ht="13.5" customHeight="1">
      <c r="B49" s="80">
        <v>418</v>
      </c>
      <c r="C49" s="93" t="str">
        <f>+'Central Budget'!C45</f>
        <v>Subvencije</v>
      </c>
      <c r="D49" s="228">
        <v>1213207.69</v>
      </c>
      <c r="E49" s="269">
        <f t="shared" si="1"/>
        <v>2.8871461650127318E-2</v>
      </c>
      <c r="F49" s="228">
        <v>990300.4507723382</v>
      </c>
      <c r="G49" s="269">
        <f t="shared" si="0"/>
        <v>2.3566798761865213E-2</v>
      </c>
      <c r="H49" s="229">
        <f t="shared" si="2"/>
        <v>222907.23922766175</v>
      </c>
      <c r="I49" s="278">
        <f t="shared" si="3"/>
        <v>22.509051576601394</v>
      </c>
      <c r="J49" s="228">
        <v>725330.73</v>
      </c>
      <c r="K49" s="269">
        <f t="shared" si="4"/>
        <v>1.8343299023822771E-2</v>
      </c>
      <c r="L49" s="229">
        <f t="shared" si="5"/>
        <v>487876.95999999996</v>
      </c>
      <c r="M49" s="278">
        <f t="shared" si="6"/>
        <v>67.262689945592115</v>
      </c>
      <c r="BY49" s="146"/>
      <c r="BZ49" s="146"/>
      <c r="CA49" s="145"/>
      <c r="CB49" s="145"/>
      <c r="CC49" s="145"/>
      <c r="CD49" s="142"/>
    </row>
    <row r="50" spans="1:82" ht="13.5" customHeight="1">
      <c r="B50" s="80">
        <v>419</v>
      </c>
      <c r="C50" s="93" t="str">
        <f>+'Central Budget'!C46</f>
        <v>Ostali izdaci</v>
      </c>
      <c r="D50" s="228">
        <v>3730825.0199999991</v>
      </c>
      <c r="E50" s="269">
        <f t="shared" si="1"/>
        <v>8.878477475547937E-2</v>
      </c>
      <c r="F50" s="228">
        <v>3012221.9840339716</v>
      </c>
      <c r="G50" s="269">
        <f t="shared" si="0"/>
        <v>7.1683729183835976E-2</v>
      </c>
      <c r="H50" s="229">
        <f t="shared" si="2"/>
        <v>718603.03596602753</v>
      </c>
      <c r="I50" s="278">
        <f t="shared" si="3"/>
        <v>23.856244319805199</v>
      </c>
      <c r="J50" s="228">
        <v>3089396.65</v>
      </c>
      <c r="K50" s="269">
        <f t="shared" si="4"/>
        <v>7.8129499013706943E-2</v>
      </c>
      <c r="L50" s="229">
        <f t="shared" si="5"/>
        <v>641428.36999999918</v>
      </c>
      <c r="M50" s="278">
        <f t="shared" si="6"/>
        <v>20.762253691185919</v>
      </c>
      <c r="BY50" s="146"/>
      <c r="BZ50" s="146"/>
      <c r="CA50" s="145"/>
      <c r="CB50" s="145"/>
      <c r="CC50" s="145"/>
      <c r="CD50" s="142"/>
    </row>
    <row r="51" spans="1:82" ht="13.5" customHeight="1">
      <c r="A51" s="80">
        <v>42</v>
      </c>
      <c r="B51" s="80" t="s">
        <v>427</v>
      </c>
      <c r="C51" s="93" t="str">
        <f>+'Central Budget'!C48</f>
        <v>Transferi za socijalnu zaštitu</v>
      </c>
      <c r="D51" s="228">
        <f>+D52</f>
        <v>812521.76</v>
      </c>
      <c r="E51" s="269">
        <f t="shared" si="1"/>
        <v>1.9336088146402988E-2</v>
      </c>
      <c r="F51" s="228">
        <f>+F52</f>
        <v>3272815.5522355167</v>
      </c>
      <c r="G51" s="269">
        <f t="shared" si="0"/>
        <v>7.7885237196533078E-2</v>
      </c>
      <c r="H51" s="229">
        <f t="shared" si="2"/>
        <v>-2460293.7922355169</v>
      </c>
      <c r="I51" s="278">
        <f t="shared" si="3"/>
        <v>-75.173615896410595</v>
      </c>
      <c r="J51" s="228">
        <f>+J52</f>
        <v>1094549.17</v>
      </c>
      <c r="K51" s="269">
        <f t="shared" si="4"/>
        <v>2.7680672955338624E-2</v>
      </c>
      <c r="L51" s="229">
        <f t="shared" si="5"/>
        <v>-282027.40999999992</v>
      </c>
      <c r="M51" s="278">
        <f t="shared" si="6"/>
        <v>-25.76653637223076</v>
      </c>
      <c r="BY51" s="146"/>
      <c r="BZ51" s="146"/>
      <c r="CA51" s="145"/>
      <c r="CB51" s="145"/>
      <c r="CC51" s="145"/>
      <c r="CD51" s="142"/>
    </row>
    <row r="52" spans="1:82" ht="13.5" customHeight="1">
      <c r="B52" s="80">
        <v>421</v>
      </c>
      <c r="C52" s="97" t="s">
        <v>88</v>
      </c>
      <c r="D52" s="309">
        <v>812521.76</v>
      </c>
      <c r="E52" s="267">
        <f>+D52/$D$11*100</f>
        <v>1.9336088146402988E-2</v>
      </c>
      <c r="F52" s="222">
        <v>3272815.5522355167</v>
      </c>
      <c r="G52" s="267">
        <f t="shared" si="0"/>
        <v>7.7885237196533078E-2</v>
      </c>
      <c r="H52" s="223">
        <f>+D52-F52</f>
        <v>-2460293.7922355169</v>
      </c>
      <c r="I52" s="276">
        <f>+D52/F52*100-100</f>
        <v>-75.173615896410595</v>
      </c>
      <c r="J52" s="309">
        <v>1094549.17</v>
      </c>
      <c r="K52" s="267">
        <f t="shared" si="4"/>
        <v>2.7680672955338624E-2</v>
      </c>
      <c r="L52" s="223">
        <f>+D52-J52</f>
        <v>-282027.40999999992</v>
      </c>
      <c r="M52" s="276">
        <f>+D52/J52*100-100</f>
        <v>-25.76653637223076</v>
      </c>
      <c r="BY52" s="146"/>
      <c r="BZ52" s="146"/>
      <c r="CA52" s="145"/>
      <c r="CB52" s="145"/>
      <c r="CC52" s="145"/>
      <c r="CD52" s="142"/>
    </row>
    <row r="53" spans="1:82" ht="13.5" customHeight="1">
      <c r="B53" s="80">
        <v>422</v>
      </c>
      <c r="C53" s="97" t="s">
        <v>90</v>
      </c>
      <c r="D53" s="222">
        <v>0</v>
      </c>
      <c r="E53" s="267">
        <f t="shared" si="1"/>
        <v>0</v>
      </c>
      <c r="F53" s="222">
        <v>0</v>
      </c>
      <c r="G53" s="267">
        <f t="shared" si="0"/>
        <v>0</v>
      </c>
      <c r="H53" s="223">
        <f t="shared" si="2"/>
        <v>0</v>
      </c>
      <c r="I53" s="276" t="e">
        <f t="shared" si="3"/>
        <v>#DIV/0!</v>
      </c>
      <c r="J53" s="222">
        <v>0</v>
      </c>
      <c r="K53" s="267">
        <f t="shared" si="4"/>
        <v>0</v>
      </c>
      <c r="L53" s="223">
        <f t="shared" si="5"/>
        <v>0</v>
      </c>
      <c r="M53" s="276" t="e">
        <f t="shared" si="6"/>
        <v>#DIV/0!</v>
      </c>
      <c r="BY53" s="146"/>
      <c r="BZ53" s="146"/>
      <c r="CA53" s="145"/>
      <c r="CB53" s="145"/>
      <c r="CC53" s="145"/>
      <c r="CD53" s="142"/>
    </row>
    <row r="54" spans="1:82" ht="13.5" customHeight="1" thickBot="1">
      <c r="A54" s="80">
        <v>43</v>
      </c>
      <c r="C54" s="93" t="str">
        <f>+'Central Budget'!C54</f>
        <v xml:space="preserve">Transferi institucijama, pojedincima, nevladinom i javnom sektoru </v>
      </c>
      <c r="D54" s="94">
        <v>45879334.299999997</v>
      </c>
      <c r="E54" s="245">
        <f t="shared" si="1"/>
        <v>1.09181919278456</v>
      </c>
      <c r="F54" s="94">
        <v>41546915.376421064</v>
      </c>
      <c r="G54" s="245">
        <f t="shared" si="0"/>
        <v>0.98871791191121261</v>
      </c>
      <c r="H54" s="205">
        <f t="shared" si="2"/>
        <v>4332418.9235789329</v>
      </c>
      <c r="I54" s="258">
        <f t="shared" si="3"/>
        <v>10.427775165319957</v>
      </c>
      <c r="J54" s="154">
        <v>41356828.290000007</v>
      </c>
      <c r="K54" s="248">
        <f t="shared" si="4"/>
        <v>1.0458962189570586</v>
      </c>
      <c r="L54" s="205">
        <f t="shared" si="5"/>
        <v>4522506.0099999905</v>
      </c>
      <c r="M54" s="258">
        <f t="shared" si="6"/>
        <v>10.935330867946476</v>
      </c>
      <c r="BY54" s="146"/>
      <c r="BZ54" s="146"/>
      <c r="CA54" s="145"/>
      <c r="CB54" s="145"/>
      <c r="CC54" s="145"/>
      <c r="CD54" s="142"/>
    </row>
    <row r="55" spans="1:82" ht="13.5" customHeight="1" thickTop="1" thickBot="1">
      <c r="B55" s="80">
        <v>44</v>
      </c>
      <c r="C55" s="153" t="str">
        <f>+'Central Budget'!C57</f>
        <v>Kapitalni budžet</v>
      </c>
      <c r="D55" s="230">
        <v>46123836.109999999</v>
      </c>
      <c r="E55" s="270">
        <f t="shared" si="1"/>
        <v>1.097637755170034</v>
      </c>
      <c r="F55" s="231">
        <v>35000000</v>
      </c>
      <c r="G55" s="270">
        <f t="shared" si="0"/>
        <v>0.83291687489588551</v>
      </c>
      <c r="H55" s="230">
        <f t="shared" si="2"/>
        <v>11123836.109999999</v>
      </c>
      <c r="I55" s="270">
        <f t="shared" si="3"/>
        <v>31.782388885714283</v>
      </c>
      <c r="J55" s="231">
        <v>41035825.840000004</v>
      </c>
      <c r="K55" s="296">
        <f t="shared" si="4"/>
        <v>1.0377782064640131</v>
      </c>
      <c r="L55" s="230">
        <f t="shared" si="5"/>
        <v>5088010.2699999958</v>
      </c>
      <c r="M55" s="270">
        <f t="shared" si="6"/>
        <v>12.39894693441363</v>
      </c>
      <c r="BY55" s="146"/>
      <c r="BZ55" s="146"/>
      <c r="CA55" s="145"/>
      <c r="CB55" s="145"/>
      <c r="CC55" s="145"/>
      <c r="CD55" s="142"/>
    </row>
    <row r="56" spans="1:82" ht="13.5" customHeight="1" thickTop="1">
      <c r="B56" s="80">
        <v>451</v>
      </c>
      <c r="C56" s="93" t="str">
        <f>+'Central Budget'!C58</f>
        <v>Pozajmice i krediti</v>
      </c>
      <c r="D56" s="228">
        <v>2342480.2000000002</v>
      </c>
      <c r="E56" s="269">
        <f t="shared" si="1"/>
        <v>5.5745465362556826E-2</v>
      </c>
      <c r="F56" s="228">
        <v>590702.47124910925</v>
      </c>
      <c r="G56" s="269">
        <f t="shared" si="0"/>
        <v>1.4057315895602419E-2</v>
      </c>
      <c r="H56" s="229">
        <f t="shared" si="2"/>
        <v>1751777.7287508911</v>
      </c>
      <c r="I56" s="278">
        <f t="shared" si="3"/>
        <v>296.55838836200445</v>
      </c>
      <c r="J56" s="228">
        <v>673652.63000000012</v>
      </c>
      <c r="K56" s="269">
        <f t="shared" si="4"/>
        <v>1.7036382327651613E-2</v>
      </c>
      <c r="L56" s="229">
        <f t="shared" si="5"/>
        <v>1668827.57</v>
      </c>
      <c r="M56" s="278">
        <f t="shared" si="6"/>
        <v>247.72820526210961</v>
      </c>
      <c r="BY56" s="146"/>
      <c r="BZ56" s="146"/>
      <c r="CA56" s="145"/>
      <c r="CB56" s="145"/>
      <c r="CC56" s="145"/>
      <c r="CD56" s="142"/>
    </row>
    <row r="57" spans="1:82" ht="13.5" customHeight="1" thickBot="1">
      <c r="B57" s="80">
        <v>47</v>
      </c>
      <c r="C57" s="93" t="str">
        <f>+'Central Budget'!C59</f>
        <v>Rezerve</v>
      </c>
      <c r="D57" s="232">
        <v>1996206.4699999997</v>
      </c>
      <c r="E57" s="271">
        <f t="shared" si="1"/>
        <v>4.7504972989695624E-2</v>
      </c>
      <c r="F57" s="232">
        <v>1894825.87499023</v>
      </c>
      <c r="G57" s="271">
        <f t="shared" si="0"/>
        <v>4.5092355607677825E-2</v>
      </c>
      <c r="H57" s="233">
        <f t="shared" si="2"/>
        <v>101380.59500976978</v>
      </c>
      <c r="I57" s="279">
        <f t="shared" si="3"/>
        <v>5.3503911017835719</v>
      </c>
      <c r="J57" s="232">
        <v>1941229.8</v>
      </c>
      <c r="K57" s="271">
        <f t="shared" si="4"/>
        <v>4.9092858226695658E-2</v>
      </c>
      <c r="L57" s="233">
        <f t="shared" si="5"/>
        <v>54976.669999999693</v>
      </c>
      <c r="M57" s="279">
        <f t="shared" si="6"/>
        <v>2.8320536806100733</v>
      </c>
      <c r="BY57" s="146"/>
      <c r="BZ57" s="146"/>
      <c r="CA57" s="145"/>
      <c r="CB57" s="145"/>
      <c r="CC57" s="145"/>
      <c r="CD57" s="142"/>
    </row>
    <row r="58" spans="1:82" ht="13.5" customHeight="1" thickTop="1" thickBot="1">
      <c r="B58" s="80">
        <v>462</v>
      </c>
      <c r="C58" s="197" t="s">
        <v>112</v>
      </c>
      <c r="D58" s="234">
        <v>0</v>
      </c>
      <c r="E58" s="272">
        <f t="shared" si="1"/>
        <v>0</v>
      </c>
      <c r="F58" s="234">
        <v>40000000</v>
      </c>
      <c r="G58" s="272">
        <f t="shared" si="0"/>
        <v>0.95190499988101196</v>
      </c>
      <c r="H58" s="235">
        <f t="shared" si="2"/>
        <v>-40000000</v>
      </c>
      <c r="I58" s="279">
        <f t="shared" si="3"/>
        <v>-100</v>
      </c>
      <c r="J58" s="234">
        <v>0</v>
      </c>
      <c r="K58" s="272">
        <f t="shared" si="4"/>
        <v>0</v>
      </c>
      <c r="L58" s="235">
        <f t="shared" si="5"/>
        <v>0</v>
      </c>
      <c r="M58" s="280" t="e">
        <f t="shared" si="6"/>
        <v>#DIV/0!</v>
      </c>
      <c r="BY58" s="146"/>
      <c r="BZ58" s="146"/>
      <c r="CA58" s="145"/>
      <c r="CB58" s="145"/>
      <c r="CC58" s="145"/>
      <c r="CD58" s="142"/>
    </row>
    <row r="59" spans="1:82" ht="13.5" customHeight="1" thickTop="1" thickBot="1">
      <c r="B59" s="80" t="s">
        <v>452</v>
      </c>
      <c r="C59" s="197" t="s">
        <v>450</v>
      </c>
      <c r="D59" s="228">
        <v>31934908.639999997</v>
      </c>
      <c r="E59" s="272">
        <f t="shared" si="1"/>
        <v>0.75997498012898312</v>
      </c>
      <c r="F59" s="228">
        <v>0</v>
      </c>
      <c r="G59" s="272">
        <f t="shared" si="0"/>
        <v>0</v>
      </c>
      <c r="H59" s="235">
        <f t="shared" si="2"/>
        <v>31934908.639999997</v>
      </c>
      <c r="I59" s="279" t="e">
        <f t="shared" si="3"/>
        <v>#DIV/0!</v>
      </c>
      <c r="J59" s="228">
        <v>39369781.339999996</v>
      </c>
      <c r="K59" s="272">
        <f t="shared" si="4"/>
        <v>0.99564466491325665</v>
      </c>
      <c r="L59" s="235">
        <f t="shared" si="5"/>
        <v>-7434872.6999999993</v>
      </c>
      <c r="M59" s="280">
        <f t="shared" si="6"/>
        <v>-18.884719312489835</v>
      </c>
      <c r="BY59" s="146"/>
      <c r="BZ59" s="146"/>
      <c r="CA59" s="145"/>
      <c r="CB59" s="145"/>
      <c r="CC59" s="145"/>
      <c r="CD59" s="142"/>
    </row>
    <row r="60" spans="1:82" ht="13.5" customHeight="1" thickTop="1" thickBot="1">
      <c r="B60" s="80">
        <v>990</v>
      </c>
      <c r="C60" s="198" t="s">
        <v>151</v>
      </c>
      <c r="D60" s="236">
        <v>0</v>
      </c>
      <c r="E60" s="273">
        <f t="shared" si="1"/>
        <v>0</v>
      </c>
      <c r="F60" s="236">
        <v>0</v>
      </c>
      <c r="G60" s="273">
        <f t="shared" si="0"/>
        <v>0</v>
      </c>
      <c r="H60" s="237">
        <f t="shared" si="2"/>
        <v>0</v>
      </c>
      <c r="I60" s="281"/>
      <c r="J60" s="236">
        <v>-17434355.329999998</v>
      </c>
      <c r="K60" s="273">
        <f t="shared" si="4"/>
        <v>-0.44090727150877546</v>
      </c>
      <c r="L60" s="237">
        <f t="shared" si="5"/>
        <v>17434355.329999998</v>
      </c>
      <c r="M60" s="281"/>
      <c r="BY60" s="146"/>
      <c r="BZ60" s="146"/>
      <c r="CA60" s="145"/>
      <c r="CB60" s="145"/>
      <c r="CC60" s="145"/>
      <c r="CD60" s="142"/>
    </row>
    <row r="61" spans="1:82" ht="13.5" customHeight="1" thickTop="1" thickBot="1">
      <c r="C61" s="153" t="str">
        <f>+'Central Budget'!C63</f>
        <v>Suficit / deficit</v>
      </c>
      <c r="D61" s="230">
        <f>+D16-D40</f>
        <v>9796169.7700001001</v>
      </c>
      <c r="E61" s="270">
        <f t="shared" si="1"/>
        <v>0.23312557459365793</v>
      </c>
      <c r="F61" s="230">
        <f>+F16-F40</f>
        <v>-4427421.1317163706</v>
      </c>
      <c r="G61" s="270">
        <f t="shared" si="0"/>
        <v>-0.10536210779649154</v>
      </c>
      <c r="H61" s="230">
        <f>+D61-F61</f>
        <v>14223590.901716471</v>
      </c>
      <c r="I61" s="270">
        <f t="shared" si="3"/>
        <v>-321.26130491233471</v>
      </c>
      <c r="J61" s="230">
        <f>+J16-J40</f>
        <v>-7249308.5100000203</v>
      </c>
      <c r="K61" s="296">
        <f t="shared" si="4"/>
        <v>-0.18333186257650144</v>
      </c>
      <c r="L61" s="230">
        <f t="shared" si="5"/>
        <v>17045478.28000012</v>
      </c>
      <c r="M61" s="270">
        <f t="shared" si="6"/>
        <v>-235.13247169004913</v>
      </c>
      <c r="BY61" s="146"/>
      <c r="BZ61" s="146"/>
      <c r="CA61" s="145"/>
      <c r="CB61" s="145"/>
      <c r="CC61" s="145"/>
      <c r="CD61" s="142"/>
    </row>
    <row r="62" spans="1:82" ht="13.5" customHeight="1" thickTop="1" thickBot="1">
      <c r="C62" s="327" t="s">
        <v>475</v>
      </c>
      <c r="D62" s="230"/>
      <c r="E62" s="270"/>
      <c r="F62" s="230"/>
      <c r="G62" s="270"/>
      <c r="H62" s="230"/>
      <c r="I62" s="270"/>
      <c r="J62" s="230">
        <f>J61-J60</f>
        <v>10185046.819999978</v>
      </c>
      <c r="K62" s="296">
        <f t="shared" si="4"/>
        <v>0.25757540893227399</v>
      </c>
      <c r="L62" s="230"/>
      <c r="M62" s="270"/>
      <c r="BY62" s="146"/>
      <c r="BZ62" s="146"/>
      <c r="CA62" s="145"/>
      <c r="CB62" s="145"/>
      <c r="CC62" s="145"/>
      <c r="CD62" s="142"/>
    </row>
    <row r="63" spans="1:82" ht="13.5" customHeight="1" thickTop="1" thickBot="1">
      <c r="C63" s="153" t="str">
        <f>+'Central Budget'!C65</f>
        <v>Primarni bilans</v>
      </c>
      <c r="D63" s="230">
        <f>+D61+D47</f>
        <v>13604844.0400001</v>
      </c>
      <c r="E63" s="270">
        <f t="shared" si="1"/>
        <v>0.32376297660693698</v>
      </c>
      <c r="F63" s="230">
        <f>+F61+F47</f>
        <v>1572578.8682836294</v>
      </c>
      <c r="G63" s="270">
        <f t="shared" si="0"/>
        <v>3.7423642185660251E-2</v>
      </c>
      <c r="H63" s="230">
        <f t="shared" si="2"/>
        <v>12032265.17171647</v>
      </c>
      <c r="I63" s="270">
        <f t="shared" si="3"/>
        <v>765.12952160224097</v>
      </c>
      <c r="J63" s="230">
        <f>+J62-J47</f>
        <v>6085119.7399999779</v>
      </c>
      <c r="K63" s="296">
        <f t="shared" si="4"/>
        <v>0.15389003439380855</v>
      </c>
      <c r="L63" s="230">
        <f t="shared" si="5"/>
        <v>7519724.3000001218</v>
      </c>
      <c r="M63" s="270">
        <f t="shared" si="6"/>
        <v>123.57561759335485</v>
      </c>
      <c r="BY63" s="146"/>
      <c r="BZ63" s="146"/>
      <c r="CA63" s="145"/>
      <c r="CB63" s="145"/>
      <c r="CC63" s="145"/>
      <c r="CD63" s="142"/>
    </row>
    <row r="64" spans="1:82" ht="13.5" customHeight="1" thickTop="1" thickBot="1">
      <c r="C64" s="153" t="str">
        <f>+'Central Budget'!C66</f>
        <v>Otplata dugova</v>
      </c>
      <c r="D64" s="230">
        <f>+SUM(D65:D66)</f>
        <v>13189279.220000003</v>
      </c>
      <c r="E64" s="270">
        <f t="shared" si="1"/>
        <v>0.31387352085861836</v>
      </c>
      <c r="F64" s="230">
        <f>+SUM(F65:F67)</f>
        <v>33000000</v>
      </c>
      <c r="G64" s="270">
        <f t="shared" si="0"/>
        <v>0.78532162490183477</v>
      </c>
      <c r="H64" s="230">
        <f t="shared" si="2"/>
        <v>-19810720.779999997</v>
      </c>
      <c r="I64" s="270">
        <f t="shared" si="3"/>
        <v>-60.032487212121204</v>
      </c>
      <c r="J64" s="230">
        <f>+SUM(J65:J66)</f>
        <v>17297596.619999997</v>
      </c>
      <c r="K64" s="296">
        <f t="shared" si="4"/>
        <v>0.43744870315107981</v>
      </c>
      <c r="L64" s="230">
        <f t="shared" si="5"/>
        <v>-4108317.3999999948</v>
      </c>
      <c r="M64" s="270">
        <f t="shared" si="6"/>
        <v>-23.750798970822558</v>
      </c>
      <c r="BY64" s="146"/>
      <c r="BZ64" s="146"/>
      <c r="CA64" s="145"/>
      <c r="CB64" s="145"/>
      <c r="CC64" s="145"/>
      <c r="CD64" s="142"/>
    </row>
    <row r="65" spans="2:82" ht="13.5" customHeight="1" thickTop="1">
      <c r="B65" s="80">
        <v>4611</v>
      </c>
      <c r="C65" s="97" t="str">
        <f>+'Central Budget'!C67</f>
        <v>Otplata hartija od vrijednosti i kredita rezidentima</v>
      </c>
      <c r="D65" s="238">
        <v>10275112.940000001</v>
      </c>
      <c r="E65" s="274">
        <f t="shared" si="1"/>
        <v>0.2445232845482021</v>
      </c>
      <c r="F65" s="323">
        <v>30000000</v>
      </c>
      <c r="G65" s="274">
        <f t="shared" si="0"/>
        <v>0.71392874991075883</v>
      </c>
      <c r="H65" s="239">
        <f t="shared" si="2"/>
        <v>-19724887.059999999</v>
      </c>
      <c r="I65" s="282">
        <f t="shared" si="3"/>
        <v>-65.749623533333335</v>
      </c>
      <c r="J65" s="238">
        <v>15077864.909999998</v>
      </c>
      <c r="K65" s="274">
        <f t="shared" si="4"/>
        <v>0.38131265262252789</v>
      </c>
      <c r="L65" s="239">
        <f t="shared" si="5"/>
        <v>-4802751.9699999969</v>
      </c>
      <c r="M65" s="282">
        <f t="shared" si="6"/>
        <v>-31.852997746482643</v>
      </c>
      <c r="BY65" s="146"/>
      <c r="BZ65" s="146"/>
      <c r="CA65" s="145"/>
      <c r="CB65" s="145"/>
      <c r="CC65" s="145"/>
      <c r="CD65" s="142"/>
    </row>
    <row r="66" spans="2:82" ht="12" customHeight="1">
      <c r="B66" s="80">
        <v>4612</v>
      </c>
      <c r="C66" s="97" t="str">
        <f>+'Central Budget'!C68</f>
        <v>Otplata hartija od vrijednosti i kredita nerezidentima</v>
      </c>
      <c r="D66" s="240">
        <v>2914166.2800000003</v>
      </c>
      <c r="E66" s="267">
        <f t="shared" si="1"/>
        <v>6.9350236310416216E-2</v>
      </c>
      <c r="F66" s="222">
        <v>3000000</v>
      </c>
      <c r="G66" s="267">
        <f t="shared" si="0"/>
        <v>7.1392874991075883E-2</v>
      </c>
      <c r="H66" s="223">
        <f t="shared" si="2"/>
        <v>-85833.719999999739</v>
      </c>
      <c r="I66" s="276">
        <f t="shared" si="3"/>
        <v>-2.8611239999999896</v>
      </c>
      <c r="J66" s="240">
        <v>2219731.71</v>
      </c>
      <c r="K66" s="267">
        <f t="shared" si="4"/>
        <v>5.6136050528551917E-2</v>
      </c>
      <c r="L66" s="223">
        <f t="shared" si="5"/>
        <v>694434.5700000003</v>
      </c>
      <c r="M66" s="276">
        <f t="shared" si="6"/>
        <v>31.284617274760649</v>
      </c>
      <c r="BY66" s="146"/>
      <c r="BZ66" s="146"/>
      <c r="CA66" s="145"/>
      <c r="CB66" s="145"/>
      <c r="CC66" s="145"/>
      <c r="CD66" s="142"/>
    </row>
    <row r="67" spans="2:82" ht="13.5" customHeight="1" thickBot="1">
      <c r="B67" s="80" t="s">
        <v>452</v>
      </c>
      <c r="C67" s="97" t="str">
        <f>+'Central Budget'!C61</f>
        <v>Otplata obaveza iz prethodnih godina</v>
      </c>
      <c r="D67" s="240">
        <v>0</v>
      </c>
      <c r="E67" s="267">
        <f t="shared" si="1"/>
        <v>0</v>
      </c>
      <c r="F67" s="309">
        <v>0</v>
      </c>
      <c r="G67" s="267">
        <f t="shared" si="0"/>
        <v>0</v>
      </c>
      <c r="H67" s="223">
        <f t="shared" si="2"/>
        <v>0</v>
      </c>
      <c r="I67" s="276" t="e">
        <f t="shared" si="3"/>
        <v>#DIV/0!</v>
      </c>
      <c r="J67" s="240">
        <v>0</v>
      </c>
      <c r="K67" s="267">
        <f t="shared" si="4"/>
        <v>0</v>
      </c>
      <c r="L67" s="223">
        <f t="shared" si="5"/>
        <v>0</v>
      </c>
      <c r="M67" s="276" t="e">
        <f t="shared" si="6"/>
        <v>#DIV/0!</v>
      </c>
      <c r="BY67" s="146"/>
      <c r="BZ67" s="146"/>
      <c r="CA67" s="145"/>
      <c r="CB67" s="145"/>
      <c r="CC67" s="145"/>
      <c r="CD67" s="142"/>
    </row>
    <row r="68" spans="2:82" ht="13.5" customHeight="1" thickTop="1" thickBot="1">
      <c r="C68" s="153" t="str">
        <f>+'Central Budget'!C70</f>
        <v>Nedostajuća sredstva</v>
      </c>
      <c r="D68" s="230">
        <f>+D61-D64</f>
        <v>-3393109.4499999024</v>
      </c>
      <c r="E68" s="270">
        <f t="shared" si="1"/>
        <v>-8.074794626496043E-2</v>
      </c>
      <c r="F68" s="230">
        <f>+F61-F64</f>
        <v>-37427421.131716371</v>
      </c>
      <c r="G68" s="270">
        <f t="shared" si="0"/>
        <v>-0.89068373269832624</v>
      </c>
      <c r="H68" s="230">
        <f t="shared" si="2"/>
        <v>34034311.681716472</v>
      </c>
      <c r="I68" s="270">
        <f t="shared" si="3"/>
        <v>-90.934161779250815</v>
      </c>
      <c r="J68" s="230">
        <f>+J62-J64</f>
        <v>-7112549.8000000194</v>
      </c>
      <c r="K68" s="296">
        <f t="shared" si="4"/>
        <v>-0.17987329421880582</v>
      </c>
      <c r="L68" s="230">
        <f t="shared" si="5"/>
        <v>3719440.350000117</v>
      </c>
      <c r="M68" s="270">
        <f t="shared" si="6"/>
        <v>-52.294050018463231</v>
      </c>
      <c r="BY68" s="146"/>
      <c r="BZ68" s="146"/>
      <c r="CA68" s="145"/>
      <c r="CB68" s="145"/>
      <c r="CC68" s="145"/>
      <c r="CD68" s="142"/>
    </row>
    <row r="69" spans="2:82" ht="13.5" customHeight="1" thickTop="1" thickBot="1">
      <c r="C69" s="153" t="str">
        <f>+'Central Budget'!C71</f>
        <v>Finansiranje</v>
      </c>
      <c r="D69" s="230">
        <f>+SUM(D70:D73)-D74</f>
        <v>3393109.4499999024</v>
      </c>
      <c r="E69" s="270">
        <f t="shared" si="1"/>
        <v>8.074794626496043E-2</v>
      </c>
      <c r="F69" s="230">
        <f>SUM(F70:F73)+F74</f>
        <v>37427421.131716371</v>
      </c>
      <c r="G69" s="270">
        <f t="shared" si="0"/>
        <v>0.89068373269832624</v>
      </c>
      <c r="H69" s="230">
        <f t="shared" si="2"/>
        <v>-34034311.681716472</v>
      </c>
      <c r="I69" s="270">
        <f t="shared" si="3"/>
        <v>-90.934161779250815</v>
      </c>
      <c r="J69" s="230">
        <f>+SUM(J70:J73)+J74</f>
        <v>7112549.8000000194</v>
      </c>
      <c r="K69" s="296">
        <f t="shared" si="4"/>
        <v>0.17987329421880582</v>
      </c>
      <c r="L69" s="230">
        <f t="shared" si="5"/>
        <v>-3719440.350000117</v>
      </c>
      <c r="M69" s="270">
        <f t="shared" si="6"/>
        <v>-52.294050018463231</v>
      </c>
      <c r="BY69" s="146"/>
      <c r="BZ69" s="146"/>
      <c r="CA69" s="145"/>
      <c r="CB69" s="145"/>
      <c r="CC69" s="145"/>
      <c r="CD69" s="142"/>
    </row>
    <row r="70" spans="2:82" ht="13.5" customHeight="1" thickTop="1">
      <c r="B70" s="80">
        <v>7511</v>
      </c>
      <c r="C70" s="97" t="str">
        <f>+'Central Budget'!C72</f>
        <v>Pozajmice i krediti od domaćih izvora</v>
      </c>
      <c r="D70" s="238">
        <v>4315187.05</v>
      </c>
      <c r="E70" s="274">
        <f t="shared" si="1"/>
        <v>0.10269120320791986</v>
      </c>
      <c r="F70" s="323">
        <v>10000000</v>
      </c>
      <c r="G70" s="274">
        <f t="shared" si="0"/>
        <v>0.23797624997025299</v>
      </c>
      <c r="H70" s="239">
        <f t="shared" si="2"/>
        <v>-5684812.9500000002</v>
      </c>
      <c r="I70" s="282">
        <f t="shared" si="3"/>
        <v>-56.848129499999999</v>
      </c>
      <c r="J70" s="238">
        <v>11428013.42</v>
      </c>
      <c r="K70" s="274">
        <f t="shared" si="4"/>
        <v>0.28900949420868949</v>
      </c>
      <c r="L70" s="239">
        <f t="shared" si="5"/>
        <v>-7112826.3700000001</v>
      </c>
      <c r="M70" s="282">
        <f t="shared" si="6"/>
        <v>-62.240269665346617</v>
      </c>
      <c r="BY70" s="146"/>
      <c r="BZ70" s="146"/>
      <c r="CA70" s="145"/>
      <c r="CB70" s="145"/>
      <c r="CC70" s="145"/>
      <c r="CD70" s="142"/>
    </row>
    <row r="71" spans="2:82" ht="13.5" customHeight="1">
      <c r="B71" s="80">
        <v>7512</v>
      </c>
      <c r="C71" s="97" t="str">
        <f>+'Central Budget'!C73</f>
        <v>Pozajmice i krediti od inostranih izvora</v>
      </c>
      <c r="D71" s="240">
        <v>572822.44999999995</v>
      </c>
      <c r="E71" s="267">
        <f t="shared" si="1"/>
        <v>1.3631813854977273E-2</v>
      </c>
      <c r="F71" s="222">
        <v>9000000</v>
      </c>
      <c r="G71" s="267">
        <f t="shared" si="0"/>
        <v>0.21417862497322768</v>
      </c>
      <c r="H71" s="223">
        <f t="shared" si="2"/>
        <v>-8427177.5500000007</v>
      </c>
      <c r="I71" s="276">
        <f t="shared" si="3"/>
        <v>-93.635306111111106</v>
      </c>
      <c r="J71" s="240">
        <v>200100</v>
      </c>
      <c r="K71" s="267">
        <f t="shared" si="4"/>
        <v>5.0604420616053823E-3</v>
      </c>
      <c r="L71" s="223">
        <f t="shared" si="5"/>
        <v>372722.44999999995</v>
      </c>
      <c r="M71" s="298">
        <f t="shared" si="6"/>
        <v>186.26809095452273</v>
      </c>
      <c r="BY71" s="146"/>
      <c r="BZ71" s="146"/>
      <c r="CA71" s="145"/>
      <c r="CB71" s="145"/>
      <c r="CC71" s="145"/>
      <c r="CD71" s="142"/>
    </row>
    <row r="72" spans="2:82" ht="13.5" customHeight="1" thickBot="1">
      <c r="B72" s="80">
        <v>72</v>
      </c>
      <c r="C72" s="103" t="str">
        <f>+'Central Budget'!C74</f>
        <v>Primici od prodaje imovine</v>
      </c>
      <c r="D72" s="240">
        <v>3081682.36</v>
      </c>
      <c r="E72" s="267">
        <f t="shared" si="1"/>
        <v>7.3336721163227911E-2</v>
      </c>
      <c r="F72" s="222">
        <v>5000000</v>
      </c>
      <c r="G72" s="267">
        <f t="shared" si="0"/>
        <v>0.11898812498512649</v>
      </c>
      <c r="H72" s="223">
        <f t="shared" si="2"/>
        <v>-1918317.6400000001</v>
      </c>
      <c r="I72" s="276">
        <f t="shared" si="3"/>
        <v>-38.366352800000001</v>
      </c>
      <c r="J72" s="240">
        <v>6912274.6999999993</v>
      </c>
      <c r="K72" s="267">
        <f t="shared" si="4"/>
        <v>0.17480842395427645</v>
      </c>
      <c r="L72" s="223">
        <f t="shared" si="5"/>
        <v>-3830592.3399999994</v>
      </c>
      <c r="M72" s="276">
        <f t="shared" si="6"/>
        <v>-55.417246944772025</v>
      </c>
      <c r="BY72" s="146"/>
      <c r="BZ72" s="146"/>
      <c r="CA72" s="145"/>
      <c r="CB72" s="145"/>
      <c r="CC72" s="145"/>
      <c r="CD72" s="142"/>
    </row>
    <row r="73" spans="2:82" ht="13.5" customHeight="1" thickTop="1" thickBot="1">
      <c r="C73" s="148" t="str">
        <f>+'Central Budget'!C75</f>
        <v>Povećanje / smanjenje depozita</v>
      </c>
      <c r="D73" s="149">
        <f>-D68-SUM(D70:D72)+D74</f>
        <v>-942474.05000009667</v>
      </c>
      <c r="E73" s="249">
        <f t="shared" si="1"/>
        <v>-2.2428644011329969E-2</v>
      </c>
      <c r="F73" s="149">
        <f>-F68-SUM(F70:F72)-F74</f>
        <v>10427421.131716371</v>
      </c>
      <c r="G73" s="249">
        <f t="shared" si="0"/>
        <v>0.24814785777864329</v>
      </c>
      <c r="H73" s="206">
        <f t="shared" si="2"/>
        <v>-11369895.181716468</v>
      </c>
      <c r="I73" s="264">
        <f t="shared" si="3"/>
        <v>-109.03841935695336</v>
      </c>
      <c r="J73" s="163">
        <f>-J68-SUM(J70:J72)-J74</f>
        <v>-13175605.129999978</v>
      </c>
      <c r="K73" s="297">
        <f t="shared" si="4"/>
        <v>-0.33320532927014257</v>
      </c>
      <c r="L73" s="206">
        <f t="shared" si="5"/>
        <v>12233131.079999883</v>
      </c>
      <c r="M73" s="264">
        <f t="shared" si="6"/>
        <v>-92.846825320727419</v>
      </c>
      <c r="BY73" s="146"/>
      <c r="BZ73" s="146"/>
      <c r="CA73" s="145"/>
      <c r="CB73" s="145"/>
      <c r="CC73" s="145"/>
      <c r="CD73" s="142"/>
    </row>
    <row r="74" spans="2:82" ht="13.5" customHeight="1" thickTop="1" thickBot="1">
      <c r="B74" s="80">
        <v>999</v>
      </c>
      <c r="C74" s="153" t="s">
        <v>460</v>
      </c>
      <c r="D74" s="231">
        <v>3634108.3600000003</v>
      </c>
      <c r="E74" s="270">
        <f t="shared" si="1"/>
        <v>8.648314794983461E-2</v>
      </c>
      <c r="F74" s="219">
        <v>3000000</v>
      </c>
      <c r="G74" s="270">
        <f>+F74/$D$11*100</f>
        <v>7.1392874991075883E-2</v>
      </c>
      <c r="H74" s="230">
        <f t="shared" si="2"/>
        <v>634108.36000000034</v>
      </c>
      <c r="I74" s="270">
        <f t="shared" si="3"/>
        <v>21.136945333333344</v>
      </c>
      <c r="J74" s="325">
        <v>1747766.81</v>
      </c>
      <c r="K74" s="296">
        <f t="shared" si="4"/>
        <v>4.4200263264377121E-2</v>
      </c>
      <c r="L74" s="230">
        <f t="shared" si="5"/>
        <v>1886341.5500000003</v>
      </c>
      <c r="M74" s="270">
        <f t="shared" si="6"/>
        <v>107.92867442081703</v>
      </c>
      <c r="N74" s="214"/>
      <c r="BY74" s="146"/>
      <c r="BZ74" s="146"/>
      <c r="CA74" s="145"/>
      <c r="CB74" s="145"/>
      <c r="CC74" s="145"/>
      <c r="CD74" s="142"/>
    </row>
    <row r="75" spans="2:82" ht="13.5" thickTop="1">
      <c r="C75" s="106" t="str">
        <f>IF(MasterSheet!$A$1=1,MasterSheet!C151,MasterSheet!B151)</f>
        <v>Izvor: Ministarstvo finansija Crne Gore</v>
      </c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O75" s="81"/>
    </row>
    <row r="76" spans="2:82" ht="15">
      <c r="C76" s="105"/>
      <c r="D76" s="105"/>
      <c r="E76" s="105"/>
      <c r="F76" s="107"/>
      <c r="G76" s="105"/>
      <c r="H76" s="105"/>
      <c r="I76" s="105"/>
      <c r="J76" s="105"/>
      <c r="K76" s="310"/>
      <c r="L76" s="105"/>
      <c r="M76" s="105"/>
      <c r="O76" s="81"/>
    </row>
    <row r="77" spans="2:82">
      <c r="D77" s="240"/>
      <c r="E77" s="134"/>
      <c r="F77" s="315"/>
      <c r="G77" s="134"/>
      <c r="H77" s="134"/>
      <c r="I77" s="134"/>
      <c r="J77" s="134"/>
      <c r="K77" s="134"/>
      <c r="L77" s="134"/>
      <c r="M77" s="134"/>
    </row>
    <row r="78" spans="2:82">
      <c r="D78" s="133"/>
      <c r="E78" s="134"/>
      <c r="F78" s="134"/>
      <c r="G78" s="134"/>
      <c r="H78" s="134"/>
      <c r="I78" s="134"/>
      <c r="J78" s="134"/>
      <c r="K78" s="134"/>
      <c r="L78" s="134"/>
      <c r="M78" s="134"/>
    </row>
    <row r="79" spans="2:82"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</row>
    <row r="80" spans="2:82">
      <c r="E80" s="134"/>
      <c r="F80" s="134"/>
      <c r="G80" s="134"/>
      <c r="H80" s="134"/>
      <c r="I80" s="134"/>
      <c r="J80" s="134"/>
      <c r="K80" s="134"/>
      <c r="L80" s="134"/>
      <c r="M80" s="134"/>
    </row>
    <row r="81" spans="5:13">
      <c r="E81" s="134"/>
      <c r="F81" s="134"/>
      <c r="G81" s="134"/>
      <c r="H81" s="134"/>
      <c r="I81" s="134"/>
      <c r="J81" s="134"/>
      <c r="K81" s="134"/>
      <c r="L81" s="134"/>
      <c r="M81" s="134"/>
    </row>
    <row r="82" spans="5:13">
      <c r="E82" s="134"/>
      <c r="F82" s="134"/>
      <c r="G82" s="134"/>
      <c r="H82" s="134"/>
      <c r="I82" s="134"/>
      <c r="J82" s="134"/>
      <c r="K82" s="134"/>
      <c r="L82" s="134"/>
      <c r="M82" s="134"/>
    </row>
    <row r="83" spans="5:13">
      <c r="E83" s="134"/>
      <c r="F83" s="134"/>
      <c r="G83" s="134"/>
      <c r="H83" s="134"/>
      <c r="I83" s="134"/>
      <c r="J83" s="134"/>
      <c r="K83" s="134"/>
      <c r="L83" s="134"/>
      <c r="M83" s="134"/>
    </row>
    <row r="84" spans="5:13">
      <c r="E84" s="134"/>
      <c r="F84" s="134"/>
      <c r="G84" s="134"/>
      <c r="H84" s="134"/>
      <c r="I84" s="134"/>
      <c r="J84" s="134"/>
      <c r="K84" s="134"/>
      <c r="L84" s="134"/>
      <c r="M84" s="134"/>
    </row>
    <row r="85" spans="5:13">
      <c r="E85" s="134"/>
      <c r="F85" s="134"/>
      <c r="G85" s="134"/>
      <c r="H85" s="134"/>
      <c r="I85" s="134"/>
      <c r="J85" s="134"/>
      <c r="K85" s="134"/>
      <c r="L85" s="134"/>
      <c r="M85" s="134"/>
    </row>
    <row r="86" spans="5:13">
      <c r="E86" s="134"/>
      <c r="F86" s="134"/>
      <c r="G86" s="134"/>
      <c r="H86" s="134"/>
      <c r="I86" s="134"/>
      <c r="J86" s="134"/>
      <c r="K86" s="134"/>
      <c r="L86" s="134"/>
      <c r="M86" s="134"/>
    </row>
    <row r="87" spans="5:13">
      <c r="E87" s="134"/>
      <c r="F87" s="134"/>
      <c r="G87" s="134"/>
      <c r="H87" s="134"/>
      <c r="I87" s="134"/>
      <c r="J87" s="134"/>
      <c r="K87" s="134"/>
      <c r="L87" s="134"/>
      <c r="M87" s="134"/>
    </row>
    <row r="88" spans="5:13">
      <c r="E88" s="134"/>
      <c r="F88" s="134"/>
      <c r="G88" s="134"/>
      <c r="H88" s="134"/>
      <c r="I88" s="134"/>
      <c r="J88" s="134"/>
      <c r="K88" s="134"/>
      <c r="L88" s="134"/>
      <c r="M88" s="134"/>
    </row>
    <row r="89" spans="5:13">
      <c r="E89" s="134"/>
      <c r="F89" s="134"/>
      <c r="G89" s="134"/>
      <c r="H89" s="134"/>
      <c r="I89" s="134"/>
      <c r="J89" s="134"/>
      <c r="K89" s="134"/>
      <c r="L89" s="134"/>
      <c r="M89" s="134"/>
    </row>
    <row r="90" spans="5:13">
      <c r="E90" s="134"/>
      <c r="F90" s="134"/>
      <c r="G90" s="134"/>
      <c r="H90" s="134"/>
      <c r="I90" s="134"/>
      <c r="J90" s="134"/>
      <c r="K90" s="134"/>
      <c r="L90" s="134"/>
      <c r="M90" s="134"/>
    </row>
    <row r="91" spans="5:13">
      <c r="E91" s="134"/>
      <c r="F91" s="134"/>
      <c r="G91" s="134"/>
      <c r="H91" s="134"/>
      <c r="I91" s="134"/>
      <c r="J91" s="134"/>
      <c r="K91" s="134"/>
      <c r="L91" s="134"/>
      <c r="M91" s="134"/>
    </row>
  </sheetData>
  <sheetProtection formatCells="0" formatColumns="0" formatRows="0" sort="0" autoFilter="0"/>
  <mergeCells count="12">
    <mergeCell ref="C14:C15"/>
    <mergeCell ref="D14:E14"/>
    <mergeCell ref="F14:G14"/>
    <mergeCell ref="H14:I14"/>
    <mergeCell ref="J14:K14"/>
    <mergeCell ref="L14:M14"/>
    <mergeCell ref="H11:I11"/>
    <mergeCell ref="L11:M11"/>
    <mergeCell ref="D11:G11"/>
    <mergeCell ref="D13:E13"/>
    <mergeCell ref="J13:K13"/>
    <mergeCell ref="J11:K11"/>
  </mergeCells>
  <printOptions horizontalCentered="1" verticalCentered="1"/>
  <pageMargins left="0" right="0" top="0.19685039370078741" bottom="0.19685039370078741" header="0" footer="0"/>
  <pageSetup paperSize="9" scale="1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09" r:id="rId4" name="List Box 1">
              <controlPr defaultSize="0" autoLine="0" autoPict="0">
                <anchor moveWithCells="1">
                  <from>
                    <xdr:col>0</xdr:col>
                    <xdr:colOff>9525</xdr:colOff>
                    <xdr:row>0</xdr:row>
                    <xdr:rowOff>0</xdr:rowOff>
                  </from>
                  <to>
                    <xdr:col>2</xdr:col>
                    <xdr:colOff>1000125</xdr:colOff>
                    <xdr:row>9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CJ93"/>
  <sheetViews>
    <sheetView topLeftCell="C39" zoomScaleNormal="100" workbookViewId="0">
      <selection activeCell="C64" sqref="C64"/>
    </sheetView>
  </sheetViews>
  <sheetFormatPr defaultColWidth="9.140625" defaultRowHeight="12.75"/>
  <cols>
    <col min="1" max="2" width="9.140625" style="80" customWidth="1"/>
    <col min="3" max="3" width="38.140625" style="80" customWidth="1"/>
    <col min="4" max="4" width="11.5703125" style="80" customWidth="1"/>
    <col min="5" max="5" width="7.7109375" style="80" customWidth="1"/>
    <col min="6" max="6" width="9.5703125" style="80" customWidth="1"/>
    <col min="7" max="9" width="7.7109375" style="80" customWidth="1"/>
    <col min="10" max="10" width="10" style="80" customWidth="1"/>
    <col min="11" max="13" width="7.7109375" style="80" customWidth="1"/>
    <col min="14" max="14" width="15" style="80" hidden="1" customWidth="1"/>
    <col min="15" max="15" width="12" style="80" hidden="1" customWidth="1"/>
    <col min="16" max="16" width="14" style="80" customWidth="1"/>
    <col min="17" max="17" width="14" style="80" hidden="1" customWidth="1"/>
    <col min="18" max="18" width="12.7109375" style="80" hidden="1" customWidth="1"/>
    <col min="19" max="34" width="9.140625" style="80" hidden="1" customWidth="1"/>
    <col min="35" max="35" width="13.7109375" style="80" customWidth="1"/>
    <col min="36" max="36" width="11.5703125" style="80" customWidth="1"/>
    <col min="37" max="80" width="9.140625" style="80" customWidth="1"/>
    <col min="81" max="81" width="9.140625" style="80"/>
    <col min="82" max="82" width="15.42578125" style="80" customWidth="1"/>
    <col min="83" max="83" width="12.7109375" style="80" customWidth="1"/>
    <col min="84" max="84" width="11.85546875" style="80" customWidth="1"/>
    <col min="85" max="16384" width="9.140625" style="80"/>
  </cols>
  <sheetData>
    <row r="1" spans="2:80" s="135" customFormat="1" ht="15" customHeight="1">
      <c r="C1" s="132"/>
      <c r="D1" s="108">
        <v>3</v>
      </c>
      <c r="E1" s="108">
        <v>4</v>
      </c>
      <c r="F1" s="108">
        <v>5</v>
      </c>
      <c r="G1" s="108">
        <v>6</v>
      </c>
      <c r="H1" s="108">
        <v>7</v>
      </c>
      <c r="I1" s="108">
        <v>8</v>
      </c>
      <c r="J1" s="108">
        <v>9</v>
      </c>
      <c r="K1" s="108">
        <v>10</v>
      </c>
      <c r="L1" s="108">
        <v>11</v>
      </c>
      <c r="M1" s="108">
        <v>12</v>
      </c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</row>
    <row r="2" spans="2:80" ht="15" hidden="1" customHeight="1"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</row>
    <row r="3" spans="2:80" ht="15" hidden="1" customHeight="1"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</row>
    <row r="4" spans="2:80" ht="15" hidden="1" customHeight="1">
      <c r="C4" s="81"/>
      <c r="D4" s="82"/>
      <c r="E4" s="82"/>
      <c r="F4" s="82"/>
      <c r="G4" s="82"/>
      <c r="H4" s="82"/>
      <c r="I4" s="82"/>
      <c r="J4" s="82"/>
      <c r="K4" s="82"/>
      <c r="L4" s="82"/>
      <c r="M4" s="82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</row>
    <row r="5" spans="2:80" ht="15" hidden="1" customHeight="1">
      <c r="C5" s="81"/>
      <c r="D5" s="82"/>
      <c r="E5" s="82"/>
      <c r="F5" s="82"/>
      <c r="G5" s="82"/>
      <c r="H5" s="82"/>
      <c r="I5" s="82"/>
      <c r="J5" s="82"/>
      <c r="K5" s="82"/>
      <c r="L5" s="82"/>
      <c r="M5" s="82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</row>
    <row r="6" spans="2:80" ht="15" hidden="1" customHeight="1">
      <c r="C6" s="81"/>
      <c r="D6" s="82"/>
      <c r="E6" s="82"/>
      <c r="F6" s="82"/>
      <c r="G6" s="82"/>
      <c r="H6" s="82"/>
      <c r="I6" s="82"/>
      <c r="J6" s="82"/>
      <c r="K6" s="82"/>
      <c r="L6" s="82"/>
      <c r="M6" s="82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</row>
    <row r="7" spans="2:80" ht="15" hidden="1" customHeight="1">
      <c r="C7" s="81"/>
      <c r="D7" s="82"/>
      <c r="E7" s="82"/>
      <c r="F7" s="82"/>
      <c r="G7" s="82"/>
      <c r="H7" s="82"/>
      <c r="I7" s="82"/>
      <c r="J7" s="82"/>
      <c r="K7" s="82"/>
      <c r="L7" s="82"/>
      <c r="M7" s="82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</row>
    <row r="8" spans="2:80" ht="15" hidden="1" customHeight="1">
      <c r="C8" s="81"/>
      <c r="D8" s="82"/>
      <c r="E8" s="82"/>
      <c r="F8" s="82"/>
      <c r="G8" s="82"/>
      <c r="H8" s="82"/>
      <c r="I8" s="82"/>
      <c r="J8" s="82"/>
      <c r="K8" s="82"/>
      <c r="L8" s="82"/>
      <c r="M8" s="82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</row>
    <row r="9" spans="2:80" ht="15" hidden="1" customHeight="1">
      <c r="C9" s="81"/>
      <c r="D9" s="82"/>
      <c r="E9" s="82"/>
      <c r="F9" s="82"/>
      <c r="G9" s="82"/>
      <c r="H9" s="82"/>
      <c r="I9" s="82"/>
      <c r="J9" s="82"/>
      <c r="K9" s="82"/>
      <c r="L9" s="82"/>
      <c r="M9" s="82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</row>
    <row r="10" spans="2:80" ht="15" customHeight="1" thickBot="1"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</row>
    <row r="11" spans="2:80" ht="18.75" customHeight="1" thickTop="1" thickBot="1">
      <c r="C11" s="167" t="str">
        <f>IF(MasterSheet!$A$1=1,MasterSheet!B67,MasterSheet!B66)</f>
        <v>BDP (u mil. €)</v>
      </c>
      <c r="D11" s="361">
        <f>+'Central Budget'!D11:K11</f>
        <v>4202100000</v>
      </c>
      <c r="E11" s="362"/>
      <c r="F11" s="362"/>
      <c r="G11" s="363"/>
      <c r="H11" s="350"/>
      <c r="I11" s="351"/>
      <c r="J11" s="369">
        <f>+'Central Budget'!N11</f>
        <v>3954200000</v>
      </c>
      <c r="K11" s="370"/>
      <c r="L11" s="350"/>
      <c r="M11" s="352"/>
      <c r="N11" s="204"/>
      <c r="O11" s="81"/>
      <c r="P11" s="210"/>
      <c r="Q11" s="210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</row>
    <row r="12" spans="2:80" ht="19.5" customHeight="1" thickTop="1">
      <c r="C12" s="174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4"/>
      <c r="O12" s="81"/>
      <c r="P12" s="210"/>
      <c r="Q12" s="210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</row>
    <row r="13" spans="2:80" ht="27" customHeight="1" thickBot="1">
      <c r="B13" s="85"/>
      <c r="C13" s="175"/>
      <c r="D13" s="356"/>
      <c r="E13" s="356"/>
      <c r="F13" s="86"/>
      <c r="G13" s="86"/>
      <c r="H13" s="86"/>
      <c r="I13" s="86"/>
      <c r="J13" s="368"/>
      <c r="K13" s="368"/>
      <c r="L13" s="86"/>
      <c r="M13" s="86"/>
      <c r="N13" s="84"/>
      <c r="O13" s="136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</row>
    <row r="14" spans="2:80" ht="15.75" customHeight="1" thickTop="1">
      <c r="B14" s="87"/>
      <c r="C14" s="364" t="s">
        <v>234</v>
      </c>
      <c r="D14" s="366" t="s">
        <v>479</v>
      </c>
      <c r="E14" s="367"/>
      <c r="F14" s="366" t="s">
        <v>482</v>
      </c>
      <c r="G14" s="367"/>
      <c r="H14" s="366" t="s">
        <v>448</v>
      </c>
      <c r="I14" s="367"/>
      <c r="J14" s="366" t="s">
        <v>467</v>
      </c>
      <c r="K14" s="367"/>
      <c r="L14" s="366" t="str">
        <f>+H14</f>
        <v>Odstupanje</v>
      </c>
      <c r="M14" s="367"/>
      <c r="O14" s="99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</row>
    <row r="15" spans="2:80" ht="15" customHeight="1" thickBot="1">
      <c r="C15" s="365" t="str">
        <f>IF(MasterSheet!$A$1=1,MasterSheet!B71,MasterSheet!B70)</f>
        <v>Budžet Crne Gore</v>
      </c>
      <c r="D15" s="168" t="str">
        <f>IF(MasterSheet!$A$1=1,MasterSheet!C71,MasterSheet!C70)</f>
        <v>mil. €</v>
      </c>
      <c r="E15" s="169" t="str">
        <f>IF(MasterSheet!$A$1=1,MasterSheet!D71,MasterSheet!D70)</f>
        <v>% BDP</v>
      </c>
      <c r="F15" s="170" t="str">
        <f>IF(MasterSheet!$A$1=1,MasterSheet!E71,MasterSheet!E70)</f>
        <v>mil. €</v>
      </c>
      <c r="G15" s="171" t="str">
        <f>IF(MasterSheet!$A$1=1,MasterSheet!F71,MasterSheet!F70)</f>
        <v>% BDP</v>
      </c>
      <c r="H15" s="172" t="str">
        <f>IF(MasterSheet!$A$1=1,MasterSheet!G71,MasterSheet!G70)</f>
        <v>mil. €</v>
      </c>
      <c r="I15" s="171" t="s">
        <v>441</v>
      </c>
      <c r="J15" s="168" t="str">
        <f>IF(MasterSheet!$A$1=1,MasterSheet!I71,MasterSheet!I70)</f>
        <v>mil. €</v>
      </c>
      <c r="K15" s="170" t="str">
        <f>IF(MasterSheet!$A$1=1,MasterSheet!J71,MasterSheet!J70)</f>
        <v>% BDP</v>
      </c>
      <c r="L15" s="168" t="str">
        <f>IF(MasterSheet!$A$1=1,MasterSheet!K71,MasterSheet!K70)</f>
        <v>mil. €</v>
      </c>
      <c r="M15" s="169" t="s">
        <v>441</v>
      </c>
      <c r="O15" s="99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</row>
    <row r="16" spans="2:80" ht="15" customHeight="1" thickTop="1" thickBot="1">
      <c r="C16" s="178" t="str">
        <f>IF(MasterSheet!$A$1=1,MasterSheet!C72,MasterSheet!B72)</f>
        <v>Izvorni prihodi</v>
      </c>
      <c r="D16" s="176">
        <f>D17+D26+D31+D32+D33+D34+D35</f>
        <v>1785041971.0599999</v>
      </c>
      <c r="E16" s="283">
        <f t="shared" ref="E16:E74" si="0">D16/D$11*100</f>
        <v>42.479759431236765</v>
      </c>
      <c r="F16" s="176">
        <f>F17+F26+F31+F32+F33+F34+F35</f>
        <v>1786437018.9661112</v>
      </c>
      <c r="G16" s="283">
        <f>F16/D$11*100</f>
        <v>42.512958258159287</v>
      </c>
      <c r="H16" s="176">
        <f>+D16-F16</f>
        <v>-1395047.9061112404</v>
      </c>
      <c r="I16" s="283">
        <f>+D16/F16*100-100</f>
        <v>-7.8091076892178535E-2</v>
      </c>
      <c r="J16" s="176">
        <f>J17+J26+J31+J32+J33+J34+J35</f>
        <v>1684248684.9300003</v>
      </c>
      <c r="K16" s="283">
        <f t="shared" ref="K16:K74" si="1">J16/J$11*100</f>
        <v>42.593917478377428</v>
      </c>
      <c r="L16" s="176">
        <f>+D16-J16</f>
        <v>100793286.12999964</v>
      </c>
      <c r="M16" s="283">
        <f>+D16/J16*100-100</f>
        <v>5.9844657758594906</v>
      </c>
      <c r="N16" s="80">
        <f>'Central Budget'!D16+'Local Government'!D16</f>
        <v>1785041971.0600002</v>
      </c>
      <c r="O16" s="307">
        <f>N16-D16</f>
        <v>0</v>
      </c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213"/>
      <c r="AJ16" s="213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</row>
    <row r="17" spans="2:85" ht="15" customHeight="1" thickTop="1">
      <c r="B17" s="80">
        <v>711</v>
      </c>
      <c r="C17" s="93" t="str">
        <f>IF(MasterSheet!$A$1=1,MasterSheet!C73,MasterSheet!B73)</f>
        <v>Porezi</v>
      </c>
      <c r="D17" s="154">
        <f>SUM(D18:D25)</f>
        <v>1104352042.8699999</v>
      </c>
      <c r="E17" s="284">
        <f t="shared" si="0"/>
        <v>26.280955780919061</v>
      </c>
      <c r="F17" s="154">
        <f>SUM(F18:F25)</f>
        <v>1104596309.5618575</v>
      </c>
      <c r="G17" s="284">
        <f t="shared" ref="G17:G74" si="2">F17/D$11*100</f>
        <v>26.286768748051152</v>
      </c>
      <c r="H17" s="207">
        <f t="shared" ref="H17:H74" si="3">+D17-F17</f>
        <v>-244266.69185757637</v>
      </c>
      <c r="I17" s="290">
        <f t="shared" ref="I17:I74" si="4">+D17/F17*100-100</f>
        <v>-2.2113661773360604E-2</v>
      </c>
      <c r="J17" s="154">
        <f>SUM(J18:J25)</f>
        <v>1012752250.3000001</v>
      </c>
      <c r="K17" s="284">
        <f t="shared" si="1"/>
        <v>25.612064394820699</v>
      </c>
      <c r="L17" s="207">
        <f t="shared" ref="L17:L74" si="5">+D17-J17</f>
        <v>91599792.569999814</v>
      </c>
      <c r="M17" s="292">
        <f t="shared" ref="M17:M74" si="6">+D17/J17*100-100</f>
        <v>9.0446397470719972</v>
      </c>
      <c r="N17" s="218">
        <f>'Central Budget'!D17+'Local Government'!D17</f>
        <v>1104352042.8700001</v>
      </c>
      <c r="O17" s="99">
        <f>N17-D17</f>
        <v>0</v>
      </c>
      <c r="P17" s="81"/>
      <c r="Q17" s="81"/>
      <c r="R17" s="81"/>
      <c r="S17" s="210"/>
      <c r="T17" s="210"/>
      <c r="U17" s="210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</row>
    <row r="18" spans="2:85" ht="15" customHeight="1">
      <c r="B18" s="80">
        <v>7111</v>
      </c>
      <c r="C18" s="97" t="str">
        <f>IF(MasterSheet!$A$1=1,MasterSheet!C74,MasterSheet!B74)</f>
        <v>Porez na dohodak fizičkih lica</v>
      </c>
      <c r="D18" s="156">
        <f>+'Central Budget'!D18+'Local Government'!D18</f>
        <v>145621214.5</v>
      </c>
      <c r="E18" s="285">
        <f t="shared" si="0"/>
        <v>3.465439054282383</v>
      </c>
      <c r="F18" s="156">
        <f>+'Central Budget'!F18+'Local Government'!F18</f>
        <v>153322235.0752399</v>
      </c>
      <c r="G18" s="285">
        <f t="shared" si="2"/>
        <v>3.6487050540263173</v>
      </c>
      <c r="H18" s="208">
        <f t="shared" si="3"/>
        <v>-7701020.5752398968</v>
      </c>
      <c r="I18" s="291">
        <f t="shared" si="4"/>
        <v>-5.0227682706691468</v>
      </c>
      <c r="J18" s="156">
        <f>'Central Budget'!N18+'Local Government'!J18</f>
        <v>160048107.97000003</v>
      </c>
      <c r="K18" s="285">
        <f t="shared" si="1"/>
        <v>4.0475471137018877</v>
      </c>
      <c r="L18" s="208">
        <f t="shared" si="5"/>
        <v>-14426893.470000029</v>
      </c>
      <c r="M18" s="291">
        <f t="shared" si="6"/>
        <v>-9.0140981064919856</v>
      </c>
      <c r="N18" s="80">
        <f>'Central Budget'!D18+'Local Government'!D18</f>
        <v>145621214.5</v>
      </c>
      <c r="O18" s="99">
        <f>N18-D18</f>
        <v>0</v>
      </c>
      <c r="P18" s="81"/>
      <c r="Q18" s="81"/>
      <c r="R18" s="81"/>
      <c r="S18" s="210"/>
      <c r="T18" s="210"/>
      <c r="U18" s="210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</row>
    <row r="19" spans="2:85" ht="15" customHeight="1">
      <c r="B19" s="80">
        <v>7112</v>
      </c>
      <c r="C19" s="97" t="str">
        <f>IF(MasterSheet!$A$1=1,MasterSheet!C75,MasterSheet!B75)</f>
        <v>Porez na dobit pravnih lica</v>
      </c>
      <c r="D19" s="156">
        <f>+'Central Budget'!D19</f>
        <v>49228502.210000001</v>
      </c>
      <c r="E19" s="285">
        <f t="shared" si="0"/>
        <v>1.171521434758811</v>
      </c>
      <c r="F19" s="156">
        <f>+'Central Budget'!F19</f>
        <v>48749246.08178103</v>
      </c>
      <c r="G19" s="285">
        <f t="shared" si="2"/>
        <v>1.1601162771419298</v>
      </c>
      <c r="H19" s="208">
        <f t="shared" si="3"/>
        <v>479256.12821897119</v>
      </c>
      <c r="I19" s="291">
        <f t="shared" si="4"/>
        <v>0.98310469748594187</v>
      </c>
      <c r="J19" s="156">
        <f>'Central Budget'!N19</f>
        <v>45254590.029999994</v>
      </c>
      <c r="K19" s="285">
        <f t="shared" si="1"/>
        <v>1.1444689198826563</v>
      </c>
      <c r="L19" s="208">
        <f t="shared" si="5"/>
        <v>3973912.1800000072</v>
      </c>
      <c r="M19" s="291">
        <f t="shared" si="6"/>
        <v>8.7812356213273262</v>
      </c>
      <c r="N19" s="80">
        <f>'Central Budget'!D19</f>
        <v>49228502.210000001</v>
      </c>
      <c r="O19" s="99">
        <f t="shared" ref="O19:O35" si="7">N19-D19</f>
        <v>0</v>
      </c>
      <c r="P19" s="137"/>
      <c r="Q19" s="137"/>
      <c r="R19" s="137"/>
      <c r="S19" s="211"/>
      <c r="T19" s="212"/>
      <c r="U19" s="212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9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D19" s="81"/>
    </row>
    <row r="20" spans="2:85" ht="15" customHeight="1">
      <c r="B20" s="80">
        <v>7113</v>
      </c>
      <c r="C20" s="97" t="str">
        <f>IF(MasterSheet!$A$1=1,MasterSheet!C76,MasterSheet!B76)</f>
        <v>Porez na promet nepokretnosti</v>
      </c>
      <c r="D20" s="156">
        <f>+'Central Budget'!D20+'Local Government'!D19</f>
        <v>15174414.339999996</v>
      </c>
      <c r="E20" s="285">
        <f t="shared" si="0"/>
        <v>0.36111502201280304</v>
      </c>
      <c r="F20" s="156">
        <f>+'Central Budget'!F20+'Local Government'!F19</f>
        <v>13771931.918877389</v>
      </c>
      <c r="G20" s="285">
        <f t="shared" si="2"/>
        <v>0.32773927129000713</v>
      </c>
      <c r="H20" s="208">
        <f t="shared" si="3"/>
        <v>1402482.4211226068</v>
      </c>
      <c r="I20" s="291">
        <f t="shared" si="4"/>
        <v>10.183628770341244</v>
      </c>
      <c r="J20" s="156">
        <f>'Central Budget'!N20+'Local Government'!J19</f>
        <v>13227449.570000002</v>
      </c>
      <c r="K20" s="285">
        <f t="shared" si="1"/>
        <v>0.33451645263264385</v>
      </c>
      <c r="L20" s="208">
        <f t="shared" si="5"/>
        <v>1946964.769999994</v>
      </c>
      <c r="M20" s="291">
        <f t="shared" si="6"/>
        <v>14.719124497104346</v>
      </c>
      <c r="N20" s="80">
        <f>'Central Budget'!D20+'Local Government'!D19</f>
        <v>15174414.339999996</v>
      </c>
      <c r="O20" s="99">
        <f t="shared" si="7"/>
        <v>0</v>
      </c>
      <c r="P20" s="137"/>
      <c r="Q20" s="137"/>
      <c r="R20" s="137"/>
      <c r="S20" s="137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9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</row>
    <row r="21" spans="2:85" ht="15" customHeight="1">
      <c r="B21" s="80">
        <v>7114</v>
      </c>
      <c r="C21" s="97" t="str">
        <f>IF(MasterSheet!$A$1=1,MasterSheet!C77,MasterSheet!B77)</f>
        <v>Porez na dodatu vrijednost</v>
      </c>
      <c r="D21" s="156">
        <f>+'Central Budget'!D21</f>
        <v>548710516.46000004</v>
      </c>
      <c r="E21" s="285">
        <f t="shared" si="0"/>
        <v>13.058007102639158</v>
      </c>
      <c r="F21" s="156">
        <f>+'Central Budget'!F21</f>
        <v>550461561.20703423</v>
      </c>
      <c r="G21" s="285">
        <f t="shared" si="2"/>
        <v>13.099677808882088</v>
      </c>
      <c r="H21" s="208">
        <f t="shared" si="3"/>
        <v>-1751044.7470341921</v>
      </c>
      <c r="I21" s="291">
        <f t="shared" si="4"/>
        <v>-0.31810481792670942</v>
      </c>
      <c r="J21" s="156">
        <f>'Central Budget'!N21</f>
        <v>500656533.33000004</v>
      </c>
      <c r="K21" s="285">
        <f t="shared" si="1"/>
        <v>12.661386205300696</v>
      </c>
      <c r="L21" s="208">
        <f t="shared" si="5"/>
        <v>48053983.129999995</v>
      </c>
      <c r="M21" s="291">
        <f t="shared" si="6"/>
        <v>9.5981935580426949</v>
      </c>
      <c r="N21" s="80">
        <f>'Central Budget'!D21</f>
        <v>548710516.46000004</v>
      </c>
      <c r="O21" s="99">
        <f t="shared" si="7"/>
        <v>0</v>
      </c>
      <c r="P21" s="81"/>
      <c r="Q21" s="81"/>
      <c r="R21" s="81"/>
      <c r="S21" s="81"/>
    </row>
    <row r="22" spans="2:85" ht="15" customHeight="1">
      <c r="B22" s="80">
        <v>7115</v>
      </c>
      <c r="C22" s="97" t="str">
        <f>IF(MasterSheet!$A$1=1,MasterSheet!C78,MasterSheet!B78)</f>
        <v>Akcize</v>
      </c>
      <c r="D22" s="156">
        <f>+'Central Budget'!D22</f>
        <v>225084910.21999997</v>
      </c>
      <c r="E22" s="285">
        <f t="shared" si="0"/>
        <v>5.3564862859046656</v>
      </c>
      <c r="F22" s="156">
        <f>+'Central Budget'!F22</f>
        <v>225623515.02582744</v>
      </c>
      <c r="G22" s="285">
        <f t="shared" si="2"/>
        <v>5.3693038010953442</v>
      </c>
      <c r="H22" s="208">
        <f t="shared" si="3"/>
        <v>-538604.80582746863</v>
      </c>
      <c r="I22" s="291">
        <f t="shared" si="4"/>
        <v>-0.23871838259668721</v>
      </c>
      <c r="J22" s="156">
        <f>+'Central Budget'!N22</f>
        <v>182670922.38</v>
      </c>
      <c r="K22" s="285">
        <f t="shared" si="1"/>
        <v>4.6196682610894744</v>
      </c>
      <c r="L22" s="208">
        <f t="shared" si="5"/>
        <v>42413987.839999974</v>
      </c>
      <c r="M22" s="291">
        <f t="shared" si="6"/>
        <v>23.218795464211084</v>
      </c>
      <c r="N22" s="80">
        <f>'Central Budget'!D22</f>
        <v>225084910.21999997</v>
      </c>
      <c r="O22" s="99">
        <f t="shared" si="7"/>
        <v>0</v>
      </c>
      <c r="P22" s="81"/>
      <c r="Q22" s="81"/>
      <c r="R22" s="81"/>
      <c r="S22" s="81"/>
    </row>
    <row r="23" spans="2:85" ht="15" customHeight="1">
      <c r="B23" s="80">
        <v>7116</v>
      </c>
      <c r="C23" s="97" t="str">
        <f>IF(MasterSheet!$A$1=1,MasterSheet!C79,MasterSheet!B79)</f>
        <v>Porez na međunarodnu trgovinu i transakcije</v>
      </c>
      <c r="D23" s="156">
        <f>+'Central Budget'!D23</f>
        <v>25424800.799999997</v>
      </c>
      <c r="E23" s="285">
        <f t="shared" si="0"/>
        <v>0.60504987506246866</v>
      </c>
      <c r="F23" s="156">
        <f>+IF(ISNUMBER(VLOOKUP($B23,'Central Budget'!$B$16:$O$78,'Public Expenditure'!F$1,FALSE)),VLOOKUP($B23,'Central Budget'!$B$16:$O$78,'Public Expenditure'!F$1,FALSE),0)+IF(ISNUMBER(VLOOKUP('Public Expenditure'!$B23,'Local Government'!$B$16:$M$74,'Public Expenditure'!F$1,FALSE)),VLOOKUP('Public Expenditure'!$B23,'Local Government'!$B$16:$M$74,'Public Expenditure'!F$1,FALSE),0)</f>
        <v>25789097.528659306</v>
      </c>
      <c r="G23" s="285">
        <f t="shared" si="2"/>
        <v>0.61371927199874599</v>
      </c>
      <c r="H23" s="208">
        <f t="shared" si="3"/>
        <v>-364296.72865930945</v>
      </c>
      <c r="I23" s="291">
        <f t="shared" si="4"/>
        <v>-1.4125997555923391</v>
      </c>
      <c r="J23" s="156">
        <f>+'Central Budget'!N23</f>
        <v>24283642.720000003</v>
      </c>
      <c r="K23" s="285">
        <f t="shared" si="1"/>
        <v>0.61412277375954694</v>
      </c>
      <c r="L23" s="208">
        <f t="shared" si="5"/>
        <v>1141158.0799999945</v>
      </c>
      <c r="M23" s="291">
        <f t="shared" si="6"/>
        <v>4.6992870598451759</v>
      </c>
      <c r="N23" s="80">
        <f>'Central Budget'!D23</f>
        <v>25424800.799999997</v>
      </c>
      <c r="O23" s="99">
        <f t="shared" si="7"/>
        <v>0</v>
      </c>
      <c r="P23" s="81"/>
      <c r="Q23" s="81"/>
      <c r="R23" s="81"/>
      <c r="S23" s="81"/>
      <c r="CE23" s="140"/>
      <c r="CF23" s="140"/>
      <c r="CG23" s="81"/>
    </row>
    <row r="24" spans="2:85" ht="15" customHeight="1">
      <c r="B24" s="80">
        <v>7117</v>
      </c>
      <c r="C24" s="97" t="s">
        <v>11</v>
      </c>
      <c r="D24" s="156">
        <f>+'Local Government'!D20</f>
        <v>85907944.99000001</v>
      </c>
      <c r="E24" s="285">
        <f t="shared" si="0"/>
        <v>2.0444050591370981</v>
      </c>
      <c r="F24" s="156">
        <f>+IF(ISNUMBER(VLOOKUP($B24,'Central Budget'!$B$16:$O$78,'Public Expenditure'!F$1,FALSE)),VLOOKUP($B24,'Central Budget'!$B$16:$O$78,'Public Expenditure'!F$1,FALSE),0)+IF(ISNUMBER(VLOOKUP('Public Expenditure'!$B24,'Local Government'!$B$16:$M$74,'Public Expenditure'!F$1,FALSE)),VLOOKUP('Public Expenditure'!$B24,'Local Government'!$B$16:$M$74,'Public Expenditure'!F$1,FALSE),0)</f>
        <v>77665859.05142501</v>
      </c>
      <c r="G24" s="285">
        <f t="shared" si="2"/>
        <v>1.8482629887776354</v>
      </c>
      <c r="H24" s="208">
        <f t="shared" si="3"/>
        <v>8242085.9385749996</v>
      </c>
      <c r="I24" s="291">
        <f t="shared" si="4"/>
        <v>10.612238169048837</v>
      </c>
      <c r="J24" s="156">
        <f>+'Local Government'!J20</f>
        <v>77411609.49000001</v>
      </c>
      <c r="K24" s="285">
        <f t="shared" si="1"/>
        <v>1.9577059706135251</v>
      </c>
      <c r="L24" s="208">
        <f t="shared" si="5"/>
        <v>8496335.5</v>
      </c>
      <c r="M24" s="291">
        <f t="shared" si="6"/>
        <v>10.97553139118952</v>
      </c>
      <c r="N24" s="80">
        <f>'Local Government'!D20</f>
        <v>85907944.99000001</v>
      </c>
      <c r="O24" s="99">
        <f t="shared" si="7"/>
        <v>0</v>
      </c>
      <c r="P24" s="81"/>
      <c r="Q24" s="81"/>
      <c r="R24" s="81"/>
      <c r="S24" s="81"/>
      <c r="CE24" s="140"/>
      <c r="CF24" s="140"/>
      <c r="CG24" s="81"/>
    </row>
    <row r="25" spans="2:85" ht="15" customHeight="1">
      <c r="B25" s="80">
        <v>7118</v>
      </c>
      <c r="C25" s="97" t="s">
        <v>464</v>
      </c>
      <c r="D25" s="156">
        <f>+'Central Budget'!D24</f>
        <v>9199739.3499999996</v>
      </c>
      <c r="E25" s="285">
        <f t="shared" si="0"/>
        <v>0.21893194712167724</v>
      </c>
      <c r="F25" s="156">
        <f>+IF(ISNUMBER(VLOOKUP($B25,'Central Budget'!$B$16:$O$78,'Public Expenditure'!F$1,FALSE)),VLOOKUP($B25,'Central Budget'!$B$16:$O$78,'Public Expenditure'!F$1,FALSE),0)+IF(ISNUMBER(VLOOKUP('Public Expenditure'!$B25,'Local Government'!$B$16:$M$74,'Public Expenditure'!F$1,FALSE)),VLOOKUP('Public Expenditure'!$B25,'Local Government'!$B$16:$M$74,'Public Expenditure'!F$1,FALSE),0)</f>
        <v>9212863.6730131265</v>
      </c>
      <c r="G25" s="285">
        <f t="shared" si="2"/>
        <v>0.21924427483908349</v>
      </c>
      <c r="H25" s="208">
        <f t="shared" si="3"/>
        <v>-13124.32301312685</v>
      </c>
      <c r="I25" s="291">
        <f t="shared" si="4"/>
        <v>-0.14245649864082566</v>
      </c>
      <c r="J25" s="156">
        <f>+'Central Budget'!N24</f>
        <v>9199394.8100000005</v>
      </c>
      <c r="K25" s="285">
        <f t="shared" si="1"/>
        <v>0.23264869784027112</v>
      </c>
      <c r="L25" s="208">
        <f t="shared" si="5"/>
        <v>344.53999999910593</v>
      </c>
      <c r="M25" s="291">
        <f t="shared" si="6"/>
        <v>3.7452463679983339E-3</v>
      </c>
      <c r="N25" s="80">
        <f>'Central Budget'!D24</f>
        <v>9199739.3499999996</v>
      </c>
      <c r="O25" s="99">
        <f t="shared" si="7"/>
        <v>0</v>
      </c>
      <c r="P25" s="81"/>
      <c r="Q25" s="81"/>
      <c r="R25" s="81"/>
      <c r="S25" s="81"/>
      <c r="CE25" s="140"/>
      <c r="CF25" s="140"/>
      <c r="CG25" s="81"/>
    </row>
    <row r="26" spans="2:85" ht="15" customHeight="1">
      <c r="B26" s="80">
        <v>712</v>
      </c>
      <c r="C26" s="93" t="str">
        <f>IF(MasterSheet!$A$1=1,MasterSheet!C81,MasterSheet!B81)</f>
        <v>Doprinosi</v>
      </c>
      <c r="D26" s="154">
        <f>'Central Budget'!D25</f>
        <v>494952632.42000002</v>
      </c>
      <c r="E26" s="286">
        <f t="shared" si="0"/>
        <v>11.778697137621666</v>
      </c>
      <c r="F26" s="154">
        <f>SUM(F27:F30)</f>
        <v>500463503.15384978</v>
      </c>
      <c r="G26" s="286">
        <f t="shared" si="2"/>
        <v>11.909842772752905</v>
      </c>
      <c r="H26" s="207">
        <f t="shared" si="3"/>
        <v>-5510870.7338497639</v>
      </c>
      <c r="I26" s="292">
        <f t="shared" si="4"/>
        <v>-1.1011533706496266</v>
      </c>
      <c r="J26" s="154">
        <f>SUM(J27:J30)</f>
        <v>462885204.29000008</v>
      </c>
      <c r="K26" s="286">
        <f t="shared" si="1"/>
        <v>11.706165704567297</v>
      </c>
      <c r="L26" s="207">
        <f t="shared" si="5"/>
        <v>32067428.129999936</v>
      </c>
      <c r="M26" s="292">
        <f t="shared" si="6"/>
        <v>6.927728048509735</v>
      </c>
      <c r="N26" s="80">
        <f>'Central Budget'!D25</f>
        <v>494952632.42000002</v>
      </c>
      <c r="O26" s="99">
        <f t="shared" si="7"/>
        <v>0</v>
      </c>
      <c r="P26" s="81"/>
      <c r="Q26" s="81"/>
      <c r="R26" s="81"/>
      <c r="S26" s="81"/>
      <c r="CE26" s="140"/>
      <c r="CF26" s="140"/>
      <c r="CG26" s="81"/>
    </row>
    <row r="27" spans="2:85" ht="15" customHeight="1">
      <c r="B27" s="80">
        <v>7121</v>
      </c>
      <c r="C27" s="97" t="str">
        <f>IF(MasterSheet!$A$1=1,MasterSheet!C82,MasterSheet!B82)</f>
        <v>Doprinosi za penzijsko i invalidsko osiguranje</v>
      </c>
      <c r="D27" s="156">
        <f>+'Central Budget'!D26</f>
        <v>303042063.35000002</v>
      </c>
      <c r="E27" s="285">
        <f t="shared" si="0"/>
        <v>7.2116813819280843</v>
      </c>
      <c r="F27" s="156">
        <f>+IF(ISNUMBER(VLOOKUP($B27,'Central Budget'!$B$16:$O$78,'Public Expenditure'!F$1,FALSE)),VLOOKUP($B27,'Central Budget'!$B$16:$O$78,'Public Expenditure'!F$1,FALSE),0)+IF(ISNUMBER(VLOOKUP('Public Expenditure'!$B27,'Local Government'!$B$16:$M$74,'Public Expenditure'!F$1,FALSE)),VLOOKUP('Public Expenditure'!$B27,'Local Government'!$B$16:$M$74,'Public Expenditure'!F$1,FALSE),0)</f>
        <v>304735852.44600284</v>
      </c>
      <c r="G27" s="285">
        <f t="shared" si="2"/>
        <v>7.2519895396588101</v>
      </c>
      <c r="H27" s="208">
        <f t="shared" si="3"/>
        <v>-1693789.0960028172</v>
      </c>
      <c r="I27" s="291">
        <f t="shared" si="4"/>
        <v>-0.55582206110878474</v>
      </c>
      <c r="J27" s="156">
        <f>+'Central Budget'!N26</f>
        <v>273553324.41000003</v>
      </c>
      <c r="K27" s="285">
        <f t="shared" si="1"/>
        <v>6.9180447223205714</v>
      </c>
      <c r="L27" s="208">
        <f t="shared" si="5"/>
        <v>29488738.939999998</v>
      </c>
      <c r="M27" s="291">
        <f t="shared" si="6"/>
        <v>10.779886884431519</v>
      </c>
      <c r="O27" s="99">
        <f t="shared" si="7"/>
        <v>-303042063.35000002</v>
      </c>
      <c r="P27" s="81"/>
      <c r="Q27" s="81"/>
      <c r="R27" s="81"/>
      <c r="S27" s="81"/>
      <c r="CE27" s="140"/>
      <c r="CF27" s="140"/>
      <c r="CG27" s="81"/>
    </row>
    <row r="28" spans="2:85" ht="15" customHeight="1">
      <c r="B28" s="80">
        <v>7122</v>
      </c>
      <c r="C28" s="97" t="str">
        <f>IF(MasterSheet!$A$1=1,MasterSheet!C83,MasterSheet!B83)</f>
        <v>Doprinosi za zdravstveno osiguranje</v>
      </c>
      <c r="D28" s="156">
        <f>+'Central Budget'!D27</f>
        <v>167400672.64999998</v>
      </c>
      <c r="E28" s="285">
        <f t="shared" si="0"/>
        <v>3.9837384319744888</v>
      </c>
      <c r="F28" s="156">
        <f>+IF(ISNUMBER(VLOOKUP($B28,'Central Budget'!$B$16:$O$78,'Public Expenditure'!F$1,FALSE)),VLOOKUP($B28,'Central Budget'!$B$16:$O$78,'Public Expenditure'!F$1,FALSE),0)+IF(ISNUMBER(VLOOKUP('Public Expenditure'!$B28,'Local Government'!$B$16:$M$74,'Public Expenditure'!F$1,FALSE)),VLOOKUP('Public Expenditure'!$B28,'Local Government'!$B$16:$M$74,'Public Expenditure'!F$1,FALSE),0)</f>
        <v>171280873.00583869</v>
      </c>
      <c r="G28" s="285">
        <f t="shared" si="2"/>
        <v>4.0760779849560622</v>
      </c>
      <c r="H28" s="208">
        <f t="shared" si="3"/>
        <v>-3880200.355838716</v>
      </c>
      <c r="I28" s="291">
        <f t="shared" si="4"/>
        <v>-2.2654020193524076</v>
      </c>
      <c r="J28" s="156">
        <f>+'Central Budget'!N27</f>
        <v>164379366.90000004</v>
      </c>
      <c r="K28" s="285">
        <f t="shared" si="1"/>
        <v>4.1570827702190085</v>
      </c>
      <c r="L28" s="208">
        <f t="shared" si="5"/>
        <v>3021305.7499999404</v>
      </c>
      <c r="M28" s="291">
        <f t="shared" si="6"/>
        <v>1.8380079002481722</v>
      </c>
      <c r="O28" s="99">
        <f t="shared" si="7"/>
        <v>-167400672.64999998</v>
      </c>
      <c r="P28" s="81"/>
      <c r="Q28" s="81"/>
      <c r="R28" s="81"/>
      <c r="S28" s="81"/>
      <c r="CE28" s="140"/>
      <c r="CF28" s="140"/>
      <c r="CG28" s="81"/>
    </row>
    <row r="29" spans="2:85" ht="15" customHeight="1">
      <c r="B29" s="80">
        <v>7123</v>
      </c>
      <c r="C29" s="97" t="str">
        <f>IF(MasterSheet!$A$1=1,MasterSheet!C84,MasterSheet!B84)</f>
        <v>Doprinosi za osiguranje od nezaposlenosti</v>
      </c>
      <c r="D29" s="156">
        <f>+'Central Budget'!D28</f>
        <v>12595344.189999998</v>
      </c>
      <c r="E29" s="285">
        <f t="shared" si="0"/>
        <v>0.29973927774208126</v>
      </c>
      <c r="F29" s="156">
        <f>+IF(ISNUMBER(VLOOKUP($B29,'Central Budget'!$B$16:$O$78,'Public Expenditure'!F$1,FALSE)),VLOOKUP($B29,'Central Budget'!$B$16:$O$78,'Public Expenditure'!F$1,FALSE),0)+IF(ISNUMBER(VLOOKUP('Public Expenditure'!$B29,'Local Government'!$B$16:$M$74,'Public Expenditure'!F$1,FALSE)),VLOOKUP('Public Expenditure'!$B29,'Local Government'!$B$16:$M$74,'Public Expenditure'!F$1,FALSE),0)</f>
        <v>12796289.599999998</v>
      </c>
      <c r="G29" s="285">
        <f t="shared" si="2"/>
        <v>0.30452130125413479</v>
      </c>
      <c r="H29" s="208">
        <f t="shared" si="3"/>
        <v>-200945.41000000015</v>
      </c>
      <c r="I29" s="291">
        <f t="shared" si="4"/>
        <v>-1.5703412182856482</v>
      </c>
      <c r="J29" s="156">
        <f>+'Central Budget'!N28</f>
        <v>12989910.719999999</v>
      </c>
      <c r="K29" s="285">
        <f t="shared" si="1"/>
        <v>0.32850919832077285</v>
      </c>
      <c r="L29" s="208">
        <f t="shared" si="5"/>
        <v>-394566.53000000119</v>
      </c>
      <c r="M29" s="291">
        <f t="shared" si="6"/>
        <v>-3.0374845409253197</v>
      </c>
      <c r="O29" s="99">
        <f t="shared" si="7"/>
        <v>-12595344.189999998</v>
      </c>
      <c r="P29" s="81"/>
      <c r="Q29" s="81"/>
      <c r="R29" s="81"/>
      <c r="S29" s="81"/>
      <c r="CE29" s="140"/>
      <c r="CF29" s="140"/>
      <c r="CG29" s="81"/>
    </row>
    <row r="30" spans="2:85" ht="15" customHeight="1">
      <c r="B30" s="80">
        <v>7124</v>
      </c>
      <c r="C30" s="97" t="str">
        <f>IF(MasterSheet!$A$1=1,MasterSheet!C85,MasterSheet!B85)</f>
        <v>Ostali doprinosi</v>
      </c>
      <c r="D30" s="156">
        <f>+'Central Budget'!D29</f>
        <v>11914552.229999999</v>
      </c>
      <c r="E30" s="285">
        <f t="shared" si="0"/>
        <v>0.28353804597701143</v>
      </c>
      <c r="F30" s="156">
        <f>+IF(ISNUMBER(VLOOKUP($B30,'Central Budget'!$B$16:$O$78,'Public Expenditure'!F$1,FALSE)),VLOOKUP($B30,'Central Budget'!$B$16:$O$78,'Public Expenditure'!F$1,FALSE),0)+IF(ISNUMBER(VLOOKUP('Public Expenditure'!$B30,'Local Government'!$B$16:$M$74,'Public Expenditure'!F$1,FALSE)),VLOOKUP('Public Expenditure'!$B30,'Local Government'!$B$16:$M$74,'Public Expenditure'!F$1,FALSE),0)</f>
        <v>11650488.102008229</v>
      </c>
      <c r="G30" s="285">
        <f t="shared" si="2"/>
        <v>0.27725394688389687</v>
      </c>
      <c r="H30" s="208">
        <f t="shared" si="3"/>
        <v>264064.12799176946</v>
      </c>
      <c r="I30" s="291">
        <f t="shared" si="4"/>
        <v>2.2665499134431286</v>
      </c>
      <c r="J30" s="156">
        <f>+'Central Budget'!N29</f>
        <v>11962602.260000002</v>
      </c>
      <c r="K30" s="285">
        <f t="shared" si="1"/>
        <v>0.30252901370694457</v>
      </c>
      <c r="L30" s="208">
        <f t="shared" si="5"/>
        <v>-48050.030000003055</v>
      </c>
      <c r="M30" s="291">
        <f t="shared" si="6"/>
        <v>-0.40166870849390079</v>
      </c>
      <c r="O30" s="99">
        <f t="shared" si="7"/>
        <v>-11914552.229999999</v>
      </c>
      <c r="P30" s="81"/>
      <c r="Q30" s="81"/>
      <c r="R30" s="81"/>
      <c r="S30" s="81"/>
      <c r="CE30" s="81"/>
      <c r="CF30" s="81"/>
      <c r="CG30" s="81"/>
    </row>
    <row r="31" spans="2:85" ht="15" customHeight="1">
      <c r="B31" s="80">
        <v>713</v>
      </c>
      <c r="C31" s="93" t="str">
        <f>IF(MasterSheet!$A$1=1,MasterSheet!C86,MasterSheet!B86)</f>
        <v>Takse</v>
      </c>
      <c r="D31" s="154">
        <f>+'Central Budget'!D30+'Local Government'!D21</f>
        <v>20145995.950000003</v>
      </c>
      <c r="E31" s="286">
        <f t="shared" si="0"/>
        <v>0.47942685680969044</v>
      </c>
      <c r="F31" s="154">
        <f>+IF(ISNUMBER(VLOOKUP($B31,'Central Budget'!$B$16:$O$78,'Public Expenditure'!F$1,FALSE)),VLOOKUP($B31,'Central Budget'!$B$16:$O$78,'Public Expenditure'!F$1,FALSE),0)+IF(ISNUMBER(VLOOKUP('Public Expenditure'!$B31,'Local Government'!$B$16:$M$74,'Public Expenditure'!F$1,FALSE)),VLOOKUP('Public Expenditure'!$B31,'Local Government'!$B$16:$M$74,'Public Expenditure'!F$1,FALSE),0)</f>
        <v>19426664.490955897</v>
      </c>
      <c r="G31" s="286">
        <f t="shared" si="2"/>
        <v>0.46230847649879581</v>
      </c>
      <c r="H31" s="207">
        <f t="shared" si="3"/>
        <v>719331.4590441063</v>
      </c>
      <c r="I31" s="292">
        <f t="shared" si="4"/>
        <v>3.7028047680495604</v>
      </c>
      <c r="J31" s="154">
        <f>+'Central Budget'!N30+'Local Government'!J21</f>
        <v>18926209.509999998</v>
      </c>
      <c r="K31" s="286">
        <f t="shared" si="1"/>
        <v>0.47863561554802481</v>
      </c>
      <c r="L31" s="207">
        <f t="shared" si="5"/>
        <v>1219786.4400000051</v>
      </c>
      <c r="M31" s="292">
        <f t="shared" si="6"/>
        <v>6.4449589832317429</v>
      </c>
      <c r="N31" s="80">
        <f>'Central Budget'!D30+'Local Government'!D21</f>
        <v>20145995.950000003</v>
      </c>
      <c r="O31" s="99">
        <f t="shared" si="7"/>
        <v>0</v>
      </c>
      <c r="P31" s="81"/>
      <c r="Q31" s="81"/>
      <c r="R31" s="81"/>
      <c r="S31" s="81"/>
      <c r="CE31" s="81"/>
      <c r="CF31" s="81"/>
      <c r="CG31" s="81"/>
    </row>
    <row r="32" spans="2:85" ht="15" customHeight="1">
      <c r="B32" s="80">
        <v>714</v>
      </c>
      <c r="C32" s="93" t="str">
        <f>IF(MasterSheet!$A$1=1,MasterSheet!C91,MasterSheet!B91)</f>
        <v>Naknade</v>
      </c>
      <c r="D32" s="154">
        <f>+'Central Budget'!D31+'Local Government'!D27</f>
        <v>79771959.290000007</v>
      </c>
      <c r="E32" s="286">
        <f t="shared" si="0"/>
        <v>1.8983831724613887</v>
      </c>
      <c r="F32" s="154">
        <f>+IF(ISNUMBER(VLOOKUP($B32,'Central Budget'!$B$16:$O$78,'Public Expenditure'!F$1,FALSE)),VLOOKUP($B32,'Central Budget'!$B$16:$O$78,'Public Expenditure'!F$1,FALSE),0)+IF(ISNUMBER(VLOOKUP('Public Expenditure'!$B32,'Local Government'!$B$16:$M$74,'Public Expenditure'!F$1,FALSE)),VLOOKUP('Public Expenditure'!$B32,'Local Government'!$B$16:$M$74,'Public Expenditure'!F$1,FALSE),0)</f>
        <v>73062763.465059906</v>
      </c>
      <c r="G32" s="286">
        <f t="shared" si="2"/>
        <v>1.7387202461878561</v>
      </c>
      <c r="H32" s="207">
        <f t="shared" si="3"/>
        <v>6709195.8249401003</v>
      </c>
      <c r="I32" s="292">
        <f t="shared" si="4"/>
        <v>9.1827840978784963</v>
      </c>
      <c r="J32" s="154">
        <f>+'Central Budget'!N31+'Local Government'!J27</f>
        <v>120229583.41</v>
      </c>
      <c r="K32" s="286">
        <f t="shared" si="1"/>
        <v>3.0405539277224216</v>
      </c>
      <c r="L32" s="207">
        <f t="shared" si="5"/>
        <v>-40457624.11999999</v>
      </c>
      <c r="M32" s="292">
        <f t="shared" si="6"/>
        <v>-33.650307164446986</v>
      </c>
      <c r="N32" s="80">
        <f>'Central Budget'!D31+'Local Government'!D27</f>
        <v>79771959.290000007</v>
      </c>
      <c r="O32" s="99">
        <f t="shared" si="7"/>
        <v>0</v>
      </c>
      <c r="P32" s="81"/>
      <c r="Q32" s="81"/>
      <c r="R32" s="81"/>
      <c r="S32" s="81"/>
      <c r="CE32" s="140"/>
      <c r="CF32" s="140"/>
      <c r="CG32" s="140"/>
    </row>
    <row r="33" spans="1:88" ht="15" customHeight="1">
      <c r="B33" s="80">
        <v>715</v>
      </c>
      <c r="C33" s="93" t="str">
        <f>IF(MasterSheet!$A$1=1,MasterSheet!C98,MasterSheet!B98)</f>
        <v>Ostali prihodi</v>
      </c>
      <c r="D33" s="154">
        <f>+'Central Budget'!D32+'Local Government'!D33</f>
        <v>49078259.539999999</v>
      </c>
      <c r="E33" s="286">
        <f t="shared" si="0"/>
        <v>1.1679460160395994</v>
      </c>
      <c r="F33" s="154">
        <f>+IF(ISNUMBER(VLOOKUP($B33,'Central Budget'!$B$16:$O$78,'Public Expenditure'!F$1,FALSE)),VLOOKUP($B33,'Central Budget'!$B$16:$O$78,'Public Expenditure'!F$1,FALSE),0)+IF(ISNUMBER(VLOOKUP('Public Expenditure'!$B33,'Local Government'!$B$16:$M$74,'Public Expenditure'!F$1,FALSE)),VLOOKUP('Public Expenditure'!$B33,'Local Government'!$B$16:$M$74,'Public Expenditure'!F$1,FALSE),0)</f>
        <v>48373317.471851185</v>
      </c>
      <c r="G33" s="286">
        <f t="shared" si="2"/>
        <v>1.1511700690571665</v>
      </c>
      <c r="H33" s="207">
        <f t="shared" si="3"/>
        <v>704942.06814881414</v>
      </c>
      <c r="I33" s="292">
        <f t="shared" si="4"/>
        <v>1.4572952714252665</v>
      </c>
      <c r="J33" s="154">
        <f>+'Central Budget'!N32+'Local Government'!J33</f>
        <v>47469935.149999999</v>
      </c>
      <c r="K33" s="286">
        <f t="shared" si="1"/>
        <v>1.2004940354559708</v>
      </c>
      <c r="L33" s="207">
        <f t="shared" si="5"/>
        <v>1608324.3900000006</v>
      </c>
      <c r="M33" s="292">
        <f t="shared" si="6"/>
        <v>3.3880905565130064</v>
      </c>
      <c r="N33" s="80">
        <f>'Central Budget'!D32+'Local Government'!D33</f>
        <v>49078259.539999999</v>
      </c>
      <c r="O33" s="99">
        <f t="shared" si="7"/>
        <v>0</v>
      </c>
      <c r="P33" s="81"/>
      <c r="Q33" s="81"/>
      <c r="R33" s="81"/>
      <c r="S33" s="81"/>
      <c r="CE33" s="81"/>
      <c r="CF33" s="81"/>
      <c r="CG33" s="81"/>
      <c r="CH33" s="81"/>
      <c r="CI33" s="81"/>
    </row>
    <row r="34" spans="1:88">
      <c r="B34" s="80">
        <v>73</v>
      </c>
      <c r="C34" s="101" t="str">
        <f>IF(MasterSheet!$A$1=1,MasterSheet!C103,MasterSheet!B103)</f>
        <v xml:space="preserve">Primici od otplate kredita </v>
      </c>
      <c r="D34" s="154">
        <f>+'Central Budget'!D33+'Local Government'!D38</f>
        <v>6274510.5800000001</v>
      </c>
      <c r="E34" s="286">
        <f t="shared" si="0"/>
        <v>0.1493184498227077</v>
      </c>
      <c r="F34" s="154">
        <f>+IF(ISNUMBER(VLOOKUP($B34,'Central Budget'!$B$16:$O$78,'Public Expenditure'!F$1,FALSE)),VLOOKUP($B34,'Central Budget'!$B$16:$O$78,'Public Expenditure'!F$1,FALSE),0)+IF(ISNUMBER(VLOOKUP('Public Expenditure'!$B34,'Local Government'!$B$16:$M$74,'Public Expenditure'!F$1,FALSE)),VLOOKUP('Public Expenditure'!$B34,'Local Government'!$B$16:$M$74,'Public Expenditure'!F$1,FALSE),0)</f>
        <v>6931562.2178598447</v>
      </c>
      <c r="G34" s="286">
        <f t="shared" si="2"/>
        <v>0.16495471830417754</v>
      </c>
      <c r="H34" s="207">
        <f t="shared" si="3"/>
        <v>-657051.6378598446</v>
      </c>
      <c r="I34" s="292">
        <f t="shared" si="4"/>
        <v>-9.4791277522819826</v>
      </c>
      <c r="J34" s="154">
        <f>+'Central Budget'!N33+'Local Government'!J38</f>
        <v>4662620.91</v>
      </c>
      <c r="K34" s="286">
        <f t="shared" si="1"/>
        <v>0.11791565702291235</v>
      </c>
      <c r="L34" s="207">
        <f t="shared" si="5"/>
        <v>1611889.67</v>
      </c>
      <c r="M34" s="292">
        <f t="shared" si="6"/>
        <v>34.570463718012206</v>
      </c>
      <c r="N34" s="218">
        <f>'Central Budget'!D33+'Local Government'!D38</f>
        <v>6274510.5800000001</v>
      </c>
      <c r="O34" s="99">
        <f t="shared" si="7"/>
        <v>0</v>
      </c>
      <c r="P34" s="81"/>
      <c r="Q34" s="81"/>
      <c r="R34" s="81"/>
      <c r="S34" s="81"/>
      <c r="CD34" s="100"/>
      <c r="CE34" s="100"/>
      <c r="CF34" s="99"/>
      <c r="CG34" s="145"/>
      <c r="CH34" s="145"/>
      <c r="CI34" s="145"/>
      <c r="CJ34" s="142"/>
    </row>
    <row r="35" spans="1:88" ht="13.5" customHeight="1" thickBot="1">
      <c r="B35" s="80">
        <v>74</v>
      </c>
      <c r="C35" s="93" t="s">
        <v>122</v>
      </c>
      <c r="D35" s="154">
        <f>+'Central Budget'!D34+'Local Government'!D39</f>
        <v>30466570.410000004</v>
      </c>
      <c r="E35" s="286">
        <f>D35/D$11*100</f>
        <v>0.72503201756264735</v>
      </c>
      <c r="F35" s="154">
        <f>+IF(ISNUMBER(VLOOKUP($B35,'Central Budget'!$B$16:$O$78,'Public Expenditure'!F$1,FALSE)),VLOOKUP($B35,'Central Budget'!$B$16:$O$78,'Public Expenditure'!F$1,FALSE),0)+IF(ISNUMBER(VLOOKUP('Public Expenditure'!$B35,'Local Government'!$B$16:$M$74,'Public Expenditure'!F$1,FALSE)),VLOOKUP('Public Expenditure'!$B35,'Local Government'!$B$16:$M$74,'Public Expenditure'!F$1,FALSE),0)</f>
        <v>33582898.60467732</v>
      </c>
      <c r="G35" s="286">
        <f t="shared" si="2"/>
        <v>0.79919322730723497</v>
      </c>
      <c r="H35" s="207">
        <f t="shared" si="3"/>
        <v>-3116328.1946773157</v>
      </c>
      <c r="I35" s="292">
        <f t="shared" si="4"/>
        <v>-9.2795092864416517</v>
      </c>
      <c r="J35" s="154">
        <f>+'Central Budget'!N34+'Local Government'!J39</f>
        <v>17322881.359999999</v>
      </c>
      <c r="K35" s="286">
        <f>J35/J$11*100</f>
        <v>0.43808814324009915</v>
      </c>
      <c r="L35" s="207">
        <f t="shared" si="5"/>
        <v>13143689.050000004</v>
      </c>
      <c r="M35" s="292">
        <f t="shared" si="6"/>
        <v>75.874727632493602</v>
      </c>
      <c r="N35" s="80">
        <f>'Central Budget'!D34+'Local Government'!D39</f>
        <v>30466570.410000004</v>
      </c>
      <c r="O35" s="307">
        <f t="shared" si="7"/>
        <v>0</v>
      </c>
      <c r="P35" s="81"/>
      <c r="Q35" s="81"/>
      <c r="R35" s="81"/>
      <c r="S35" s="81"/>
      <c r="CE35" s="161"/>
      <c r="CF35" s="161"/>
      <c r="CG35" s="145"/>
      <c r="CH35" s="145"/>
      <c r="CI35" s="145"/>
      <c r="CJ35" s="142"/>
    </row>
    <row r="36" spans="1:88" ht="15" customHeight="1" thickTop="1" thickBot="1">
      <c r="B36" s="102"/>
      <c r="C36" s="178" t="s">
        <v>234</v>
      </c>
      <c r="D36" s="173">
        <f>+D38+D48+D54+SUM(D55:D60)</f>
        <v>2012876110.8599997</v>
      </c>
      <c r="E36" s="283">
        <f t="shared" si="0"/>
        <v>47.901670851716993</v>
      </c>
      <c r="F36" s="173">
        <f>+F38+F48+F54+SUM(F55:F60)</f>
        <v>1962863158.9520345</v>
      </c>
      <c r="G36" s="283">
        <f t="shared" si="2"/>
        <v>46.711481377216977</v>
      </c>
      <c r="H36" s="173">
        <f t="shared" si="3"/>
        <v>50012951.907965183</v>
      </c>
      <c r="I36" s="283">
        <f t="shared" si="4"/>
        <v>2.5479591727966806</v>
      </c>
      <c r="J36" s="173">
        <f>+J38+J47+J48+J54+SUM(J55:J59)</f>
        <v>1826455420.02</v>
      </c>
      <c r="K36" s="283">
        <f t="shared" si="1"/>
        <v>46.190264023569874</v>
      </c>
      <c r="L36" s="173">
        <f t="shared" si="5"/>
        <v>186420690.83999968</v>
      </c>
      <c r="M36" s="283">
        <f t="shared" si="6"/>
        <v>10.206692635178484</v>
      </c>
      <c r="N36" s="102">
        <f>'Central Budget'!D35+'Local Government'!D40</f>
        <v>2012876110.8599999</v>
      </c>
      <c r="O36" s="213">
        <f>N36-D36</f>
        <v>0</v>
      </c>
      <c r="P36" s="81"/>
      <c r="Q36" s="213"/>
      <c r="R36" s="81"/>
      <c r="S36" s="81"/>
      <c r="AI36" s="218"/>
      <c r="AJ36" s="218"/>
      <c r="CE36" s="81"/>
      <c r="CF36" s="81"/>
      <c r="CG36" s="145"/>
      <c r="CH36" s="145"/>
      <c r="CI36" s="145"/>
      <c r="CJ36" s="142"/>
    </row>
    <row r="37" spans="1:88" ht="13.5" customHeight="1" thickTop="1" thickBot="1">
      <c r="C37" s="178" t="s">
        <v>279</v>
      </c>
      <c r="D37" s="173">
        <f>+D36-D55</f>
        <v>1711245924.1999996</v>
      </c>
      <c r="E37" s="283">
        <f t="shared" si="0"/>
        <v>40.723588781799563</v>
      </c>
      <c r="F37" s="173">
        <f>+F36-F55</f>
        <v>1669284558.9520345</v>
      </c>
      <c r="G37" s="283">
        <f t="shared" si="2"/>
        <v>39.725007947265283</v>
      </c>
      <c r="H37" s="173">
        <f t="shared" si="3"/>
        <v>41961365.247965097</v>
      </c>
      <c r="I37" s="283">
        <f t="shared" si="4"/>
        <v>2.5137335047481741</v>
      </c>
      <c r="J37" s="173">
        <f>+J36-J55</f>
        <v>1720600149.1800001</v>
      </c>
      <c r="K37" s="283">
        <f t="shared" si="1"/>
        <v>43.513230215467104</v>
      </c>
      <c r="L37" s="173">
        <f t="shared" si="5"/>
        <v>-9354224.9800004959</v>
      </c>
      <c r="M37" s="283">
        <f t="shared" si="6"/>
        <v>-0.54366059333764838</v>
      </c>
      <c r="N37" s="303"/>
      <c r="O37" s="81"/>
      <c r="P37" s="81"/>
      <c r="Q37" s="81"/>
      <c r="R37" s="81"/>
      <c r="S37" s="81"/>
      <c r="CE37" s="161"/>
      <c r="CF37" s="161"/>
      <c r="CG37" s="145"/>
      <c r="CH37" s="145"/>
      <c r="CI37" s="145"/>
      <c r="CJ37" s="142"/>
    </row>
    <row r="38" spans="1:88" ht="13.5" customHeight="1" thickTop="1">
      <c r="A38" s="80">
        <v>41</v>
      </c>
      <c r="B38" s="80">
        <v>41</v>
      </c>
      <c r="C38" s="93" t="s">
        <v>62</v>
      </c>
      <c r="D38" s="94">
        <f>+SUM(D39:D47)</f>
        <v>858846386.54999995</v>
      </c>
      <c r="E38" s="286">
        <f t="shared" si="0"/>
        <v>20.43850423716713</v>
      </c>
      <c r="F38" s="94">
        <f>+SUM(F39:F47)</f>
        <v>826588620.99713874</v>
      </c>
      <c r="G38" s="286">
        <f t="shared" si="2"/>
        <v>19.670846029298179</v>
      </c>
      <c r="H38" s="205">
        <f t="shared" si="3"/>
        <v>32257765.552861214</v>
      </c>
      <c r="I38" s="292">
        <f t="shared" si="4"/>
        <v>3.90251749581887</v>
      </c>
      <c r="J38" s="94">
        <f>+SUM(J39:J46)</f>
        <v>776247586.88999999</v>
      </c>
      <c r="K38" s="286">
        <f t="shared" si="1"/>
        <v>19.63096421248293</v>
      </c>
      <c r="L38" s="205">
        <f t="shared" si="5"/>
        <v>82598799.659999967</v>
      </c>
      <c r="M38" s="292">
        <f t="shared" si="6"/>
        <v>10.640780216905824</v>
      </c>
      <c r="O38" s="81"/>
      <c r="P38" s="213"/>
      <c r="Q38" s="213"/>
      <c r="R38" s="81"/>
      <c r="S38" s="81"/>
      <c r="CE38" s="161"/>
      <c r="CF38" s="161"/>
      <c r="CG38" s="145"/>
      <c r="CH38" s="145"/>
      <c r="CI38" s="145"/>
      <c r="CJ38" s="142"/>
    </row>
    <row r="39" spans="1:88" ht="13.5" customHeight="1">
      <c r="B39" s="80">
        <v>411</v>
      </c>
      <c r="C39" s="93" t="s">
        <v>63</v>
      </c>
      <c r="D39" s="154">
        <f>+'Central Budget'!D38+'Local Government'!D43</f>
        <v>492118105.52000004</v>
      </c>
      <c r="E39" s="286">
        <f t="shared" si="0"/>
        <v>11.711242129411485</v>
      </c>
      <c r="F39" s="154">
        <f>+'Central Budget'!F38+'Local Government'!F43</f>
        <v>487636040.57789314</v>
      </c>
      <c r="G39" s="286">
        <f t="shared" si="2"/>
        <v>11.604579628706912</v>
      </c>
      <c r="H39" s="207">
        <f t="shared" si="3"/>
        <v>4482064.9421069026</v>
      </c>
      <c r="I39" s="292">
        <f t="shared" si="4"/>
        <v>0.91914144344113424</v>
      </c>
      <c r="J39" s="154">
        <f>+'Central Budget'!N38+'Local Government'!J43</f>
        <v>467589286.08999997</v>
      </c>
      <c r="K39" s="286">
        <f t="shared" si="1"/>
        <v>11.825129889484598</v>
      </c>
      <c r="L39" s="207">
        <f t="shared" si="5"/>
        <v>24528819.430000067</v>
      </c>
      <c r="M39" s="292">
        <f t="shared" si="6"/>
        <v>5.2458044184696888</v>
      </c>
      <c r="N39" s="147">
        <f>'Central Budget'!D38+'Local Government'!D43</f>
        <v>492118105.52000004</v>
      </c>
      <c r="O39" s="213">
        <f>N39-D39</f>
        <v>0</v>
      </c>
      <c r="P39" s="213"/>
      <c r="Q39" s="213"/>
      <c r="R39" s="81"/>
      <c r="S39" s="81"/>
      <c r="CE39" s="161"/>
      <c r="CF39" s="161"/>
      <c r="CG39" s="145"/>
      <c r="CH39" s="145"/>
      <c r="CI39" s="145"/>
      <c r="CJ39" s="142"/>
    </row>
    <row r="40" spans="1:88" ht="13.5" customHeight="1">
      <c r="B40" s="80">
        <v>412</v>
      </c>
      <c r="C40" s="93" t="s">
        <v>74</v>
      </c>
      <c r="D40" s="154">
        <f>+'Central Budget'!D39+'Local Government'!D44</f>
        <v>13876533.689999999</v>
      </c>
      <c r="E40" s="286">
        <f t="shared" si="0"/>
        <v>0.3302285450132077</v>
      </c>
      <c r="F40" s="154">
        <f>+'Central Budget'!F39+'Local Government'!F44</f>
        <v>17460957.149464607</v>
      </c>
      <c r="G40" s="286">
        <f t="shared" si="2"/>
        <v>0.41552931033208651</v>
      </c>
      <c r="H40" s="207">
        <f t="shared" si="3"/>
        <v>-3584423.4594646078</v>
      </c>
      <c r="I40" s="292">
        <f t="shared" si="4"/>
        <v>-20.528218635337041</v>
      </c>
      <c r="J40" s="154">
        <f>+'Central Budget'!N39+'Local Government'!J44</f>
        <v>15328321.52</v>
      </c>
      <c r="K40" s="286">
        <f t="shared" si="1"/>
        <v>0.38764659147235853</v>
      </c>
      <c r="L40" s="207">
        <f t="shared" si="5"/>
        <v>-1451787.83</v>
      </c>
      <c r="M40" s="292">
        <f t="shared" si="6"/>
        <v>-9.4712772569765349</v>
      </c>
      <c r="N40" s="147">
        <f>'Central Budget'!D39+'Local Government'!D44</f>
        <v>13876533.689999999</v>
      </c>
      <c r="O40" s="213">
        <f t="shared" ref="O40:O48" si="8">N40-D40</f>
        <v>0</v>
      </c>
      <c r="P40" s="213"/>
      <c r="Q40" s="213"/>
      <c r="R40" s="81"/>
      <c r="S40" s="81"/>
      <c r="CE40" s="161"/>
      <c r="CF40" s="161"/>
      <c r="CG40" s="145"/>
      <c r="CH40" s="145"/>
      <c r="CI40" s="145"/>
      <c r="CJ40" s="142"/>
    </row>
    <row r="41" spans="1:88" ht="13.5" customHeight="1">
      <c r="B41" s="80">
        <v>413</v>
      </c>
      <c r="C41" s="93" t="s">
        <v>76</v>
      </c>
      <c r="D41" s="154">
        <f>+'Central Budget'!D40+'Central Budget'!D41+'Local Government'!D45</f>
        <v>110758400.30999999</v>
      </c>
      <c r="E41" s="286">
        <f t="shared" si="0"/>
        <v>2.6357868758477903</v>
      </c>
      <c r="F41" s="154">
        <f>+'Central Budget'!F40+'Central Budget'!F41+'Local Government'!F45</f>
        <v>96105682.616194397</v>
      </c>
      <c r="G41" s="286">
        <f t="shared" si="2"/>
        <v>2.2870869949833272</v>
      </c>
      <c r="H41" s="207">
        <f t="shared" si="3"/>
        <v>14652717.69380559</v>
      </c>
      <c r="I41" s="292">
        <f t="shared" si="4"/>
        <v>15.246463367127177</v>
      </c>
      <c r="J41" s="154">
        <f>+'Central Budget'!N40+'Central Budget'!N41+'Local Government'!J45</f>
        <v>106425125.98</v>
      </c>
      <c r="K41" s="286">
        <f t="shared" si="1"/>
        <v>2.6914451970057156</v>
      </c>
      <c r="L41" s="207">
        <f t="shared" si="5"/>
        <v>4333274.3299999833</v>
      </c>
      <c r="M41" s="292">
        <f t="shared" si="6"/>
        <v>4.0716647409130786</v>
      </c>
      <c r="N41" s="147">
        <f>'Central Budget'!D40+'Local Government'!D45</f>
        <v>44019635.489999995</v>
      </c>
      <c r="O41" s="213">
        <f t="shared" si="8"/>
        <v>-66738764.819999993</v>
      </c>
      <c r="P41" s="213"/>
      <c r="Q41" s="213"/>
      <c r="R41" s="81"/>
      <c r="S41" s="81"/>
      <c r="CE41" s="161"/>
      <c r="CF41" s="161"/>
      <c r="CG41" s="145"/>
      <c r="CH41" s="145"/>
      <c r="CI41" s="145"/>
      <c r="CJ41" s="142"/>
    </row>
    <row r="42" spans="1:88" ht="13.5" customHeight="1">
      <c r="B42" s="80">
        <v>415</v>
      </c>
      <c r="C42" s="93" t="s">
        <v>430</v>
      </c>
      <c r="D42" s="154">
        <f>+'Central Budget'!D42+'Local Government'!D46</f>
        <v>26396256.290000007</v>
      </c>
      <c r="E42" s="286">
        <f t="shared" si="0"/>
        <v>0.62816820851479038</v>
      </c>
      <c r="F42" s="154">
        <f>+'Central Budget'!F42+'Local Government'!F46</f>
        <v>25712571.989389628</v>
      </c>
      <c r="G42" s="286">
        <f t="shared" si="2"/>
        <v>0.61189814591251113</v>
      </c>
      <c r="H42" s="207">
        <f t="shared" si="3"/>
        <v>683684.30061037838</v>
      </c>
      <c r="I42" s="292">
        <f t="shared" si="4"/>
        <v>2.6589494854598854</v>
      </c>
      <c r="J42" s="154">
        <f>+'Central Budget'!N42+'Local Government'!J46</f>
        <v>26183799.349999998</v>
      </c>
      <c r="K42" s="286">
        <f t="shared" si="1"/>
        <v>0.66217690936219709</v>
      </c>
      <c r="L42" s="207">
        <f t="shared" si="5"/>
        <v>212456.94000000879</v>
      </c>
      <c r="M42" s="292">
        <f t="shared" si="6"/>
        <v>0.8114060803785037</v>
      </c>
      <c r="N42" s="147">
        <f>'Central Budget'!D42+'Local Government'!D46</f>
        <v>26396256.290000007</v>
      </c>
      <c r="O42" s="213">
        <f t="shared" si="8"/>
        <v>0</v>
      </c>
      <c r="P42" s="213"/>
      <c r="Q42" s="213"/>
      <c r="R42" s="81"/>
      <c r="S42" s="81"/>
      <c r="CE42" s="161"/>
      <c r="CF42" s="161"/>
      <c r="CG42" s="145"/>
      <c r="CH42" s="145"/>
      <c r="CI42" s="145"/>
      <c r="CJ42" s="142"/>
    </row>
    <row r="43" spans="1:88" ht="13.5" customHeight="1">
      <c r="B43" s="80">
        <v>416</v>
      </c>
      <c r="C43" s="93" t="s">
        <v>79</v>
      </c>
      <c r="D43" s="154">
        <f>+'Central Budget'!D43+'Local Government'!D47</f>
        <v>102514052.85000001</v>
      </c>
      <c r="E43" s="286">
        <f t="shared" si="0"/>
        <v>2.4395909866495327</v>
      </c>
      <c r="F43" s="154">
        <f>+'Central Budget'!F43+'Local Government'!F47</f>
        <v>101363625.91</v>
      </c>
      <c r="G43" s="286">
        <f t="shared" si="2"/>
        <v>2.4122135577449368</v>
      </c>
      <c r="H43" s="207">
        <f t="shared" si="3"/>
        <v>1150426.9400000125</v>
      </c>
      <c r="I43" s="292">
        <f t="shared" si="4"/>
        <v>1.1349504614421164</v>
      </c>
      <c r="J43" s="154">
        <f>+'Central Budget'!N43+'Local Government'!J47</f>
        <v>85676007.730000004</v>
      </c>
      <c r="K43" s="286">
        <f t="shared" si="1"/>
        <v>2.1667090114308838</v>
      </c>
      <c r="L43" s="207">
        <f t="shared" si="5"/>
        <v>16838045.120000005</v>
      </c>
      <c r="M43" s="292">
        <f t="shared" si="6"/>
        <v>19.653162613579681</v>
      </c>
      <c r="N43" s="147">
        <f>'Central Budget'!D43+'Local Government'!D47</f>
        <v>102514052.85000001</v>
      </c>
      <c r="O43" s="213">
        <f t="shared" si="8"/>
        <v>0</v>
      </c>
      <c r="P43" s="213"/>
      <c r="Q43" s="213"/>
      <c r="R43" s="81"/>
      <c r="S43" s="81"/>
      <c r="CE43" s="161"/>
      <c r="CF43" s="161"/>
      <c r="CG43" s="145"/>
      <c r="CH43" s="145"/>
      <c r="CI43" s="145"/>
      <c r="CJ43" s="142"/>
    </row>
    <row r="44" spans="1:88" ht="13.5" customHeight="1">
      <c r="B44" s="80">
        <v>417</v>
      </c>
      <c r="C44" s="93" t="s">
        <v>81</v>
      </c>
      <c r="D44" s="154">
        <f>+'Central Budget'!D44+'Local Government'!D48</f>
        <v>9704252.4000000004</v>
      </c>
      <c r="E44" s="286">
        <f t="shared" si="0"/>
        <v>0.23093815949168273</v>
      </c>
      <c r="F44" s="154">
        <f>+'Central Budget'!F44+'Local Government'!F48</f>
        <v>9714612.4393905215</v>
      </c>
      <c r="G44" s="286">
        <f t="shared" si="2"/>
        <v>0.23118470382405276</v>
      </c>
      <c r="H44" s="207">
        <f t="shared" si="3"/>
        <v>-10360.039390521124</v>
      </c>
      <c r="I44" s="292">
        <f t="shared" si="4"/>
        <v>-0.10664387751089066</v>
      </c>
      <c r="J44" s="154">
        <f>+'Central Budget'!N44+'Local Government'!J48</f>
        <v>9721270.6899999995</v>
      </c>
      <c r="K44" s="286">
        <f t="shared" si="1"/>
        <v>0.24584671210358602</v>
      </c>
      <c r="L44" s="207">
        <f t="shared" si="5"/>
        <v>-17018.289999999106</v>
      </c>
      <c r="M44" s="292">
        <f t="shared" si="6"/>
        <v>-0.1750624022588454</v>
      </c>
      <c r="N44" s="147">
        <f>'Central Budget'!D44+'Local Government'!D48</f>
        <v>9704252.4000000004</v>
      </c>
      <c r="O44" s="213">
        <f t="shared" si="8"/>
        <v>0</v>
      </c>
      <c r="P44" s="213"/>
      <c r="Q44" s="213"/>
      <c r="R44" s="81"/>
      <c r="S44" s="81"/>
      <c r="CE44" s="161"/>
      <c r="CF44" s="161"/>
      <c r="CG44" s="145"/>
      <c r="CH44" s="145"/>
      <c r="CI44" s="145"/>
      <c r="CJ44" s="142"/>
    </row>
    <row r="45" spans="1:88" ht="13.5" customHeight="1">
      <c r="B45" s="80">
        <v>418</v>
      </c>
      <c r="C45" s="93" t="s">
        <v>83</v>
      </c>
      <c r="D45" s="154">
        <f>+'Central Budget'!D45+'Local Government'!D49</f>
        <v>29017033.960000005</v>
      </c>
      <c r="E45" s="286">
        <f t="shared" si="0"/>
        <v>0.69053649270602813</v>
      </c>
      <c r="F45" s="154">
        <f>+'Central Budget'!F45+'Local Government'!F49</f>
        <v>28329907.480772339</v>
      </c>
      <c r="G45" s="286">
        <f t="shared" si="2"/>
        <v>0.67418451442784177</v>
      </c>
      <c r="H45" s="207">
        <f t="shared" si="3"/>
        <v>687126.47922766581</v>
      </c>
      <c r="I45" s="292">
        <f t="shared" si="4"/>
        <v>2.4254455461742168</v>
      </c>
      <c r="J45" s="154">
        <f>+'Central Budget'!N45+'Local Government'!J49</f>
        <v>27846151.860000003</v>
      </c>
      <c r="K45" s="286">
        <f t="shared" si="1"/>
        <v>0.70421708208992972</v>
      </c>
      <c r="L45" s="207">
        <f t="shared" si="5"/>
        <v>1170882.1000000015</v>
      </c>
      <c r="M45" s="292">
        <f t="shared" si="6"/>
        <v>4.2048255209077325</v>
      </c>
      <c r="N45" s="147">
        <f>'Central Budget'!D45+'Local Government'!D49</f>
        <v>29017033.960000005</v>
      </c>
      <c r="O45" s="213">
        <f t="shared" si="8"/>
        <v>0</v>
      </c>
      <c r="P45" s="213"/>
      <c r="Q45" s="213"/>
      <c r="R45" s="81"/>
      <c r="S45" s="81"/>
      <c r="CE45" s="161"/>
      <c r="CF45" s="161"/>
      <c r="CG45" s="145"/>
      <c r="CH45" s="145"/>
      <c r="CI45" s="145"/>
      <c r="CJ45" s="142"/>
    </row>
    <row r="46" spans="1:88" ht="13.5" customHeight="1">
      <c r="B46" s="80">
        <v>419</v>
      </c>
      <c r="C46" s="93" t="s">
        <v>85</v>
      </c>
      <c r="D46" s="154">
        <f>+'Central Budget'!D46+'Local Government'!D50</f>
        <v>42042100.019999996</v>
      </c>
      <c r="E46" s="286">
        <f t="shared" si="0"/>
        <v>1.0005021303633896</v>
      </c>
      <c r="F46" s="154">
        <f>+'Central Budget'!F46+'Local Government'!F50</f>
        <v>35857469.524033971</v>
      </c>
      <c r="G46" s="286">
        <f t="shared" si="2"/>
        <v>0.85332261307522372</v>
      </c>
      <c r="H46" s="207">
        <f t="shared" si="3"/>
        <v>6184630.4959660247</v>
      </c>
      <c r="I46" s="292">
        <f t="shared" si="4"/>
        <v>17.24781636311701</v>
      </c>
      <c r="J46" s="154">
        <f>'Central Budget'!N46+'Local Government'!J50</f>
        <v>37477623.670000002</v>
      </c>
      <c r="K46" s="286">
        <f t="shared" si="1"/>
        <v>0.94779281953366046</v>
      </c>
      <c r="L46" s="207">
        <f t="shared" si="5"/>
        <v>4564476.349999994</v>
      </c>
      <c r="M46" s="292">
        <f t="shared" si="6"/>
        <v>12.17920429051577</v>
      </c>
      <c r="N46" s="147">
        <f>'Central Budget'!D46+'Local Government'!D50</f>
        <v>42042100.019999996</v>
      </c>
      <c r="O46" s="213">
        <f t="shared" si="8"/>
        <v>0</v>
      </c>
      <c r="P46" s="213"/>
      <c r="Q46" s="213"/>
      <c r="R46" s="81"/>
      <c r="S46" s="81"/>
      <c r="CE46" s="161"/>
      <c r="CF46" s="161"/>
      <c r="CG46" s="145"/>
      <c r="CH46" s="145"/>
      <c r="CI46" s="145"/>
      <c r="CJ46" s="142"/>
    </row>
    <row r="47" spans="1:88" ht="13.5" customHeight="1">
      <c r="B47" s="80">
        <v>441</v>
      </c>
      <c r="C47" s="93" t="s">
        <v>129</v>
      </c>
      <c r="D47" s="154">
        <f>'Central Budget'!D47</f>
        <v>32419651.509999998</v>
      </c>
      <c r="E47" s="286">
        <f t="shared" si="0"/>
        <v>0.77151070916922493</v>
      </c>
      <c r="F47" s="154">
        <f>+'Central Budget'!F47</f>
        <v>24407753.310000002</v>
      </c>
      <c r="G47" s="286">
        <f t="shared" si="2"/>
        <v>0.5808465602912829</v>
      </c>
      <c r="H47" s="207">
        <f>+D47-F47</f>
        <v>8011898.1999999955</v>
      </c>
      <c r="I47" s="292">
        <f t="shared" si="4"/>
        <v>32.825217865166934</v>
      </c>
      <c r="J47" s="154">
        <f>+'Central Budget'!N47</f>
        <v>42089273.07</v>
      </c>
      <c r="K47" s="286">
        <f t="shared" si="1"/>
        <v>1.0644194292145062</v>
      </c>
      <c r="L47" s="207">
        <f t="shared" si="5"/>
        <v>-9669621.5600000024</v>
      </c>
      <c r="M47" s="292">
        <f t="shared" si="6"/>
        <v>-22.974075945474638</v>
      </c>
      <c r="N47" s="147"/>
      <c r="O47" s="213"/>
      <c r="P47" s="213"/>
      <c r="Q47" s="213"/>
      <c r="R47" s="81"/>
      <c r="S47" s="81"/>
      <c r="CE47" s="161"/>
      <c r="CF47" s="161"/>
      <c r="CG47" s="145"/>
      <c r="CH47" s="145"/>
      <c r="CI47" s="145"/>
      <c r="CJ47" s="142"/>
    </row>
    <row r="48" spans="1:88" ht="13.5" customHeight="1">
      <c r="A48" s="80">
        <v>42</v>
      </c>
      <c r="B48" s="80">
        <v>42</v>
      </c>
      <c r="C48" s="93" t="s">
        <v>86</v>
      </c>
      <c r="D48" s="94">
        <f>SUM(D49:D53)</f>
        <v>538863417.93999994</v>
      </c>
      <c r="E48" s="286">
        <f t="shared" si="0"/>
        <v>12.823669544751432</v>
      </c>
      <c r="F48" s="94">
        <f>SUM(F49:F53)</f>
        <v>565690920.55223548</v>
      </c>
      <c r="G48" s="286">
        <f t="shared" si="2"/>
        <v>13.462100391524132</v>
      </c>
      <c r="H48" s="205">
        <f t="shared" si="3"/>
        <v>-26827502.612235546</v>
      </c>
      <c r="I48" s="292">
        <f t="shared" si="4"/>
        <v>-4.7424311823930623</v>
      </c>
      <c r="J48" s="94">
        <f>SUM(J49:J53)</f>
        <v>556077769.5200001</v>
      </c>
      <c r="K48" s="286">
        <f t="shared" si="1"/>
        <v>14.062965189418849</v>
      </c>
      <c r="L48" s="205">
        <f t="shared" si="5"/>
        <v>-17214351.580000162</v>
      </c>
      <c r="M48" s="292">
        <f t="shared" si="6"/>
        <v>-3.0956733974205406</v>
      </c>
      <c r="N48" s="147">
        <f>'Central Budget'!D48+'Local Government'!D51</f>
        <v>538863417.93999994</v>
      </c>
      <c r="O48" s="213">
        <f t="shared" si="8"/>
        <v>0</v>
      </c>
      <c r="P48" s="81"/>
      <c r="Q48" s="81"/>
      <c r="R48" s="81"/>
      <c r="S48" s="81"/>
      <c r="CE48" s="161"/>
      <c r="CF48" s="161"/>
      <c r="CG48" s="145"/>
      <c r="CH48" s="145"/>
      <c r="CI48" s="145"/>
      <c r="CJ48" s="142"/>
    </row>
    <row r="49" spans="1:88" ht="13.5" customHeight="1">
      <c r="B49" s="80">
        <v>421</v>
      </c>
      <c r="C49" s="97" t="s">
        <v>88</v>
      </c>
      <c r="D49" s="156">
        <f>+'Central Budget'!D49+'Local Government'!D52</f>
        <v>99517402.480000004</v>
      </c>
      <c r="E49" s="285">
        <f t="shared" si="0"/>
        <v>2.3682778248970755</v>
      </c>
      <c r="F49" s="156">
        <f>+'Central Budget'!F49+'Local Government'!F52</f>
        <v>115688440.55223551</v>
      </c>
      <c r="G49" s="285">
        <f t="shared" si="2"/>
        <v>2.7531101247527547</v>
      </c>
      <c r="H49" s="208">
        <f t="shared" si="3"/>
        <v>-16171038.07223551</v>
      </c>
      <c r="I49" s="291">
        <f t="shared" si="4"/>
        <v>-13.978093226119668</v>
      </c>
      <c r="J49" s="156">
        <f>+'Central Budget'!N49+'Local Government'!J52</f>
        <v>115149477.89</v>
      </c>
      <c r="K49" s="285">
        <f t="shared" si="1"/>
        <v>2.912080266299125</v>
      </c>
      <c r="L49" s="208">
        <f t="shared" si="5"/>
        <v>-15632075.409999996</v>
      </c>
      <c r="M49" s="291">
        <f t="shared" si="6"/>
        <v>-13.575463559576889</v>
      </c>
      <c r="N49" s="147"/>
      <c r="O49" s="213"/>
      <c r="P49" s="81"/>
      <c r="Q49" s="81"/>
      <c r="R49" s="81"/>
      <c r="S49" s="81"/>
      <c r="CE49" s="161"/>
      <c r="CF49" s="161"/>
      <c r="CG49" s="145"/>
      <c r="CH49" s="145"/>
      <c r="CI49" s="145"/>
      <c r="CJ49" s="142"/>
    </row>
    <row r="50" spans="1:88" ht="13.5" customHeight="1">
      <c r="B50" s="80">
        <v>422</v>
      </c>
      <c r="C50" s="97" t="s">
        <v>90</v>
      </c>
      <c r="D50" s="156">
        <f>+'Central Budget'!D50+'Local Government'!D53</f>
        <v>12968450.790000001</v>
      </c>
      <c r="E50" s="285">
        <f t="shared" si="0"/>
        <v>0.30861832869279648</v>
      </c>
      <c r="F50" s="156">
        <f>+'Central Budget'!F50+'Local Government'!F53</f>
        <v>15396480</v>
      </c>
      <c r="G50" s="285">
        <f t="shared" si="2"/>
        <v>0.36639965731420004</v>
      </c>
      <c r="H50" s="208">
        <f t="shared" si="3"/>
        <v>-2428029.209999999</v>
      </c>
      <c r="I50" s="291">
        <f t="shared" si="4"/>
        <v>-15.770028019391432</v>
      </c>
      <c r="J50" s="156">
        <f>+'Central Budget'!N50+'Local Government'!J53</f>
        <v>22568289.629999999</v>
      </c>
      <c r="K50" s="285">
        <f t="shared" si="1"/>
        <v>0.57074223939102731</v>
      </c>
      <c r="L50" s="208">
        <f t="shared" si="5"/>
        <v>-9599838.839999998</v>
      </c>
      <c r="M50" s="291">
        <f t="shared" si="6"/>
        <v>-42.53684704240478</v>
      </c>
      <c r="N50" s="147"/>
      <c r="O50" s="213"/>
      <c r="P50" s="81"/>
      <c r="Q50" s="81"/>
      <c r="R50" s="81"/>
      <c r="S50" s="81"/>
      <c r="CE50" s="161"/>
      <c r="CF50" s="161"/>
      <c r="CG50" s="145"/>
      <c r="CH50" s="145"/>
      <c r="CI50" s="145"/>
      <c r="CJ50" s="142"/>
    </row>
    <row r="51" spans="1:88" ht="13.5" customHeight="1">
      <c r="B51" s="80">
        <v>423</v>
      </c>
      <c r="C51" s="97" t="s">
        <v>92</v>
      </c>
      <c r="D51" s="156">
        <f>+'Central Budget'!D51</f>
        <v>401263898.76999998</v>
      </c>
      <c r="E51" s="285">
        <f t="shared" si="0"/>
        <v>9.5491277877727789</v>
      </c>
      <c r="F51" s="156">
        <f>+'Central Budget'!F51</f>
        <v>410150000</v>
      </c>
      <c r="G51" s="285">
        <f t="shared" si="2"/>
        <v>9.7605958925299259</v>
      </c>
      <c r="H51" s="208">
        <f t="shared" si="3"/>
        <v>-8886101.2300000191</v>
      </c>
      <c r="I51" s="291">
        <f t="shared" si="4"/>
        <v>-2.1665491234914072</v>
      </c>
      <c r="J51" s="156">
        <f>+'Central Budget'!N51</f>
        <v>390815475.43000001</v>
      </c>
      <c r="K51" s="285">
        <f t="shared" si="1"/>
        <v>9.8835535741742966</v>
      </c>
      <c r="L51" s="208">
        <f t="shared" si="5"/>
        <v>10448423.339999974</v>
      </c>
      <c r="M51" s="291">
        <f t="shared" si="6"/>
        <v>2.6734927342638883</v>
      </c>
      <c r="N51" s="147"/>
      <c r="O51" s="213"/>
      <c r="P51" s="81"/>
      <c r="Q51" s="81"/>
      <c r="R51" s="81"/>
      <c r="S51" s="81"/>
      <c r="CE51" s="161"/>
      <c r="CF51" s="161"/>
      <c r="CG51" s="145"/>
      <c r="CH51" s="145"/>
      <c r="CI51" s="145"/>
      <c r="CJ51" s="142"/>
    </row>
    <row r="52" spans="1:88" ht="13.5" customHeight="1">
      <c r="B52" s="80">
        <v>424</v>
      </c>
      <c r="C52" s="97" t="s">
        <v>94</v>
      </c>
      <c r="D52" s="156">
        <f>+'Central Budget'!D52</f>
        <v>16489379.109999999</v>
      </c>
      <c r="E52" s="285">
        <f t="shared" si="0"/>
        <v>0.39240806049356275</v>
      </c>
      <c r="F52" s="156">
        <f>+'Central Budget'!F52</f>
        <v>15931000</v>
      </c>
      <c r="G52" s="285">
        <f t="shared" si="2"/>
        <v>0.37911996382761004</v>
      </c>
      <c r="H52" s="208">
        <f t="shared" si="3"/>
        <v>558379.1099999994</v>
      </c>
      <c r="I52" s="291">
        <f t="shared" si="4"/>
        <v>3.5049846839495302</v>
      </c>
      <c r="J52" s="156">
        <f>+'Central Budget'!N52</f>
        <v>16279749.999999996</v>
      </c>
      <c r="K52" s="285">
        <f t="shared" si="1"/>
        <v>0.41170780435992099</v>
      </c>
      <c r="L52" s="208">
        <f t="shared" si="5"/>
        <v>209629.11000000313</v>
      </c>
      <c r="M52" s="291">
        <f t="shared" si="6"/>
        <v>1.287667869592596</v>
      </c>
      <c r="N52" s="147"/>
      <c r="O52" s="213"/>
      <c r="P52" s="81"/>
      <c r="Q52" s="81"/>
      <c r="R52" s="81"/>
      <c r="S52" s="81"/>
      <c r="CE52" s="161"/>
      <c r="CF52" s="161"/>
      <c r="CG52" s="145"/>
      <c r="CH52" s="145"/>
      <c r="CI52" s="145"/>
      <c r="CJ52" s="142"/>
    </row>
    <row r="53" spans="1:88" ht="13.5" customHeight="1">
      <c r="B53" s="80">
        <v>425</v>
      </c>
      <c r="C53" s="97" t="s">
        <v>431</v>
      </c>
      <c r="D53" s="156">
        <f>+'Central Budget'!D53</f>
        <v>8624286.790000001</v>
      </c>
      <c r="E53" s="285">
        <f t="shared" si="0"/>
        <v>0.20523754289521909</v>
      </c>
      <c r="F53" s="156">
        <f>+'Central Budget'!F53</f>
        <v>8525000</v>
      </c>
      <c r="G53" s="285">
        <f t="shared" si="2"/>
        <v>0.20287475309964065</v>
      </c>
      <c r="H53" s="208">
        <f t="shared" si="3"/>
        <v>99286.790000000969</v>
      </c>
      <c r="I53" s="291">
        <f t="shared" si="4"/>
        <v>1.1646544281525024</v>
      </c>
      <c r="J53" s="156">
        <f>+'Central Budget'!N53</f>
        <v>11264776.57</v>
      </c>
      <c r="K53" s="285">
        <f t="shared" si="1"/>
        <v>0.28488130519447674</v>
      </c>
      <c r="L53" s="208">
        <f t="shared" si="5"/>
        <v>-2640489.7799999993</v>
      </c>
      <c r="M53" s="291">
        <f t="shared" si="6"/>
        <v>-23.440232157218887</v>
      </c>
      <c r="N53" s="147"/>
      <c r="O53" s="213"/>
      <c r="P53" s="81"/>
      <c r="Q53" s="81"/>
      <c r="R53" s="81"/>
      <c r="S53" s="81"/>
      <c r="CE53" s="161"/>
      <c r="CF53" s="161"/>
      <c r="CG53" s="145"/>
      <c r="CH53" s="145"/>
      <c r="CI53" s="145"/>
      <c r="CJ53" s="142"/>
    </row>
    <row r="54" spans="1:88" ht="13.5" customHeight="1" thickBot="1">
      <c r="A54" s="80">
        <v>43</v>
      </c>
      <c r="B54" s="80">
        <v>43</v>
      </c>
      <c r="C54" s="93" t="s">
        <v>432</v>
      </c>
      <c r="D54" s="94">
        <f>'Central Budget'!D54+'Local Government'!D54</f>
        <v>212760459.06</v>
      </c>
      <c r="E54" s="286">
        <f t="shared" si="0"/>
        <v>5.0631936189048332</v>
      </c>
      <c r="F54" s="94">
        <f>'Central Budget'!F54+'Local Government'!F54</f>
        <v>209307223.67642108</v>
      </c>
      <c r="G54" s="286">
        <f t="shared" si="2"/>
        <v>4.9810148182199638</v>
      </c>
      <c r="H54" s="205">
        <f t="shared" si="3"/>
        <v>3453235.3835789263</v>
      </c>
      <c r="I54" s="292">
        <f t="shared" si="4"/>
        <v>1.6498405181263394</v>
      </c>
      <c r="J54" s="94">
        <f>'Central Budget'!N54+'Local Government'!J54</f>
        <v>213172214.00999999</v>
      </c>
      <c r="K54" s="286">
        <f t="shared" si="1"/>
        <v>5.3910326743715542</v>
      </c>
      <c r="L54" s="205">
        <f t="shared" si="5"/>
        <v>-411754.94999998808</v>
      </c>
      <c r="M54" s="292">
        <f t="shared" si="6"/>
        <v>-0.19315601327886611</v>
      </c>
      <c r="N54" s="147"/>
      <c r="O54" s="213"/>
      <c r="P54" s="81"/>
      <c r="Q54" s="81"/>
      <c r="R54" s="81"/>
      <c r="S54" s="81"/>
      <c r="CE54" s="161"/>
      <c r="CF54" s="161"/>
      <c r="CG54" s="145"/>
      <c r="CH54" s="145"/>
      <c r="CI54" s="145"/>
      <c r="CJ54" s="142"/>
    </row>
    <row r="55" spans="1:88" ht="13.5" customHeight="1" thickTop="1" thickBot="1">
      <c r="B55" s="80">
        <v>44</v>
      </c>
      <c r="C55" s="178" t="s">
        <v>130</v>
      </c>
      <c r="D55" s="177">
        <f>+'Central Budget'!D57+'Local Government'!D55</f>
        <v>301630186.66000003</v>
      </c>
      <c r="E55" s="283">
        <f t="shared" si="0"/>
        <v>7.1780820699174228</v>
      </c>
      <c r="F55" s="177">
        <f>+'Central Budget'!F57+'Local Government'!F55</f>
        <v>293578600</v>
      </c>
      <c r="G55" s="283">
        <f t="shared" si="2"/>
        <v>6.9864734299516913</v>
      </c>
      <c r="H55" s="177">
        <f t="shared" si="3"/>
        <v>8051586.6600000262</v>
      </c>
      <c r="I55" s="283">
        <f t="shared" si="4"/>
        <v>2.7425659295330149</v>
      </c>
      <c r="J55" s="177">
        <f>+'Central Budget'!N57+'Local Government'!J55</f>
        <v>105855270.84</v>
      </c>
      <c r="K55" s="283">
        <f t="shared" si="1"/>
        <v>2.6770338081027769</v>
      </c>
      <c r="L55" s="177">
        <f t="shared" si="5"/>
        <v>195774915.82000002</v>
      </c>
      <c r="M55" s="283">
        <f t="shared" si="6"/>
        <v>184.94583620301097</v>
      </c>
      <c r="N55" s="147">
        <f>'Central Budget'!D57+'Local Government'!D55</f>
        <v>301630186.66000003</v>
      </c>
      <c r="O55" s="210"/>
      <c r="P55" s="81"/>
      <c r="Q55" s="81"/>
      <c r="R55" s="81"/>
      <c r="S55" s="81"/>
      <c r="CE55" s="161"/>
      <c r="CF55" s="161"/>
      <c r="CG55" s="145"/>
      <c r="CH55" s="145"/>
      <c r="CI55" s="145"/>
      <c r="CJ55" s="142"/>
    </row>
    <row r="56" spans="1:88" ht="13.5" customHeight="1" thickTop="1">
      <c r="B56" s="80">
        <v>451</v>
      </c>
      <c r="C56" s="93" t="s">
        <v>110</v>
      </c>
      <c r="D56" s="154">
        <f>+'Central Budget'!D58+'Local Government'!D56</f>
        <v>7199890.96</v>
      </c>
      <c r="E56" s="286">
        <f t="shared" si="0"/>
        <v>0.17134030508555248</v>
      </c>
      <c r="F56" s="154">
        <f>+'Central Budget'!F58+'Local Government'!F56</f>
        <v>3015702.4712491091</v>
      </c>
      <c r="G56" s="286">
        <f t="shared" si="2"/>
        <v>7.1766556513388757E-2</v>
      </c>
      <c r="H56" s="207">
        <f t="shared" si="3"/>
        <v>4184188.4887508908</v>
      </c>
      <c r="I56" s="292">
        <f t="shared" si="4"/>
        <v>138.74672745875336</v>
      </c>
      <c r="J56" s="154">
        <f>+'Central Budget'!N58+'Local Government'!J56</f>
        <v>3541751.9299999997</v>
      </c>
      <c r="K56" s="286">
        <f t="shared" si="1"/>
        <v>8.9569367507966208E-2</v>
      </c>
      <c r="L56" s="207">
        <f t="shared" si="5"/>
        <v>3658139.0300000003</v>
      </c>
      <c r="M56" s="292">
        <f t="shared" si="6"/>
        <v>103.28614488818815</v>
      </c>
      <c r="N56" s="147"/>
      <c r="O56" s="210"/>
      <c r="P56" s="81"/>
      <c r="Q56" s="81"/>
      <c r="R56" s="81"/>
      <c r="S56" s="81"/>
      <c r="CE56" s="161"/>
      <c r="CF56" s="161"/>
      <c r="CG56" s="145"/>
      <c r="CH56" s="145"/>
      <c r="CI56" s="145"/>
      <c r="CJ56" s="142"/>
    </row>
    <row r="57" spans="1:88" ht="13.5" customHeight="1" thickBot="1">
      <c r="B57" s="80">
        <v>47</v>
      </c>
      <c r="C57" s="93" t="s">
        <v>117</v>
      </c>
      <c r="D57" s="154">
        <f>+'Central Budget'!D59+'Local Government'!D57</f>
        <v>21680036.399999999</v>
      </c>
      <c r="E57" s="286">
        <f t="shared" si="0"/>
        <v>0.51593337616905832</v>
      </c>
      <c r="F57" s="154">
        <f>+'Central Budget'!F59+'Local Government'!F57</f>
        <v>24682091.254990228</v>
      </c>
      <c r="G57" s="286">
        <f t="shared" si="2"/>
        <v>0.58737515182861488</v>
      </c>
      <c r="H57" s="207">
        <f t="shared" si="3"/>
        <v>-3002054.854990229</v>
      </c>
      <c r="I57" s="292">
        <f t="shared" si="4"/>
        <v>-12.162886944935323</v>
      </c>
      <c r="J57" s="154">
        <f>+'Central Budget'!N59+'Local Government'!J57</f>
        <v>20839243.77</v>
      </c>
      <c r="K57" s="286">
        <f t="shared" si="1"/>
        <v>0.52701542081837027</v>
      </c>
      <c r="L57" s="207">
        <f t="shared" si="5"/>
        <v>840792.62999999896</v>
      </c>
      <c r="M57" s="292">
        <f t="shared" si="6"/>
        <v>4.0346599870883892</v>
      </c>
      <c r="N57" s="147"/>
      <c r="O57" s="210"/>
      <c r="P57" s="81"/>
      <c r="Q57" s="81"/>
      <c r="R57" s="81"/>
      <c r="S57" s="81"/>
      <c r="CE57" s="161"/>
      <c r="CF57" s="161"/>
      <c r="CG57" s="145"/>
      <c r="CH57" s="145"/>
      <c r="CI57" s="145"/>
      <c r="CJ57" s="142"/>
    </row>
    <row r="58" spans="1:88" ht="13.5" customHeight="1" thickTop="1" thickBot="1">
      <c r="B58" s="80">
        <v>462</v>
      </c>
      <c r="C58" s="148" t="s">
        <v>112</v>
      </c>
      <c r="D58" s="163">
        <f>'Central Budget'!D60+'Local Government'!D58</f>
        <v>0</v>
      </c>
      <c r="E58" s="287">
        <f t="shared" si="0"/>
        <v>0</v>
      </c>
      <c r="F58" s="163">
        <f>+'Central Budget'!F60+'Local Government'!F58</f>
        <v>40000000</v>
      </c>
      <c r="G58" s="287">
        <f t="shared" si="2"/>
        <v>0.95190499988101196</v>
      </c>
      <c r="H58" s="209">
        <f t="shared" si="3"/>
        <v>-40000000</v>
      </c>
      <c r="I58" s="264">
        <f t="shared" si="4"/>
        <v>-100</v>
      </c>
      <c r="J58" s="163">
        <f>'Central Budget'!N60+'Local Government'!J58</f>
        <v>0</v>
      </c>
      <c r="K58" s="287">
        <f t="shared" si="1"/>
        <v>0</v>
      </c>
      <c r="L58" s="209">
        <f t="shared" si="5"/>
        <v>0</v>
      </c>
      <c r="M58" s="293" t="e">
        <f t="shared" si="6"/>
        <v>#DIV/0!</v>
      </c>
      <c r="N58" s="147"/>
      <c r="O58" s="210"/>
      <c r="P58" s="81"/>
      <c r="Q58" s="81"/>
      <c r="R58" s="81"/>
      <c r="S58" s="81"/>
      <c r="CE58" s="161"/>
      <c r="CF58" s="161"/>
      <c r="CG58" s="145"/>
      <c r="CH58" s="145"/>
      <c r="CI58" s="145"/>
      <c r="CJ58" s="142"/>
    </row>
    <row r="59" spans="1:88" ht="13.5" customHeight="1" thickTop="1" thickBot="1">
      <c r="B59" s="308" t="s">
        <v>451</v>
      </c>
      <c r="C59" s="215" t="s">
        <v>115</v>
      </c>
      <c r="D59" s="331">
        <f>+'Central Budget'!D61+'Local Government'!D59</f>
        <v>71895733.290000007</v>
      </c>
      <c r="E59" s="288">
        <f>D59/D$11*100</f>
        <v>1.710947699721568</v>
      </c>
      <c r="F59" s="216">
        <f>+'Central Budget'!F61+'Local Government'!F59</f>
        <v>0</v>
      </c>
      <c r="G59" s="288">
        <f>F59/D$11*100</f>
        <v>0</v>
      </c>
      <c r="H59" s="217">
        <f>+D59-F59</f>
        <v>71895733.290000007</v>
      </c>
      <c r="I59" s="264" t="e">
        <f t="shared" si="4"/>
        <v>#DIV/0!</v>
      </c>
      <c r="J59" s="216">
        <f>+'Central Budget'!N61+'Local Government'!J59</f>
        <v>108632309.99000001</v>
      </c>
      <c r="K59" s="288">
        <f>J59/J$11*100</f>
        <v>2.7472639216529262</v>
      </c>
      <c r="L59" s="217">
        <f>+D59-J59</f>
        <v>-36736576.700000003</v>
      </c>
      <c r="M59" s="294">
        <f>+D59/J59*100-100</f>
        <v>-33.817357564597245</v>
      </c>
      <c r="N59" s="81">
        <f>+'Central Budget'!J61+'Local Government'!F59</f>
        <v>0</v>
      </c>
      <c r="O59" s="213">
        <f>N59-F59</f>
        <v>0</v>
      </c>
      <c r="R59" s="81"/>
      <c r="S59" s="81"/>
      <c r="CE59" s="161"/>
      <c r="CF59" s="161"/>
      <c r="CG59" s="145"/>
      <c r="CH59" s="145"/>
      <c r="CI59" s="145"/>
      <c r="CJ59" s="142"/>
    </row>
    <row r="60" spans="1:88" ht="13.5" customHeight="1" thickTop="1" thickBot="1">
      <c r="B60" s="80">
        <v>990</v>
      </c>
      <c r="C60" s="147" t="s">
        <v>151</v>
      </c>
      <c r="D60" s="154">
        <f>'Central Budget'!D62+'Local Government'!D60</f>
        <v>0</v>
      </c>
      <c r="E60" s="286">
        <f t="shared" si="0"/>
        <v>0</v>
      </c>
      <c r="F60" s="154">
        <f>+'Central Budget'!F62+'Local Government'!F60</f>
        <v>0</v>
      </c>
      <c r="G60" s="286">
        <f t="shared" si="2"/>
        <v>0</v>
      </c>
      <c r="H60" s="207">
        <f t="shared" si="3"/>
        <v>0</v>
      </c>
      <c r="I60" s="264" t="e">
        <f t="shared" si="4"/>
        <v>#DIV/0!</v>
      </c>
      <c r="J60" s="154">
        <f>+'Central Budget'!N62+'Local Government'!J60</f>
        <v>-30120611.559999999</v>
      </c>
      <c r="K60" s="286">
        <f t="shared" si="1"/>
        <v>-0.76173717970765253</v>
      </c>
      <c r="L60" s="207">
        <f t="shared" si="5"/>
        <v>30120611.559999999</v>
      </c>
      <c r="M60" s="292">
        <f t="shared" si="6"/>
        <v>-100</v>
      </c>
      <c r="N60" s="147"/>
      <c r="O60" s="213"/>
      <c r="P60" s="81"/>
      <c r="Q60" s="81"/>
      <c r="R60" s="81"/>
      <c r="S60" s="81"/>
      <c r="CE60" s="161"/>
      <c r="CF60" s="161"/>
      <c r="CG60" s="145"/>
      <c r="CH60" s="145"/>
      <c r="CI60" s="145"/>
      <c r="CJ60" s="142"/>
    </row>
    <row r="61" spans="1:88" ht="13.5" customHeight="1" thickTop="1" thickBot="1">
      <c r="C61" s="178" t="s">
        <v>131</v>
      </c>
      <c r="D61" s="173">
        <f>+D16-D36</f>
        <v>-227834139.79999971</v>
      </c>
      <c r="E61" s="283">
        <f t="shared" si="0"/>
        <v>-5.421911420480229</v>
      </c>
      <c r="F61" s="173">
        <f>+F16-F36</f>
        <v>-176426139.98592329</v>
      </c>
      <c r="G61" s="283">
        <f t="shared" si="2"/>
        <v>-4.1985231190576924</v>
      </c>
      <c r="H61" s="173">
        <f>+D61-F61</f>
        <v>-51407999.814076424</v>
      </c>
      <c r="I61" s="283">
        <f t="shared" si="4"/>
        <v>29.138539117943736</v>
      </c>
      <c r="J61" s="173">
        <f>+J16-J36</f>
        <v>-142206735.08999968</v>
      </c>
      <c r="K61" s="283">
        <f>J61/J$11*100</f>
        <v>-3.5963465451924455</v>
      </c>
      <c r="L61" s="173">
        <f t="shared" si="5"/>
        <v>-85627404.710000038</v>
      </c>
      <c r="M61" s="283">
        <f t="shared" si="6"/>
        <v>60.213325800503213</v>
      </c>
      <c r="N61" s="147">
        <f>'Central Budget'!D63+'Local Government'!D61</f>
        <v>-227834139.79999983</v>
      </c>
      <c r="O61" s="213">
        <f>N61-D61</f>
        <v>0</v>
      </c>
      <c r="P61" s="210"/>
      <c r="Q61" s="213"/>
      <c r="R61" s="81"/>
      <c r="S61" s="81"/>
      <c r="CE61" s="161"/>
      <c r="CF61" s="161"/>
      <c r="CG61" s="145"/>
      <c r="CH61" s="145"/>
      <c r="CI61" s="145"/>
      <c r="CJ61" s="142"/>
    </row>
    <row r="62" spans="1:88" ht="13.5" customHeight="1" thickTop="1" thickBot="1">
      <c r="C62" s="326" t="s">
        <v>474</v>
      </c>
      <c r="D62" s="173"/>
      <c r="E62" s="283"/>
      <c r="F62" s="173"/>
      <c r="G62" s="283"/>
      <c r="H62" s="173"/>
      <c r="I62" s="283"/>
      <c r="J62" s="173">
        <f>J61-J60</f>
        <v>-112086123.52999967</v>
      </c>
      <c r="K62" s="283">
        <f>J62/J$11*100</f>
        <v>-2.834609365484793</v>
      </c>
      <c r="L62" s="173"/>
      <c r="M62" s="283"/>
      <c r="N62" s="147"/>
      <c r="O62" s="213"/>
      <c r="P62" s="210"/>
      <c r="Q62" s="213"/>
      <c r="R62" s="81"/>
      <c r="S62" s="81"/>
      <c r="CE62" s="161"/>
      <c r="CF62" s="161"/>
      <c r="CG62" s="145"/>
      <c r="CH62" s="145"/>
      <c r="CI62" s="145"/>
      <c r="CJ62" s="142"/>
    </row>
    <row r="63" spans="1:88" ht="13.5" customHeight="1" thickTop="1" thickBot="1">
      <c r="C63" s="178" t="s">
        <v>132</v>
      </c>
      <c r="D63" s="173">
        <f>+D61+D43</f>
        <v>-125320086.9499997</v>
      </c>
      <c r="E63" s="283">
        <f t="shared" si="0"/>
        <v>-2.9823204338306968</v>
      </c>
      <c r="F63" s="173">
        <f>+F61-F43</f>
        <v>-277789765.89592326</v>
      </c>
      <c r="G63" s="283">
        <f t="shared" si="2"/>
        <v>-6.6107366768026283</v>
      </c>
      <c r="H63" s="173">
        <f t="shared" si="3"/>
        <v>152469678.94592357</v>
      </c>
      <c r="I63" s="283">
        <f t="shared" si="4"/>
        <v>-54.886715662177366</v>
      </c>
      <c r="J63" s="173">
        <f>+J62+J43</f>
        <v>-26410115.799999669</v>
      </c>
      <c r="K63" s="283">
        <f t="shared" si="1"/>
        <v>-0.66790035405390902</v>
      </c>
      <c r="L63" s="173">
        <f t="shared" si="5"/>
        <v>-98909971.150000036</v>
      </c>
      <c r="M63" s="283">
        <f t="shared" si="6"/>
        <v>374.51547694463824</v>
      </c>
      <c r="N63" s="147">
        <f>'Central Budget'!D65+'Local Government'!D63</f>
        <v>-125320086.94999982</v>
      </c>
      <c r="O63" s="213">
        <f t="shared" ref="O63:O73" si="9">N63-D63</f>
        <v>-1.1920928955078125E-7</v>
      </c>
      <c r="P63" s="81"/>
      <c r="Q63" s="81"/>
      <c r="R63" s="81"/>
      <c r="S63" s="81"/>
      <c r="CE63" s="161"/>
      <c r="CF63" s="161"/>
      <c r="CG63" s="145"/>
      <c r="CH63" s="145"/>
      <c r="CI63" s="145"/>
      <c r="CJ63" s="142"/>
    </row>
    <row r="64" spans="1:88" ht="13.5" customHeight="1" thickTop="1" thickBot="1">
      <c r="C64" s="178" t="s">
        <v>0</v>
      </c>
      <c r="D64" s="173">
        <f>+SUM(D65:D66)</f>
        <v>371789848.07000005</v>
      </c>
      <c r="E64" s="283">
        <f t="shared" si="0"/>
        <v>8.8477153820708718</v>
      </c>
      <c r="F64" s="173">
        <f>+SUM(F65:F67)</f>
        <v>253415503.14999998</v>
      </c>
      <c r="G64" s="283">
        <f t="shared" si="2"/>
        <v>6.0306871123961825</v>
      </c>
      <c r="H64" s="173">
        <f t="shared" si="3"/>
        <v>118374344.92000008</v>
      </c>
      <c r="I64" s="283">
        <f t="shared" si="4"/>
        <v>46.711563992173268</v>
      </c>
      <c r="J64" s="173">
        <f>+SUM(J65:J66)</f>
        <v>550413782.92999983</v>
      </c>
      <c r="K64" s="283">
        <f t="shared" si="1"/>
        <v>13.919725429416818</v>
      </c>
      <c r="L64" s="173">
        <f t="shared" si="5"/>
        <v>-178623934.85999978</v>
      </c>
      <c r="M64" s="283">
        <f t="shared" si="6"/>
        <v>-32.452663868469429</v>
      </c>
      <c r="N64" s="147">
        <f>'Central Budget'!D66+'Local Government'!D64</f>
        <v>371789848.07000005</v>
      </c>
      <c r="O64" s="213">
        <f t="shared" si="9"/>
        <v>0</v>
      </c>
      <c r="P64" s="81"/>
      <c r="Q64" s="81"/>
      <c r="R64" s="81"/>
      <c r="S64" s="81"/>
      <c r="CE64" s="161"/>
      <c r="CF64" s="161"/>
      <c r="CG64" s="145"/>
      <c r="CH64" s="145"/>
      <c r="CI64" s="145"/>
      <c r="CJ64" s="142"/>
    </row>
    <row r="65" spans="2:88" ht="13.5" customHeight="1" thickTop="1">
      <c r="B65" s="80">
        <v>4611</v>
      </c>
      <c r="C65" s="97" t="s">
        <v>134</v>
      </c>
      <c r="D65" s="156">
        <f>+'Central Budget'!D67+'Local Government'!D65</f>
        <v>236287768.77000001</v>
      </c>
      <c r="E65" s="285">
        <f t="shared" si="0"/>
        <v>5.6230877125722856</v>
      </c>
      <c r="F65" s="156">
        <f>+'Central Budget'!F67+'Local Government'!F65</f>
        <v>81911842.150000006</v>
      </c>
      <c r="G65" s="285">
        <f t="shared" si="2"/>
        <v>1.9493073023012304</v>
      </c>
      <c r="H65" s="208">
        <f t="shared" si="3"/>
        <v>154375926.62</v>
      </c>
      <c r="I65" s="291">
        <f t="shared" si="4"/>
        <v>188.46594407839234</v>
      </c>
      <c r="J65" s="156">
        <f>+'Central Budget'!N67+'Local Government'!J65</f>
        <v>240524484.88999999</v>
      </c>
      <c r="K65" s="285">
        <f t="shared" si="1"/>
        <v>6.0827597210560924</v>
      </c>
      <c r="L65" s="208">
        <f t="shared" si="5"/>
        <v>-4236716.119999975</v>
      </c>
      <c r="M65" s="291">
        <f t="shared" si="6"/>
        <v>-1.761448994241718</v>
      </c>
      <c r="N65" s="147">
        <f>'Central Budget'!D67+'Local Government'!D65</f>
        <v>236287768.77000001</v>
      </c>
      <c r="O65" s="213">
        <f t="shared" si="9"/>
        <v>0</v>
      </c>
      <c r="P65" s="81"/>
      <c r="Q65" s="81"/>
      <c r="R65" s="81"/>
      <c r="S65" s="81"/>
      <c r="CE65" s="161"/>
      <c r="CF65" s="161"/>
      <c r="CG65" s="145"/>
      <c r="CH65" s="145"/>
      <c r="CI65" s="145"/>
      <c r="CJ65" s="142"/>
    </row>
    <row r="66" spans="2:88" ht="13.5" customHeight="1">
      <c r="B66" s="80">
        <v>4612</v>
      </c>
      <c r="C66" s="97" t="s">
        <v>136</v>
      </c>
      <c r="D66" s="156">
        <f>+'Central Budget'!D68+'Local Government'!D66</f>
        <v>135502079.30000004</v>
      </c>
      <c r="E66" s="285">
        <f t="shared" si="0"/>
        <v>3.2246276694985849</v>
      </c>
      <c r="F66" s="156">
        <f>+'Central Budget'!F68+'Local Government'!F66</f>
        <v>137787162.19999999</v>
      </c>
      <c r="G66" s="285">
        <f t="shared" si="2"/>
        <v>3.2790072154398988</v>
      </c>
      <c r="H66" s="208">
        <f t="shared" si="3"/>
        <v>-2285082.8999999464</v>
      </c>
      <c r="I66" s="291">
        <f t="shared" si="4"/>
        <v>-1.6584149521006282</v>
      </c>
      <c r="J66" s="156">
        <f>+'Central Budget'!N68+'Local Government'!J66</f>
        <v>309889298.0399999</v>
      </c>
      <c r="K66" s="285">
        <f t="shared" si="1"/>
        <v>7.8369657083607285</v>
      </c>
      <c r="L66" s="208">
        <f t="shared" si="5"/>
        <v>-174387218.73999986</v>
      </c>
      <c r="M66" s="291">
        <f t="shared" si="6"/>
        <v>-56.27403716197076</v>
      </c>
      <c r="N66" s="147">
        <f>'Central Budget'!D68+'Local Government'!D66</f>
        <v>135502079.30000004</v>
      </c>
      <c r="O66" s="213">
        <f t="shared" si="9"/>
        <v>0</v>
      </c>
      <c r="P66" s="81"/>
      <c r="Q66" s="81"/>
      <c r="R66" s="304"/>
      <c r="S66" s="81"/>
      <c r="CE66" s="161"/>
      <c r="CF66" s="161"/>
      <c r="CG66" s="145"/>
      <c r="CH66" s="145"/>
      <c r="CI66" s="145"/>
      <c r="CJ66" s="142"/>
    </row>
    <row r="67" spans="2:88" ht="13.5" customHeight="1" thickBot="1">
      <c r="B67" s="80" t="s">
        <v>452</v>
      </c>
      <c r="C67" s="97" t="s">
        <v>115</v>
      </c>
      <c r="D67" s="156">
        <f>+'Central Budget'!D69+'Local Government'!D67</f>
        <v>0</v>
      </c>
      <c r="E67" s="285">
        <f t="shared" si="0"/>
        <v>0</v>
      </c>
      <c r="F67" s="156">
        <f>+'Central Budget'!F69+'Local Government'!F67</f>
        <v>33716498.799999997</v>
      </c>
      <c r="G67" s="285">
        <f t="shared" si="2"/>
        <v>0.80237259465505328</v>
      </c>
      <c r="H67" s="208">
        <f t="shared" si="3"/>
        <v>-33716498.799999997</v>
      </c>
      <c r="I67" s="291">
        <f t="shared" si="4"/>
        <v>-100</v>
      </c>
      <c r="J67" s="156">
        <f>+IF(ISNUMBER(VLOOKUP($B67,'Central Budget'!$B$16:$O$78,'Public Expenditure'!J$1,FALSE)),VLOOKUP($B67,'Central Budget'!$B$16:$O$78,'Public Expenditure'!J$1,FALSE),0)+IF(ISNUMBER(VLOOKUP('Public Expenditure'!$B67,'Local Government'!$B$16:$M$74,'Public Expenditure'!J$1,FALSE)),VLOOKUP('Public Expenditure'!$B67,'Local Government'!$B$16:$M$74,'Public Expenditure'!J$1,FALSE),0)</f>
        <v>73086280.140000001</v>
      </c>
      <c r="K67" s="285">
        <f t="shared" si="1"/>
        <v>1.8483202705983512</v>
      </c>
      <c r="L67" s="208">
        <f t="shared" si="5"/>
        <v>-73086280.140000001</v>
      </c>
      <c r="M67" s="291">
        <f t="shared" si="6"/>
        <v>-100</v>
      </c>
      <c r="N67" s="147">
        <f>'Central Budget'!D69+'Local Government'!D67</f>
        <v>0</v>
      </c>
      <c r="O67" s="213">
        <f t="shared" si="9"/>
        <v>0</v>
      </c>
      <c r="P67" s="81"/>
      <c r="Q67" s="81"/>
      <c r="R67" s="81"/>
      <c r="S67" s="81"/>
      <c r="CE67" s="161"/>
      <c r="CF67" s="161"/>
      <c r="CG67" s="145"/>
      <c r="CH67" s="145"/>
      <c r="CI67" s="145"/>
      <c r="CJ67" s="142"/>
    </row>
    <row r="68" spans="2:88" ht="13.5" customHeight="1" thickTop="1" thickBot="1">
      <c r="C68" s="178" t="s">
        <v>140</v>
      </c>
      <c r="D68" s="173">
        <f>+D61-D64</f>
        <v>-599623987.86999977</v>
      </c>
      <c r="E68" s="283">
        <f t="shared" si="0"/>
        <v>-14.2696268025511</v>
      </c>
      <c r="F68" s="173">
        <f>+F61-F64</f>
        <v>-429841643.13592327</v>
      </c>
      <c r="G68" s="283">
        <f t="shared" si="2"/>
        <v>-10.229210231453875</v>
      </c>
      <c r="H68" s="173">
        <f t="shared" si="3"/>
        <v>-169782344.7340765</v>
      </c>
      <c r="I68" s="283">
        <f t="shared" si="4"/>
        <v>39.498812515098365</v>
      </c>
      <c r="J68" s="173">
        <f>+J62-J64</f>
        <v>-662499906.45999956</v>
      </c>
      <c r="K68" s="283">
        <f t="shared" si="1"/>
        <v>-16.754334794901613</v>
      </c>
      <c r="L68" s="173">
        <f t="shared" si="5"/>
        <v>62875918.589999795</v>
      </c>
      <c r="M68" s="283">
        <f t="shared" si="6"/>
        <v>-9.4907060328462336</v>
      </c>
      <c r="N68" s="147">
        <f>'Central Budget'!D70+'Local Government'!D68</f>
        <v>-599623987.86999989</v>
      </c>
      <c r="O68" s="213">
        <f t="shared" si="9"/>
        <v>0</v>
      </c>
      <c r="P68" s="81"/>
      <c r="Q68" s="213"/>
      <c r="R68" s="213"/>
      <c r="S68" s="81"/>
      <c r="CE68" s="161"/>
      <c r="CF68" s="161"/>
      <c r="CG68" s="145"/>
      <c r="CH68" s="145"/>
      <c r="CI68" s="145"/>
      <c r="CJ68" s="142"/>
    </row>
    <row r="69" spans="2:88" ht="13.5" customHeight="1" thickTop="1" thickBot="1">
      <c r="C69" s="178" t="s">
        <v>120</v>
      </c>
      <c r="D69" s="173">
        <f>+SUM(D70:D71)-D72+D73+D74</f>
        <v>599623987.86999989</v>
      </c>
      <c r="E69" s="283">
        <f t="shared" si="0"/>
        <v>14.269626802551102</v>
      </c>
      <c r="F69" s="173">
        <f>+SUM(F70:F74)</f>
        <v>429841643.13592339</v>
      </c>
      <c r="G69" s="283">
        <f t="shared" si="2"/>
        <v>10.229210231453878</v>
      </c>
      <c r="H69" s="173">
        <f t="shared" si="3"/>
        <v>169782344.7340765</v>
      </c>
      <c r="I69" s="283">
        <f t="shared" si="4"/>
        <v>39.498812515098336</v>
      </c>
      <c r="J69" s="173">
        <f>+SUM(J70:J74)+J60</f>
        <v>662499906.45999956</v>
      </c>
      <c r="K69" s="283">
        <f t="shared" si="1"/>
        <v>16.754334794901613</v>
      </c>
      <c r="L69" s="173">
        <f t="shared" si="5"/>
        <v>-62875918.589999676</v>
      </c>
      <c r="M69" s="283">
        <f t="shared" si="6"/>
        <v>-9.4907060328462052</v>
      </c>
      <c r="N69" s="147">
        <f>'Central Budget'!D71+'Local Government'!D69</f>
        <v>599623987.86999989</v>
      </c>
      <c r="O69" s="306">
        <f t="shared" si="9"/>
        <v>0</v>
      </c>
      <c r="P69" s="81"/>
      <c r="Q69" s="213"/>
      <c r="R69" s="213"/>
      <c r="S69" s="81"/>
      <c r="CE69" s="161"/>
      <c r="CF69" s="161"/>
      <c r="CG69" s="145"/>
      <c r="CH69" s="145"/>
      <c r="CI69" s="145"/>
      <c r="CJ69" s="142"/>
    </row>
    <row r="70" spans="2:88" ht="13.5" customHeight="1" thickTop="1">
      <c r="B70" s="80">
        <v>7511</v>
      </c>
      <c r="C70" s="97" t="s">
        <v>143</v>
      </c>
      <c r="D70" s="156">
        <f>+'Central Budget'!D72+'Local Government'!D70</f>
        <v>264385187.05000001</v>
      </c>
      <c r="E70" s="285">
        <f t="shared" si="0"/>
        <v>6.2917395361842887</v>
      </c>
      <c r="F70" s="156">
        <f>+'Central Budget'!F72+'Local Government'!F70</f>
        <v>110000000</v>
      </c>
      <c r="G70" s="285">
        <f t="shared" si="2"/>
        <v>2.6177387496727826</v>
      </c>
      <c r="H70" s="208">
        <f t="shared" si="3"/>
        <v>154385187.05000001</v>
      </c>
      <c r="I70" s="291">
        <f t="shared" si="4"/>
        <v>140.35017004545455</v>
      </c>
      <c r="J70" s="156">
        <f>+'Central Budget'!N72+'Local Government'!J70</f>
        <v>329212313.42000002</v>
      </c>
      <c r="K70" s="285">
        <f t="shared" si="1"/>
        <v>8.3256363719589306</v>
      </c>
      <c r="L70" s="208">
        <f t="shared" si="5"/>
        <v>-64827126.370000005</v>
      </c>
      <c r="M70" s="291">
        <f t="shared" si="6"/>
        <v>-19.691586167159954</v>
      </c>
      <c r="N70" s="147">
        <f>'Central Budget'!D72+'Local Government'!D70</f>
        <v>264385187.05000001</v>
      </c>
      <c r="O70" s="213">
        <f t="shared" si="9"/>
        <v>0</v>
      </c>
      <c r="P70" s="81"/>
      <c r="Q70" s="213"/>
      <c r="R70" s="213"/>
      <c r="S70" s="81"/>
      <c r="CE70" s="161"/>
      <c r="CF70" s="161"/>
      <c r="CG70" s="145"/>
      <c r="CH70" s="145"/>
      <c r="CI70" s="145"/>
      <c r="CJ70" s="142"/>
    </row>
    <row r="71" spans="2:88" ht="13.5" customHeight="1">
      <c r="B71" s="80">
        <v>7512</v>
      </c>
      <c r="C71" s="97" t="s">
        <v>121</v>
      </c>
      <c r="D71" s="156">
        <f>+'Central Budget'!D73+'Local Government'!D71</f>
        <v>353339674.82999998</v>
      </c>
      <c r="E71" s="285">
        <f t="shared" si="0"/>
        <v>8.4086450781751978</v>
      </c>
      <c r="F71" s="156">
        <f>+'Central Budget'!F73+'Local Government'!F71</f>
        <v>301414222.00420702</v>
      </c>
      <c r="G71" s="285">
        <f t="shared" si="2"/>
        <v>7.1729426240262493</v>
      </c>
      <c r="H71" s="208">
        <f t="shared" si="3"/>
        <v>51925452.825792968</v>
      </c>
      <c r="I71" s="291">
        <f t="shared" si="4"/>
        <v>17.227273643732772</v>
      </c>
      <c r="J71" s="156">
        <f>+'Central Budget'!N73+'Local Government'!J71</f>
        <v>331976296.05999994</v>
      </c>
      <c r="K71" s="285">
        <f t="shared" si="1"/>
        <v>8.3955362920439001</v>
      </c>
      <c r="L71" s="208">
        <f t="shared" si="5"/>
        <v>21363378.770000041</v>
      </c>
      <c r="M71" s="291">
        <f t="shared" si="6"/>
        <v>6.4352120990406263</v>
      </c>
      <c r="N71" s="147">
        <f>'Central Budget'!D73+'Local Government'!D71</f>
        <v>353339674.82999998</v>
      </c>
      <c r="O71" s="213">
        <f t="shared" si="9"/>
        <v>0</v>
      </c>
      <c r="P71" s="81"/>
      <c r="Q71" s="213"/>
      <c r="R71" s="213"/>
      <c r="S71" s="81"/>
      <c r="CE71" s="161"/>
      <c r="CF71" s="161"/>
      <c r="CG71" s="145"/>
      <c r="CH71" s="145"/>
      <c r="CI71" s="145"/>
      <c r="CJ71" s="142"/>
    </row>
    <row r="72" spans="2:88" ht="13.5" customHeight="1">
      <c r="C72" s="97" t="s">
        <v>472</v>
      </c>
      <c r="D72" s="156">
        <f>'Local Government'!D74</f>
        <v>3634108.3600000003</v>
      </c>
      <c r="E72" s="285">
        <v>1.623478895327202E-2</v>
      </c>
      <c r="F72" s="156">
        <f>+'Local Government'!F74</f>
        <v>3000000</v>
      </c>
      <c r="G72" s="285">
        <v>1.2093987560469938E-2</v>
      </c>
      <c r="H72" s="208">
        <v>155785.22999999998</v>
      </c>
      <c r="I72" s="291">
        <v>34.238512087912085</v>
      </c>
      <c r="J72" s="156">
        <f>'Local Government'!J74</f>
        <v>1747766.81</v>
      </c>
      <c r="K72" s="285">
        <v>1.1222136551724139E-2</v>
      </c>
      <c r="L72" s="208">
        <v>203982.77999999997</v>
      </c>
      <c r="M72" s="291">
        <v>50.142957595265216</v>
      </c>
      <c r="N72" s="147"/>
      <c r="O72" s="213"/>
      <c r="P72" s="81"/>
      <c r="Q72" s="213"/>
      <c r="R72" s="213"/>
      <c r="S72" s="81"/>
      <c r="CE72" s="161"/>
      <c r="CF72" s="161"/>
      <c r="CG72" s="145"/>
      <c r="CH72" s="145"/>
      <c r="CI72" s="145"/>
      <c r="CJ72" s="142"/>
    </row>
    <row r="73" spans="2:88" ht="13.5" customHeight="1" thickBot="1">
      <c r="B73" s="80">
        <v>72</v>
      </c>
      <c r="C73" s="103" t="s">
        <v>328</v>
      </c>
      <c r="D73" s="156">
        <f>+'Central Budget'!D74+'Local Government'!D72</f>
        <v>9272797.5899999999</v>
      </c>
      <c r="E73" s="289">
        <f t="shared" si="0"/>
        <v>0.22067055972013994</v>
      </c>
      <c r="F73" s="156">
        <f>+'Central Budget'!F74+'Local Government'!F72</f>
        <v>5000000</v>
      </c>
      <c r="G73" s="289">
        <f t="shared" si="2"/>
        <v>0.11898812498512649</v>
      </c>
      <c r="H73" s="208">
        <f t="shared" si="3"/>
        <v>4272797.59</v>
      </c>
      <c r="I73" s="291">
        <f t="shared" si="4"/>
        <v>85.455951800000008</v>
      </c>
      <c r="J73" s="156">
        <f>+'Central Budget'!N74+'Local Government'!J72</f>
        <v>11131842.209999999</v>
      </c>
      <c r="K73" s="289">
        <f t="shared" si="1"/>
        <v>0.28151945298669767</v>
      </c>
      <c r="L73" s="208">
        <f t="shared" si="5"/>
        <v>-1859044.6199999992</v>
      </c>
      <c r="M73" s="291">
        <f t="shared" si="6"/>
        <v>-16.700242286312459</v>
      </c>
      <c r="N73" s="147">
        <f>'Central Budget'!D74+'Local Government'!D72</f>
        <v>9272797.5899999999</v>
      </c>
      <c r="O73" s="213">
        <f t="shared" si="9"/>
        <v>0</v>
      </c>
      <c r="P73" s="81"/>
      <c r="Q73" s="213"/>
      <c r="R73" s="213"/>
      <c r="S73" s="81"/>
      <c r="CE73" s="161"/>
      <c r="CF73" s="161"/>
      <c r="CG73" s="145"/>
      <c r="CH73" s="145"/>
      <c r="CI73" s="145"/>
      <c r="CJ73" s="142"/>
    </row>
    <row r="74" spans="2:88" ht="13.5" customHeight="1" thickTop="1" thickBot="1">
      <c r="C74" s="148" t="s">
        <v>124</v>
      </c>
      <c r="D74" s="149">
        <f>+'Central Budget'!D75+'Local Government'!D73</f>
        <v>-23739563.240000155</v>
      </c>
      <c r="E74" s="287">
        <f t="shared" si="0"/>
        <v>-0.56494522357869059</v>
      </c>
      <c r="F74" s="149">
        <f>+'Central Budget'!F75+'Local Government'!F73</f>
        <v>10427421.131716371</v>
      </c>
      <c r="G74" s="287">
        <f t="shared" si="2"/>
        <v>0.24814785777864329</v>
      </c>
      <c r="H74" s="206">
        <f t="shared" si="3"/>
        <v>-34166984.371716529</v>
      </c>
      <c r="I74" s="293">
        <f t="shared" si="4"/>
        <v>-327.66475948490427</v>
      </c>
      <c r="J74" s="149">
        <f>-J68-SUM(J70:J73)-J60</f>
        <v>18552299.51999956</v>
      </c>
      <c r="K74" s="287">
        <f t="shared" si="1"/>
        <v>0.46917959435535783</v>
      </c>
      <c r="L74" s="206">
        <f t="shared" si="5"/>
        <v>-42291862.759999715</v>
      </c>
      <c r="M74" s="293">
        <f t="shared" si="6"/>
        <v>-227.96021977981044</v>
      </c>
      <c r="N74" s="147">
        <f>'Central Budget'!D75+'Local Government'!D73</f>
        <v>-23739563.240000155</v>
      </c>
      <c r="O74" s="306">
        <f>N74-D74</f>
        <v>0</v>
      </c>
      <c r="P74" s="81"/>
      <c r="Q74" s="213"/>
      <c r="R74" s="81"/>
      <c r="S74" s="81"/>
      <c r="CE74" s="161"/>
      <c r="CF74" s="161"/>
      <c r="CG74" s="145"/>
      <c r="CH74" s="145"/>
      <c r="CI74" s="145"/>
      <c r="CJ74" s="142"/>
    </row>
    <row r="75" spans="2:88" ht="13.5" thickTop="1">
      <c r="C75" s="106" t="str">
        <f>IF(MasterSheet!$A$1=1,MasterSheet!C151,MasterSheet!B151)</f>
        <v>Izvor: Ministarstvo finansija Crne Gore</v>
      </c>
      <c r="D75" s="107"/>
      <c r="E75" s="107"/>
      <c r="F75" s="107"/>
      <c r="G75" s="107"/>
      <c r="H75" s="107"/>
      <c r="I75" s="107"/>
      <c r="J75" s="107"/>
      <c r="K75" s="107"/>
      <c r="L75" s="107"/>
      <c r="M75" s="107" t="s">
        <v>427</v>
      </c>
      <c r="O75" s="81"/>
      <c r="P75" s="81"/>
      <c r="Q75" s="81"/>
      <c r="R75" s="81"/>
      <c r="S75" s="81"/>
    </row>
    <row r="77" spans="2:88">
      <c r="D77" s="218"/>
    </row>
    <row r="80" spans="2:88">
      <c r="D80" s="102"/>
      <c r="F80" s="102"/>
      <c r="J80" s="102"/>
    </row>
    <row r="81" spans="3:13">
      <c r="D81" s="102"/>
      <c r="E81" s="102"/>
      <c r="F81" s="102"/>
      <c r="G81" s="102"/>
      <c r="H81" s="102"/>
      <c r="I81" s="218"/>
      <c r="J81" s="102"/>
      <c r="K81" s="102"/>
      <c r="L81" s="102"/>
      <c r="M81" s="102"/>
    </row>
    <row r="82" spans="3:13">
      <c r="C82" s="305"/>
      <c r="D82" s="102"/>
      <c r="E82" s="102"/>
      <c r="F82" s="102"/>
      <c r="G82" s="102"/>
      <c r="H82" s="102"/>
      <c r="I82" s="218"/>
      <c r="J82" s="102"/>
      <c r="K82" s="102"/>
      <c r="L82" s="102"/>
      <c r="M82" s="102"/>
    </row>
    <row r="83" spans="3:13">
      <c r="D83" s="218"/>
      <c r="E83" s="218"/>
      <c r="F83" s="218"/>
      <c r="G83" s="218"/>
      <c r="H83" s="218"/>
      <c r="I83" s="218"/>
      <c r="J83" s="218"/>
      <c r="K83" s="218"/>
      <c r="L83" s="218"/>
      <c r="M83" s="218"/>
    </row>
    <row r="85" spans="3:13">
      <c r="J85" s="316"/>
    </row>
    <row r="86" spans="3:13">
      <c r="D86" s="102"/>
      <c r="E86" s="102"/>
      <c r="F86" s="102"/>
      <c r="G86" s="102"/>
      <c r="H86" s="102"/>
      <c r="I86" s="102"/>
      <c r="J86" s="102"/>
      <c r="K86" s="102"/>
      <c r="L86" s="102"/>
    </row>
    <row r="87" spans="3:13">
      <c r="D87" s="102"/>
      <c r="E87" s="102"/>
      <c r="F87" s="102"/>
      <c r="G87" s="102"/>
      <c r="H87" s="102"/>
      <c r="I87" s="102"/>
      <c r="J87" s="102"/>
      <c r="K87" s="102"/>
      <c r="L87" s="102"/>
    </row>
    <row r="88" spans="3:13">
      <c r="D88" s="300"/>
      <c r="E88" s="300"/>
      <c r="F88" s="300"/>
      <c r="G88" s="300"/>
      <c r="H88" s="300"/>
      <c r="I88" s="300"/>
      <c r="J88" s="300"/>
      <c r="K88" s="300"/>
      <c r="L88" s="300"/>
    </row>
    <row r="89" spans="3:13">
      <c r="D89" s="218"/>
    </row>
    <row r="91" spans="3:13">
      <c r="D91" s="102"/>
      <c r="E91" s="102"/>
      <c r="F91" s="102"/>
      <c r="G91" s="102"/>
      <c r="H91" s="102"/>
      <c r="I91" s="102"/>
      <c r="J91" s="102"/>
      <c r="K91" s="102"/>
      <c r="L91" s="102"/>
    </row>
    <row r="92" spans="3:13">
      <c r="D92" s="102"/>
      <c r="E92" s="102"/>
      <c r="F92" s="102"/>
      <c r="G92" s="102"/>
      <c r="H92" s="102"/>
      <c r="I92" s="102"/>
      <c r="J92" s="102"/>
      <c r="K92" s="102"/>
      <c r="L92" s="102"/>
    </row>
    <row r="93" spans="3:13">
      <c r="D93" s="102"/>
      <c r="E93" s="102"/>
      <c r="F93" s="102"/>
      <c r="G93" s="102"/>
      <c r="H93" s="102"/>
      <c r="I93" s="102"/>
      <c r="J93" s="102"/>
      <c r="K93" s="102"/>
      <c r="L93" s="102"/>
    </row>
  </sheetData>
  <sheetProtection formatCells="0" formatColumns="0" formatRows="0" sort="0" autoFilter="0"/>
  <mergeCells count="12">
    <mergeCell ref="H11:I11"/>
    <mergeCell ref="L11:M11"/>
    <mergeCell ref="D11:G11"/>
    <mergeCell ref="C14:C15"/>
    <mergeCell ref="D14:E14"/>
    <mergeCell ref="F14:G14"/>
    <mergeCell ref="H14:I14"/>
    <mergeCell ref="J14:K14"/>
    <mergeCell ref="L14:M14"/>
    <mergeCell ref="D13:E13"/>
    <mergeCell ref="J13:K13"/>
    <mergeCell ref="J11:K11"/>
  </mergeCells>
  <printOptions horizontalCentered="1" verticalCentered="1"/>
  <pageMargins left="0" right="0" top="0.19685039370078741" bottom="0.19685039370078741" header="0" footer="0"/>
  <pageSetup paperSize="9" scale="1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081" r:id="rId4" name="List Box 1">
              <controlPr defaultSize="0" autoLine="0" autoPict="0">
                <anchor moveWithCells="1">
                  <from>
                    <xdr:col>0</xdr:col>
                    <xdr:colOff>9525</xdr:colOff>
                    <xdr:row>0</xdr:row>
                    <xdr:rowOff>0</xdr:rowOff>
                  </from>
                  <to>
                    <xdr:col>2</xdr:col>
                    <xdr:colOff>1000125</xdr:colOff>
                    <xdr:row>9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G59"/>
  <sheetViews>
    <sheetView workbookViewId="0">
      <selection activeCell="F5" sqref="F5"/>
    </sheetView>
  </sheetViews>
  <sheetFormatPr defaultColWidth="9.140625" defaultRowHeight="15"/>
  <cols>
    <col min="1" max="2" width="9.140625" style="29"/>
    <col min="3" max="3" width="51.7109375" style="29" bestFit="1" customWidth="1"/>
    <col min="4" max="4" width="15.42578125" style="29" bestFit="1" customWidth="1"/>
    <col min="5" max="5" width="9.140625" style="29"/>
    <col min="6" max="6" width="15.5703125" style="29" bestFit="1" customWidth="1"/>
    <col min="7" max="7" width="15.42578125" style="29" bestFit="1" customWidth="1"/>
    <col min="8" max="16384" width="9.140625" style="29"/>
  </cols>
  <sheetData>
    <row r="2" spans="2:7" ht="15.75" thickBot="1">
      <c r="D2" s="179" t="s">
        <v>436</v>
      </c>
    </row>
    <row r="3" spans="2:7" ht="55.5" thickTop="1" thickBot="1">
      <c r="B3" s="30" t="s">
        <v>393</v>
      </c>
      <c r="C3" s="31" t="s">
        <v>394</v>
      </c>
      <c r="D3" s="32" t="s">
        <v>395</v>
      </c>
      <c r="G3" s="29" t="s">
        <v>396</v>
      </c>
    </row>
    <row r="4" spans="2:7" ht="16.5" thickTop="1" thickBot="1">
      <c r="B4" s="33">
        <v>7</v>
      </c>
      <c r="C4" s="34" t="s">
        <v>397</v>
      </c>
      <c r="D4" s="35" t="e">
        <f>+D5+D36+D55+D52+D44</f>
        <v>#REF!</v>
      </c>
      <c r="F4" s="70" t="e">
        <f>+#REF!+#REF!+#REF!+#REF!+#REF!</f>
        <v>#REF!</v>
      </c>
      <c r="G4" s="36" t="e">
        <f>+D4-F4</f>
        <v>#REF!</v>
      </c>
    </row>
    <row r="5" spans="2:7" ht="15.75" thickTop="1">
      <c r="B5" s="37">
        <v>71</v>
      </c>
      <c r="C5" s="38" t="s">
        <v>398</v>
      </c>
      <c r="D5" s="39" t="e">
        <f>+D6+D14+D19+D24+D31</f>
        <v>#REF!</v>
      </c>
      <c r="F5" s="40"/>
    </row>
    <row r="6" spans="2:7">
      <c r="B6" s="41">
        <v>711</v>
      </c>
      <c r="C6" s="42" t="s">
        <v>2</v>
      </c>
      <c r="D6" s="43" t="e">
        <f>SUM(D7:D13)</f>
        <v>#REF!</v>
      </c>
    </row>
    <row r="7" spans="2:7">
      <c r="B7" s="44">
        <v>7111</v>
      </c>
      <c r="C7" s="45" t="s">
        <v>3</v>
      </c>
      <c r="D7" s="46" t="e">
        <f>+#REF!</f>
        <v>#REF!</v>
      </c>
      <c r="E7" s="40"/>
    </row>
    <row r="8" spans="2:7">
      <c r="B8" s="44">
        <v>7112</v>
      </c>
      <c r="C8" s="45" t="s">
        <v>5</v>
      </c>
      <c r="D8" s="46" t="e">
        <f>+#REF!</f>
        <v>#REF!</v>
      </c>
    </row>
    <row r="9" spans="2:7">
      <c r="B9" s="44">
        <v>7113</v>
      </c>
      <c r="C9" s="45" t="s">
        <v>304</v>
      </c>
      <c r="D9" s="46" t="e">
        <f>+#REF!</f>
        <v>#REF!</v>
      </c>
    </row>
    <row r="10" spans="2:7">
      <c r="B10" s="44">
        <v>7114</v>
      </c>
      <c r="C10" s="45" t="s">
        <v>9</v>
      </c>
      <c r="D10" s="46" t="e">
        <f>+#REF!</f>
        <v>#REF!</v>
      </c>
    </row>
    <row r="11" spans="2:7">
      <c r="B11" s="44">
        <v>7115</v>
      </c>
      <c r="C11" s="45" t="s">
        <v>305</v>
      </c>
      <c r="D11" s="46" t="e">
        <f>+#REF!</f>
        <v>#REF!</v>
      </c>
    </row>
    <row r="12" spans="2:7">
      <c r="B12" s="44">
        <v>7116</v>
      </c>
      <c r="C12" s="45" t="s">
        <v>14</v>
      </c>
      <c r="D12" s="46" t="e">
        <f>+#REF!</f>
        <v>#REF!</v>
      </c>
    </row>
    <row r="13" spans="2:7">
      <c r="B13" s="44">
        <v>7118</v>
      </c>
      <c r="C13" s="45" t="s">
        <v>16</v>
      </c>
      <c r="D13" s="46" t="e">
        <f>+#REF!</f>
        <v>#REF!</v>
      </c>
    </row>
    <row r="14" spans="2:7">
      <c r="B14" s="41">
        <v>712</v>
      </c>
      <c r="C14" s="42" t="s">
        <v>19</v>
      </c>
      <c r="D14" s="43" t="e">
        <f>SUM(D15:D18)</f>
        <v>#REF!</v>
      </c>
    </row>
    <row r="15" spans="2:7">
      <c r="B15" s="44">
        <v>7121</v>
      </c>
      <c r="C15" s="45" t="s">
        <v>21</v>
      </c>
      <c r="D15" s="46" t="e">
        <f>+#REF!</f>
        <v>#REF!</v>
      </c>
      <c r="F15" s="40"/>
    </row>
    <row r="16" spans="2:7">
      <c r="B16" s="44">
        <v>7122</v>
      </c>
      <c r="C16" s="45" t="s">
        <v>23</v>
      </c>
      <c r="D16" s="46" t="e">
        <f>+#REF!</f>
        <v>#REF!</v>
      </c>
    </row>
    <row r="17" spans="2:4">
      <c r="B17" s="44">
        <v>7123</v>
      </c>
      <c r="C17" s="45" t="s">
        <v>25</v>
      </c>
      <c r="D17" s="46" t="e">
        <f>+#REF!</f>
        <v>#REF!</v>
      </c>
    </row>
    <row r="18" spans="2:4">
      <c r="B18" s="44">
        <v>7124</v>
      </c>
      <c r="C18" s="45" t="s">
        <v>27</v>
      </c>
      <c r="D18" s="46" t="e">
        <f>+#REF!</f>
        <v>#REF!</v>
      </c>
    </row>
    <row r="19" spans="2:4">
      <c r="B19" s="41">
        <v>713</v>
      </c>
      <c r="C19" s="42" t="s">
        <v>29</v>
      </c>
      <c r="D19" s="43" t="e">
        <f>SUM(D20:D23)</f>
        <v>#REF!</v>
      </c>
    </row>
    <row r="20" spans="2:4">
      <c r="B20" s="44">
        <v>7131</v>
      </c>
      <c r="C20" s="47" t="s">
        <v>31</v>
      </c>
      <c r="D20" s="46" t="e">
        <f>+#REF!</f>
        <v>#REF!</v>
      </c>
    </row>
    <row r="21" spans="2:4">
      <c r="B21" s="44">
        <v>7132</v>
      </c>
      <c r="C21" s="47" t="s">
        <v>32</v>
      </c>
      <c r="D21" s="46" t="e">
        <f>+#REF!</f>
        <v>#REF!</v>
      </c>
    </row>
    <row r="22" spans="2:4">
      <c r="B22" s="44">
        <v>7133</v>
      </c>
      <c r="C22" s="47" t="s">
        <v>34</v>
      </c>
      <c r="D22" s="46" t="e">
        <f>+#REF!</f>
        <v>#REF!</v>
      </c>
    </row>
    <row r="23" spans="2:4">
      <c r="B23" s="44">
        <v>7136</v>
      </c>
      <c r="C23" s="47" t="s">
        <v>37</v>
      </c>
      <c r="D23" s="46" t="e">
        <f>+#REF!</f>
        <v>#REF!</v>
      </c>
    </row>
    <row r="24" spans="2:4">
      <c r="B24" s="41">
        <v>714</v>
      </c>
      <c r="C24" s="42" t="s">
        <v>39</v>
      </c>
      <c r="D24" s="43" t="e">
        <f>SUM(D25:D30)</f>
        <v>#REF!</v>
      </c>
    </row>
    <row r="25" spans="2:4">
      <c r="B25" s="44">
        <v>7141</v>
      </c>
      <c r="C25" s="45" t="s">
        <v>40</v>
      </c>
      <c r="D25" s="46" t="e">
        <f>+#REF!</f>
        <v>#REF!</v>
      </c>
    </row>
    <row r="26" spans="2:4">
      <c r="B26" s="44">
        <v>7142</v>
      </c>
      <c r="C26" s="45" t="s">
        <v>399</v>
      </c>
      <c r="D26" s="46" t="e">
        <f>+#REF!</f>
        <v>#REF!</v>
      </c>
    </row>
    <row r="27" spans="2:4">
      <c r="B27" s="44">
        <v>7143</v>
      </c>
      <c r="C27" s="45" t="s">
        <v>45</v>
      </c>
      <c r="D27" s="46" t="e">
        <f>+#REF!</f>
        <v>#REF!</v>
      </c>
    </row>
    <row r="28" spans="2:4">
      <c r="B28" s="44">
        <v>7144</v>
      </c>
      <c r="C28" s="45" t="s">
        <v>47</v>
      </c>
      <c r="D28" s="46" t="e">
        <f>+#REF!</f>
        <v>#REF!</v>
      </c>
    </row>
    <row r="29" spans="2:4">
      <c r="B29" s="44">
        <v>7148</v>
      </c>
      <c r="C29" s="45" t="s">
        <v>312</v>
      </c>
      <c r="D29" s="46" t="e">
        <f>+#REF!</f>
        <v>#REF!</v>
      </c>
    </row>
    <row r="30" spans="2:4">
      <c r="B30" s="44">
        <v>7149</v>
      </c>
      <c r="C30" s="45" t="s">
        <v>51</v>
      </c>
      <c r="D30" s="46" t="e">
        <f>+#REF!</f>
        <v>#REF!</v>
      </c>
    </row>
    <row r="31" spans="2:4">
      <c r="B31" s="41">
        <v>715</v>
      </c>
      <c r="C31" s="42" t="s">
        <v>53</v>
      </c>
      <c r="D31" s="43" t="e">
        <f>SUM(D32:D35)</f>
        <v>#REF!</v>
      </c>
    </row>
    <row r="32" spans="2:4">
      <c r="B32" s="44">
        <v>7151</v>
      </c>
      <c r="C32" s="48" t="s">
        <v>55</v>
      </c>
      <c r="D32" s="46" t="e">
        <f>+#REF!</f>
        <v>#REF!</v>
      </c>
    </row>
    <row r="33" spans="2:4">
      <c r="B33" s="44">
        <v>7152</v>
      </c>
      <c r="C33" s="48" t="s">
        <v>57</v>
      </c>
      <c r="D33" s="46" t="e">
        <f>+#REF!</f>
        <v>#REF!</v>
      </c>
    </row>
    <row r="34" spans="2:4" ht="16.5" customHeight="1">
      <c r="B34" s="44">
        <v>7153</v>
      </c>
      <c r="C34" s="48" t="s">
        <v>59</v>
      </c>
      <c r="D34" s="46" t="e">
        <f>+#REF!</f>
        <v>#REF!</v>
      </c>
    </row>
    <row r="35" spans="2:4">
      <c r="B35" s="44">
        <v>7155</v>
      </c>
      <c r="C35" s="48" t="s">
        <v>53</v>
      </c>
      <c r="D35" s="46" t="e">
        <f>+#REF!</f>
        <v>#REF!</v>
      </c>
    </row>
    <row r="36" spans="2:4">
      <c r="B36" s="49">
        <v>72</v>
      </c>
      <c r="C36" s="50" t="s">
        <v>400</v>
      </c>
      <c r="D36" s="43" t="e">
        <f>+D37+D38+D41</f>
        <v>#REF!</v>
      </c>
    </row>
    <row r="37" spans="2:4">
      <c r="B37" s="51">
        <v>7200</v>
      </c>
      <c r="C37" s="48" t="s">
        <v>401</v>
      </c>
      <c r="D37" s="46" t="e">
        <f>+#REF!</f>
        <v>#REF!</v>
      </c>
    </row>
    <row r="38" spans="2:4" hidden="1">
      <c r="B38" s="52">
        <v>721</v>
      </c>
      <c r="C38" s="48" t="s">
        <v>402</v>
      </c>
      <c r="D38" s="46"/>
    </row>
    <row r="39" spans="2:4" hidden="1">
      <c r="B39" s="51">
        <v>7211</v>
      </c>
      <c r="C39" s="48" t="s">
        <v>403</v>
      </c>
      <c r="D39" s="46"/>
    </row>
    <row r="40" spans="2:4" hidden="1">
      <c r="B40" s="51">
        <v>7213</v>
      </c>
      <c r="C40" s="48" t="s">
        <v>404</v>
      </c>
      <c r="D40" s="46"/>
    </row>
    <row r="41" spans="2:4" hidden="1">
      <c r="B41" s="52">
        <v>722</v>
      </c>
      <c r="C41" s="48" t="s">
        <v>405</v>
      </c>
      <c r="D41" s="46">
        <v>0</v>
      </c>
    </row>
    <row r="42" spans="2:4" hidden="1">
      <c r="B42" s="44">
        <v>7221</v>
      </c>
      <c r="C42" s="48" t="s">
        <v>406</v>
      </c>
      <c r="D42" s="46"/>
    </row>
    <row r="43" spans="2:4" hidden="1">
      <c r="B43" s="44">
        <v>7222</v>
      </c>
      <c r="C43" s="48" t="s">
        <v>407</v>
      </c>
      <c r="D43" s="46"/>
    </row>
    <row r="44" spans="2:4">
      <c r="B44" s="49">
        <v>73</v>
      </c>
      <c r="C44" s="50" t="s">
        <v>408</v>
      </c>
      <c r="D44" s="43" t="e">
        <f>+D45</f>
        <v>#REF!</v>
      </c>
    </row>
    <row r="45" spans="2:4">
      <c r="B45" s="52">
        <v>731</v>
      </c>
      <c r="C45" s="45" t="s">
        <v>408</v>
      </c>
      <c r="D45" s="46" t="e">
        <f>+#REF!</f>
        <v>#REF!</v>
      </c>
    </row>
    <row r="46" spans="2:4" ht="27" hidden="1">
      <c r="B46" s="51">
        <v>7311</v>
      </c>
      <c r="C46" s="48" t="s">
        <v>409</v>
      </c>
      <c r="D46" s="46"/>
    </row>
    <row r="47" spans="2:4" hidden="1">
      <c r="B47" s="52">
        <v>7312</v>
      </c>
      <c r="C47" s="48" t="s">
        <v>410</v>
      </c>
      <c r="D47" s="46"/>
    </row>
    <row r="48" spans="2:4" hidden="1">
      <c r="B48" s="52">
        <v>7313</v>
      </c>
      <c r="C48" s="48" t="s">
        <v>411</v>
      </c>
      <c r="D48" s="46"/>
    </row>
    <row r="49" spans="2:4" hidden="1">
      <c r="B49" s="52">
        <v>7314</v>
      </c>
      <c r="C49" s="48" t="s">
        <v>412</v>
      </c>
      <c r="D49" s="46"/>
    </row>
    <row r="50" spans="2:4" hidden="1">
      <c r="B50" s="52">
        <v>732</v>
      </c>
      <c r="C50" s="45" t="s">
        <v>413</v>
      </c>
      <c r="D50" s="46"/>
    </row>
    <row r="51" spans="2:4" hidden="1">
      <c r="B51" s="44">
        <v>7321</v>
      </c>
      <c r="C51" s="48" t="s">
        <v>414</v>
      </c>
      <c r="D51" s="46"/>
    </row>
    <row r="52" spans="2:4">
      <c r="B52" s="49">
        <v>74</v>
      </c>
      <c r="C52" s="50" t="s">
        <v>415</v>
      </c>
      <c r="D52" s="43" t="e">
        <f>+D53</f>
        <v>#REF!</v>
      </c>
    </row>
    <row r="53" spans="2:4">
      <c r="B53" s="52">
        <v>741</v>
      </c>
      <c r="C53" s="48" t="s">
        <v>415</v>
      </c>
      <c r="D53" s="46" t="e">
        <f>+#REF!</f>
        <v>#REF!</v>
      </c>
    </row>
    <row r="54" spans="2:4" hidden="1">
      <c r="B54" s="44">
        <v>7411</v>
      </c>
      <c r="C54" s="48" t="s">
        <v>416</v>
      </c>
      <c r="D54" s="46">
        <v>0</v>
      </c>
    </row>
    <row r="55" spans="2:4">
      <c r="B55" s="49">
        <v>75</v>
      </c>
      <c r="C55" s="50" t="s">
        <v>110</v>
      </c>
      <c r="D55" s="43" t="e">
        <f>+D56</f>
        <v>#REF!</v>
      </c>
    </row>
    <row r="56" spans="2:4">
      <c r="B56" s="53">
        <v>751</v>
      </c>
      <c r="C56" s="54" t="s">
        <v>110</v>
      </c>
      <c r="D56" s="55" t="e">
        <f>+D57+D58</f>
        <v>#REF!</v>
      </c>
    </row>
    <row r="57" spans="2:4">
      <c r="B57" s="51">
        <v>7511</v>
      </c>
      <c r="C57" s="48" t="s">
        <v>143</v>
      </c>
      <c r="D57" s="46" t="e">
        <f>+#REF!</f>
        <v>#REF!</v>
      </c>
    </row>
    <row r="58" spans="2:4" ht="15.75" thickBot="1">
      <c r="B58" s="56">
        <v>7512</v>
      </c>
      <c r="C58" s="57" t="s">
        <v>121</v>
      </c>
      <c r="D58" s="58" t="e">
        <f>+#REF!</f>
        <v>#REF!</v>
      </c>
    </row>
    <row r="59" spans="2:4" ht="15.75" thickTop="1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D2:G24"/>
  <sheetViews>
    <sheetView workbookViewId="0">
      <selection activeCell="G24" sqref="G24"/>
    </sheetView>
  </sheetViews>
  <sheetFormatPr defaultColWidth="9.140625" defaultRowHeight="15"/>
  <cols>
    <col min="1" max="3" width="9.140625" style="29"/>
    <col min="4" max="4" width="44.28515625" style="29" customWidth="1"/>
    <col min="5" max="5" width="18.28515625" style="29" customWidth="1"/>
    <col min="6" max="6" width="9.140625" style="29"/>
    <col min="7" max="7" width="14.5703125" style="29" bestFit="1" customWidth="1"/>
    <col min="8" max="16384" width="9.140625" style="29"/>
  </cols>
  <sheetData>
    <row r="2" spans="4:7" ht="15.75" thickBot="1"/>
    <row r="3" spans="4:7" ht="16.5" thickTop="1" thickBot="1">
      <c r="D3" s="59" t="s">
        <v>126</v>
      </c>
      <c r="E3" s="60" t="s">
        <v>395</v>
      </c>
    </row>
    <row r="4" spans="4:7" ht="16.5" thickTop="1" thickBot="1">
      <c r="D4" s="61" t="s">
        <v>417</v>
      </c>
      <c r="E4" s="62" t="e">
        <f>+E5+E6</f>
        <v>#REF!</v>
      </c>
      <c r="G4" s="63" t="e">
        <f>+E4-#REF!</f>
        <v>#REF!</v>
      </c>
    </row>
    <row r="5" spans="4:7" ht="16.5" thickTop="1">
      <c r="D5" s="71" t="s">
        <v>418</v>
      </c>
      <c r="E5" s="72" t="e">
        <f>+PRIMICI!D6+PRIMICI!D14</f>
        <v>#REF!</v>
      </c>
      <c r="G5" s="65"/>
    </row>
    <row r="6" spans="4:7" ht="16.5" thickBot="1">
      <c r="D6" s="73" t="s">
        <v>53</v>
      </c>
      <c r="E6" s="74" t="e">
        <f>+PRIMICI!D19+PRIMICI!D24+PRIMICI!D31+PRIMICI!D44</f>
        <v>#REF!</v>
      </c>
      <c r="G6" s="65"/>
    </row>
    <row r="7" spans="4:7" ht="16.5" thickTop="1" thickBot="1">
      <c r="D7" s="66" t="s">
        <v>419</v>
      </c>
      <c r="E7" s="62" t="e">
        <f>+E8+E9</f>
        <v>#REF!</v>
      </c>
      <c r="G7" s="63" t="e">
        <f>+E7-#REF!</f>
        <v>#REF!</v>
      </c>
    </row>
    <row r="8" spans="4:7" ht="16.5" thickTop="1">
      <c r="D8" s="75" t="s">
        <v>125</v>
      </c>
      <c r="E8" s="72" t="e">
        <f>+#REF!</f>
        <v>#REF!</v>
      </c>
      <c r="G8" s="65"/>
    </row>
    <row r="9" spans="4:7" ht="16.5" thickBot="1">
      <c r="D9" s="73" t="s">
        <v>420</v>
      </c>
      <c r="E9" s="74" t="e">
        <f>+#REF!</f>
        <v>#REF!</v>
      </c>
      <c r="G9" s="65"/>
    </row>
    <row r="10" spans="4:7" ht="16.5" thickTop="1" thickBot="1">
      <c r="D10" s="67" t="s">
        <v>421</v>
      </c>
      <c r="E10" s="62" t="e">
        <f>+E4-E7</f>
        <v>#REF!</v>
      </c>
      <c r="G10" s="63" t="e">
        <f>+E10-#REF!</f>
        <v>#REF!</v>
      </c>
    </row>
    <row r="11" spans="4:7" ht="16.5" thickTop="1" thickBot="1">
      <c r="D11" s="67" t="s">
        <v>422</v>
      </c>
      <c r="E11" s="62" t="e">
        <f>+#REF!</f>
        <v>#REF!</v>
      </c>
      <c r="G11" s="65"/>
    </row>
    <row r="12" spans="4:7" ht="16.5" thickTop="1" thickBot="1">
      <c r="D12" s="67" t="s">
        <v>423</v>
      </c>
      <c r="E12" s="62" t="e">
        <f>+E13+E14+E15</f>
        <v>#REF!</v>
      </c>
      <c r="G12" s="63" t="e">
        <f>+E12-#REF!</f>
        <v>#REF!</v>
      </c>
    </row>
    <row r="13" spans="4:7" ht="16.5" thickTop="1" thickBot="1">
      <c r="D13" s="76" t="s">
        <v>157</v>
      </c>
      <c r="E13" s="72" t="e">
        <f>+#REF!</f>
        <v>#REF!</v>
      </c>
      <c r="G13" s="65"/>
    </row>
    <row r="14" spans="4:7" ht="16.5" thickTop="1" thickBot="1">
      <c r="D14" s="77" t="s">
        <v>158</v>
      </c>
      <c r="E14" s="72" t="e">
        <f>+#REF!</f>
        <v>#REF!</v>
      </c>
      <c r="G14" s="65"/>
    </row>
    <row r="15" spans="4:7" ht="16.5" thickTop="1" thickBot="1">
      <c r="D15" s="78" t="s">
        <v>159</v>
      </c>
      <c r="E15" s="72" t="e">
        <f>+#REF!</f>
        <v>#REF!</v>
      </c>
      <c r="G15" s="65"/>
    </row>
    <row r="16" spans="4:7" ht="15.75" hidden="1" thickBot="1">
      <c r="D16" s="68" t="s">
        <v>112</v>
      </c>
      <c r="E16" s="64">
        <v>0</v>
      </c>
      <c r="G16" s="65"/>
    </row>
    <row r="17" spans="4:7" ht="16.5" thickTop="1" thickBot="1">
      <c r="D17" s="67" t="s">
        <v>424</v>
      </c>
      <c r="E17" s="62" t="e">
        <f>+E10-E12</f>
        <v>#REF!</v>
      </c>
      <c r="G17" s="63" t="e">
        <f>+E17-#REF!</f>
        <v>#REF!</v>
      </c>
    </row>
    <row r="18" spans="4:7" ht="16.5" thickTop="1" thickBot="1">
      <c r="D18" s="67" t="s">
        <v>425</v>
      </c>
      <c r="E18" s="62" t="e">
        <f>SUM(E19:E23)</f>
        <v>#REF!</v>
      </c>
      <c r="G18" s="63" t="e">
        <f>+E18-#REF!</f>
        <v>#REF!</v>
      </c>
    </row>
    <row r="19" spans="4:7" ht="16.5" thickTop="1" thickBot="1">
      <c r="D19" s="76" t="s">
        <v>143</v>
      </c>
      <c r="E19" s="72" t="e">
        <f>+#REF!</f>
        <v>#REF!</v>
      </c>
      <c r="G19" s="65"/>
    </row>
    <row r="20" spans="4:7" ht="16.5" thickTop="1" thickBot="1">
      <c r="D20" s="77" t="s">
        <v>121</v>
      </c>
      <c r="E20" s="72" t="e">
        <f>+#REF!</f>
        <v>#REF!</v>
      </c>
      <c r="G20" s="65"/>
    </row>
    <row r="21" spans="4:7" ht="16.5" thickTop="1" thickBot="1">
      <c r="D21" s="77" t="s">
        <v>122</v>
      </c>
      <c r="E21" s="72" t="e">
        <f>+#REF!</f>
        <v>#REF!</v>
      </c>
      <c r="G21" s="65"/>
    </row>
    <row r="22" spans="4:7" ht="15.75" thickTop="1">
      <c r="D22" s="77" t="s">
        <v>123</v>
      </c>
      <c r="E22" s="72" t="e">
        <f>+#REF!</f>
        <v>#REF!</v>
      </c>
      <c r="G22" s="65"/>
    </row>
    <row r="23" spans="4:7" ht="15.75" thickBot="1">
      <c r="D23" s="78" t="s">
        <v>160</v>
      </c>
      <c r="E23" s="79" t="e">
        <f>-E17-SUM(E19:E22)</f>
        <v>#REF!</v>
      </c>
      <c r="G23" s="69" t="e">
        <f>+E23-#REF!</f>
        <v>#REF!</v>
      </c>
    </row>
    <row r="24" spans="4:7" ht="15.75" thickTop="1"/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444"/>
  <sheetViews>
    <sheetView topLeftCell="A373" workbookViewId="0">
      <selection activeCell="C278" sqref="C278"/>
    </sheetView>
  </sheetViews>
  <sheetFormatPr defaultColWidth="9.140625" defaultRowHeight="12.75"/>
  <cols>
    <col min="1" max="1" width="2" style="11" customWidth="1"/>
    <col min="2" max="2" width="62" style="11" customWidth="1"/>
    <col min="3" max="3" width="63.140625" style="11" customWidth="1"/>
    <col min="4" max="4" width="41.7109375" style="11" customWidth="1"/>
    <col min="5" max="5" width="20" style="11" customWidth="1"/>
    <col min="6" max="6" width="8.5703125" style="11" customWidth="1"/>
    <col min="7" max="7" width="5.42578125" style="11" customWidth="1"/>
    <col min="8" max="8" width="6.42578125" style="11" customWidth="1"/>
    <col min="9" max="9" width="8" style="11" customWidth="1"/>
    <col min="10" max="10" width="6.42578125" style="11" customWidth="1"/>
    <col min="11" max="11" width="9.28515625" style="11" customWidth="1"/>
    <col min="12" max="12" width="7.42578125" style="11" customWidth="1"/>
    <col min="13" max="13" width="17" style="11" customWidth="1"/>
    <col min="14" max="14" width="8.85546875" style="11" customWidth="1"/>
    <col min="15" max="15" width="83.140625" style="11" customWidth="1"/>
    <col min="16" max="16" width="6.42578125" style="11" customWidth="1"/>
    <col min="17" max="17" width="5.42578125" style="11" customWidth="1"/>
    <col min="18" max="18" width="6.42578125" style="11" customWidth="1"/>
    <col min="19" max="19" width="2.7109375" style="11" customWidth="1"/>
    <col min="20" max="20" width="6.5703125" style="11" customWidth="1"/>
    <col min="21" max="21" width="5.7109375" style="11" customWidth="1"/>
    <col min="22" max="22" width="11.7109375" style="1" customWidth="1"/>
    <col min="23" max="16384" width="9.140625" style="1"/>
  </cols>
  <sheetData>
    <row r="1" spans="1:3">
      <c r="A1" s="10">
        <v>2</v>
      </c>
      <c r="B1" s="11" t="s">
        <v>250</v>
      </c>
    </row>
    <row r="3" spans="1:3">
      <c r="B3" s="372" t="s">
        <v>195</v>
      </c>
      <c r="C3" s="372"/>
    </row>
    <row r="5" spans="1:3" ht="15" customHeight="1">
      <c r="B5" s="11" t="s">
        <v>198</v>
      </c>
      <c r="C5" s="11" t="s">
        <v>196</v>
      </c>
    </row>
    <row r="6" spans="1:3">
      <c r="B6" s="11" t="s">
        <v>199</v>
      </c>
      <c r="C6" s="11" t="s">
        <v>197</v>
      </c>
    </row>
    <row r="8" spans="1:3">
      <c r="B8" s="11" t="s">
        <v>207</v>
      </c>
      <c r="C8" s="11" t="s">
        <v>364</v>
      </c>
    </row>
    <row r="9" spans="1:3">
      <c r="B9" s="11" t="s">
        <v>205</v>
      </c>
      <c r="C9" s="11" t="s">
        <v>206</v>
      </c>
    </row>
    <row r="10" spans="1:3">
      <c r="B10" s="11" t="s">
        <v>212</v>
      </c>
      <c r="C10" s="11" t="s">
        <v>214</v>
      </c>
    </row>
    <row r="11" spans="1:3">
      <c r="B11" s="11" t="s">
        <v>213</v>
      </c>
      <c r="C11" s="11" t="s">
        <v>211</v>
      </c>
    </row>
    <row r="12" spans="1:3">
      <c r="B12" s="11" t="s">
        <v>215</v>
      </c>
      <c r="C12" s="11" t="s">
        <v>216</v>
      </c>
    </row>
    <row r="13" spans="1:3">
      <c r="B13" s="11" t="s">
        <v>210</v>
      </c>
      <c r="C13" s="11" t="s">
        <v>365</v>
      </c>
    </row>
    <row r="14" spans="1:3">
      <c r="B14" s="11" t="s">
        <v>366</v>
      </c>
      <c r="C14" s="11" t="s">
        <v>367</v>
      </c>
    </row>
    <row r="15" spans="1:3">
      <c r="B15" s="11" t="s">
        <v>208</v>
      </c>
      <c r="C15" s="11" t="s">
        <v>209</v>
      </c>
    </row>
    <row r="16" spans="1:3">
      <c r="B16" s="11" t="s">
        <v>200</v>
      </c>
      <c r="C16" s="11" t="s">
        <v>201</v>
      </c>
    </row>
    <row r="17" spans="2:3" ht="15" customHeight="1">
      <c r="B17" s="11" t="s">
        <v>202</v>
      </c>
      <c r="C17" s="11" t="s">
        <v>289</v>
      </c>
    </row>
    <row r="18" spans="2:3">
      <c r="B18" s="11" t="s">
        <v>368</v>
      </c>
      <c r="C18" s="11" t="s">
        <v>369</v>
      </c>
    </row>
    <row r="19" spans="2:3">
      <c r="B19" s="11" t="s">
        <v>290</v>
      </c>
      <c r="C19" s="11" t="s">
        <v>291</v>
      </c>
    </row>
    <row r="21" spans="2:3">
      <c r="B21" s="11" t="s">
        <v>220</v>
      </c>
      <c r="C21" s="11" t="s">
        <v>221</v>
      </c>
    </row>
    <row r="22" spans="2:3">
      <c r="B22" s="11" t="s">
        <v>203</v>
      </c>
      <c r="C22" s="11" t="s">
        <v>204</v>
      </c>
    </row>
    <row r="24" spans="2:3">
      <c r="B24" s="11" t="s">
        <v>330</v>
      </c>
    </row>
    <row r="25" spans="2:3">
      <c r="B25" s="11" t="s">
        <v>219</v>
      </c>
    </row>
    <row r="27" spans="2:3">
      <c r="B27" s="12" t="s">
        <v>171</v>
      </c>
    </row>
    <row r="28" spans="2:3">
      <c r="B28" s="12" t="s">
        <v>170</v>
      </c>
    </row>
    <row r="30" spans="2:3">
      <c r="B30" s="11" t="s">
        <v>217</v>
      </c>
    </row>
    <row r="31" spans="2:3">
      <c r="B31" s="11" t="s">
        <v>218</v>
      </c>
    </row>
    <row r="37" spans="2:20">
      <c r="B37" s="372" t="s">
        <v>243</v>
      </c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2"/>
      <c r="T37" s="372"/>
    </row>
    <row r="40" spans="2:20" ht="12.75" customHeight="1">
      <c r="B40" s="371" t="s">
        <v>238</v>
      </c>
      <c r="C40" s="371"/>
      <c r="D40" s="376" t="s">
        <v>244</v>
      </c>
      <c r="E40" s="376"/>
      <c r="F40" s="371" t="s">
        <v>239</v>
      </c>
      <c r="G40" s="371"/>
      <c r="H40" s="371"/>
      <c r="I40" s="2" t="s">
        <v>240</v>
      </c>
      <c r="J40" s="371" t="s">
        <v>241</v>
      </c>
      <c r="K40" s="371"/>
      <c r="L40" s="371"/>
      <c r="M40" s="371" t="s">
        <v>242</v>
      </c>
      <c r="N40" s="371"/>
      <c r="O40" s="371"/>
      <c r="P40" s="371"/>
    </row>
    <row r="41" spans="2:20">
      <c r="B41" s="371"/>
      <c r="C41" s="371"/>
      <c r="D41" s="376"/>
      <c r="E41" s="376"/>
      <c r="F41" s="13">
        <v>2008</v>
      </c>
      <c r="G41" s="14">
        <v>2009</v>
      </c>
      <c r="H41" s="14">
        <v>2010</v>
      </c>
      <c r="I41" s="14">
        <v>2011</v>
      </c>
      <c r="J41" s="14">
        <v>2012</v>
      </c>
      <c r="K41" s="14">
        <v>2013</v>
      </c>
      <c r="L41" s="14">
        <v>2014</v>
      </c>
      <c r="M41" s="14">
        <v>2011</v>
      </c>
      <c r="N41" s="14">
        <v>2012</v>
      </c>
      <c r="O41" s="14">
        <v>2013</v>
      </c>
      <c r="P41" s="14">
        <v>2014</v>
      </c>
    </row>
    <row r="42" spans="2:20">
      <c r="B42" s="374" t="s">
        <v>222</v>
      </c>
      <c r="C42" s="15" t="s">
        <v>223</v>
      </c>
      <c r="D42" s="377" t="s">
        <v>180</v>
      </c>
      <c r="E42" s="16" t="s">
        <v>181</v>
      </c>
      <c r="F42" s="377" t="s">
        <v>246</v>
      </c>
      <c r="G42" s="377"/>
      <c r="H42" s="377"/>
      <c r="I42" s="17" t="s">
        <v>247</v>
      </c>
      <c r="J42" s="378" t="s">
        <v>248</v>
      </c>
      <c r="K42" s="378"/>
      <c r="L42" s="378"/>
      <c r="M42" s="377" t="s">
        <v>249</v>
      </c>
      <c r="N42" s="377"/>
      <c r="O42" s="377"/>
      <c r="P42" s="377"/>
    </row>
    <row r="43" spans="2:20">
      <c r="B43" s="374"/>
      <c r="C43" s="18" t="s">
        <v>224</v>
      </c>
      <c r="D43" s="377"/>
      <c r="E43" s="16" t="s">
        <v>182</v>
      </c>
      <c r="G43" s="16"/>
      <c r="H43" s="16"/>
      <c r="I43" s="17"/>
      <c r="J43" s="16"/>
      <c r="K43" s="17"/>
      <c r="L43" s="16"/>
      <c r="M43" s="17"/>
      <c r="N43" s="16"/>
    </row>
    <row r="44" spans="2:20">
      <c r="B44" s="374"/>
      <c r="C44" s="15" t="s">
        <v>225</v>
      </c>
      <c r="D44" s="377"/>
      <c r="E44" s="16" t="s">
        <v>183</v>
      </c>
      <c r="F44" s="16"/>
      <c r="G44" s="17"/>
      <c r="H44" s="16"/>
      <c r="I44" s="17"/>
      <c r="J44" s="17"/>
      <c r="K44" s="17"/>
      <c r="L44" s="16"/>
      <c r="M44" s="16"/>
      <c r="N44" s="16"/>
    </row>
    <row r="45" spans="2:20">
      <c r="B45" s="374"/>
      <c r="C45" s="15" t="s">
        <v>226</v>
      </c>
      <c r="D45" s="377"/>
      <c r="E45" s="17" t="s">
        <v>184</v>
      </c>
      <c r="F45" s="17"/>
      <c r="G45" s="17"/>
      <c r="H45" s="17"/>
      <c r="I45" s="17"/>
      <c r="J45" s="17"/>
      <c r="K45" s="17"/>
      <c r="L45" s="17"/>
      <c r="M45" s="17"/>
      <c r="N45" s="17"/>
    </row>
    <row r="46" spans="2:20">
      <c r="B46" s="374"/>
      <c r="C46" s="15" t="s">
        <v>227</v>
      </c>
      <c r="D46" s="377"/>
      <c r="E46" s="17" t="s">
        <v>185</v>
      </c>
      <c r="F46" s="17"/>
      <c r="G46" s="17"/>
      <c r="H46" s="17"/>
      <c r="I46" s="17"/>
      <c r="J46" s="17"/>
      <c r="K46" s="17"/>
      <c r="L46" s="17"/>
      <c r="M46" s="17"/>
      <c r="N46" s="17"/>
    </row>
    <row r="47" spans="2:20">
      <c r="B47" s="374"/>
      <c r="C47" s="15" t="s">
        <v>228</v>
      </c>
      <c r="D47" s="377"/>
      <c r="E47" s="16" t="s">
        <v>186</v>
      </c>
      <c r="F47" s="17"/>
      <c r="G47" s="17"/>
      <c r="H47" s="17"/>
      <c r="I47" s="16"/>
      <c r="J47" s="16"/>
      <c r="K47" s="16"/>
      <c r="L47" s="16"/>
      <c r="M47" s="16"/>
      <c r="N47" s="16"/>
    </row>
    <row r="48" spans="2:20">
      <c r="B48" s="374"/>
      <c r="C48" s="15" t="s">
        <v>229</v>
      </c>
      <c r="D48" s="377"/>
      <c r="E48" s="17" t="s">
        <v>187</v>
      </c>
      <c r="F48" s="17"/>
      <c r="G48" s="17"/>
      <c r="H48" s="17"/>
      <c r="I48" s="17"/>
      <c r="J48" s="17"/>
      <c r="K48" s="17"/>
      <c r="L48" s="17"/>
      <c r="M48" s="17"/>
      <c r="N48" s="17"/>
    </row>
    <row r="49" spans="2:20">
      <c r="B49" s="374"/>
      <c r="C49" s="19" t="s">
        <v>230</v>
      </c>
      <c r="D49" s="377"/>
      <c r="E49" s="16" t="s">
        <v>245</v>
      </c>
      <c r="F49" s="17"/>
      <c r="G49" s="16"/>
      <c r="H49" s="16"/>
      <c r="I49" s="16"/>
      <c r="J49" s="16"/>
      <c r="K49" s="16"/>
      <c r="L49" s="16"/>
      <c r="M49" s="16"/>
      <c r="N49" s="16"/>
    </row>
    <row r="50" spans="2:20">
      <c r="B50" s="374"/>
      <c r="C50" s="15" t="s">
        <v>231</v>
      </c>
      <c r="D50" s="377"/>
      <c r="E50" s="17" t="s">
        <v>188</v>
      </c>
      <c r="F50" s="17"/>
      <c r="G50" s="17"/>
      <c r="H50" s="17"/>
      <c r="I50" s="17"/>
      <c r="J50" s="17"/>
      <c r="K50" s="17"/>
      <c r="L50" s="17"/>
      <c r="M50" s="17"/>
      <c r="N50" s="17"/>
    </row>
    <row r="51" spans="2:20">
      <c r="B51" s="374"/>
      <c r="C51" s="15" t="s">
        <v>378</v>
      </c>
      <c r="D51" s="377"/>
      <c r="E51" s="17" t="s">
        <v>379</v>
      </c>
      <c r="F51" s="17"/>
      <c r="G51" s="17"/>
      <c r="H51" s="17"/>
      <c r="I51" s="17"/>
      <c r="J51" s="17"/>
      <c r="K51" s="17"/>
      <c r="L51" s="17"/>
      <c r="M51" s="17"/>
      <c r="N51" s="17"/>
    </row>
    <row r="52" spans="2:20">
      <c r="B52" s="375" t="s">
        <v>232</v>
      </c>
      <c r="C52" s="20" t="s">
        <v>233</v>
      </c>
      <c r="D52" s="377" t="s">
        <v>189</v>
      </c>
      <c r="E52" s="17" t="s">
        <v>190</v>
      </c>
      <c r="F52" s="17"/>
      <c r="G52" s="17"/>
      <c r="H52" s="17"/>
      <c r="I52" s="17"/>
      <c r="J52" s="17"/>
      <c r="K52" s="17"/>
      <c r="L52" s="17"/>
      <c r="M52" s="17"/>
      <c r="N52" s="17"/>
    </row>
    <row r="53" spans="2:20">
      <c r="B53" s="375"/>
      <c r="C53" s="20" t="s">
        <v>234</v>
      </c>
      <c r="D53" s="377"/>
      <c r="E53" s="17" t="s">
        <v>191</v>
      </c>
      <c r="F53" s="17"/>
      <c r="G53" s="17"/>
      <c r="H53" s="17"/>
      <c r="I53" s="17"/>
      <c r="J53" s="17"/>
      <c r="K53" s="17"/>
      <c r="L53" s="17"/>
      <c r="M53" s="17"/>
      <c r="N53" s="17"/>
    </row>
    <row r="54" spans="2:20">
      <c r="B54" s="375"/>
      <c r="C54" s="20" t="s">
        <v>235</v>
      </c>
      <c r="D54" s="377"/>
      <c r="E54" s="17" t="s">
        <v>373</v>
      </c>
      <c r="F54" s="17"/>
      <c r="G54" s="17"/>
      <c r="H54" s="17"/>
      <c r="I54" s="17"/>
      <c r="J54" s="17"/>
      <c r="K54" s="16"/>
      <c r="L54" s="17"/>
      <c r="M54" s="17"/>
      <c r="N54" s="17"/>
    </row>
    <row r="55" spans="2:20">
      <c r="B55" s="375"/>
      <c r="C55" s="20" t="s">
        <v>374</v>
      </c>
      <c r="D55" s="377"/>
      <c r="E55" s="20" t="s">
        <v>376</v>
      </c>
      <c r="F55" s="17"/>
      <c r="G55" s="17"/>
      <c r="H55" s="17"/>
      <c r="I55" s="17"/>
      <c r="J55" s="17"/>
      <c r="K55" s="16"/>
      <c r="L55" s="17"/>
      <c r="M55" s="17"/>
      <c r="N55" s="17"/>
    </row>
    <row r="56" spans="2:20">
      <c r="B56" s="375"/>
      <c r="C56" s="20" t="s">
        <v>79</v>
      </c>
      <c r="D56" s="377"/>
      <c r="E56" s="17" t="s">
        <v>192</v>
      </c>
      <c r="F56" s="17"/>
      <c r="G56" s="16"/>
      <c r="H56" s="21"/>
      <c r="I56" s="21"/>
      <c r="J56" s="21"/>
      <c r="K56" s="21"/>
      <c r="L56" s="21"/>
      <c r="M56" s="21"/>
      <c r="N56" s="16"/>
    </row>
    <row r="57" spans="2:20">
      <c r="B57" s="375"/>
      <c r="C57" s="20" t="s">
        <v>236</v>
      </c>
      <c r="D57" s="377"/>
      <c r="E57" s="17" t="s">
        <v>193</v>
      </c>
      <c r="F57" s="17"/>
      <c r="G57" s="17"/>
      <c r="H57" s="17"/>
      <c r="I57" s="17"/>
      <c r="J57" s="21"/>
      <c r="K57" s="16"/>
      <c r="L57" s="17"/>
      <c r="M57" s="17"/>
      <c r="N57" s="17"/>
    </row>
    <row r="58" spans="2:20">
      <c r="B58" s="375"/>
      <c r="C58" s="20" t="s">
        <v>375</v>
      </c>
      <c r="D58" s="377"/>
      <c r="E58" s="17" t="s">
        <v>377</v>
      </c>
      <c r="F58" s="17"/>
      <c r="G58" s="17"/>
      <c r="H58" s="17"/>
      <c r="I58" s="17"/>
      <c r="J58" s="21"/>
      <c r="K58" s="16"/>
      <c r="L58" s="17"/>
      <c r="M58" s="17"/>
      <c r="N58" s="17"/>
    </row>
    <row r="59" spans="2:20">
      <c r="B59" s="375"/>
      <c r="C59" s="20" t="s">
        <v>237</v>
      </c>
      <c r="D59" s="377"/>
      <c r="E59" s="17" t="s">
        <v>194</v>
      </c>
      <c r="F59" s="17"/>
      <c r="G59" s="17"/>
      <c r="H59" s="17"/>
      <c r="I59" s="17"/>
      <c r="J59" s="17"/>
      <c r="K59" s="17"/>
      <c r="L59" s="21"/>
      <c r="M59" s="17"/>
      <c r="N59" s="17"/>
    </row>
    <row r="60" spans="2:20">
      <c r="B60" s="11" t="s">
        <v>332</v>
      </c>
      <c r="D60" s="11" t="s">
        <v>331</v>
      </c>
    </row>
    <row r="62" spans="2:20">
      <c r="B62" s="372" t="s">
        <v>251</v>
      </c>
      <c r="C62" s="372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2"/>
    </row>
    <row r="66" spans="2:22">
      <c r="B66" s="11" t="s">
        <v>370</v>
      </c>
    </row>
    <row r="67" spans="2:22">
      <c r="B67" s="11" t="s">
        <v>371</v>
      </c>
      <c r="M67" s="11" t="s">
        <v>337</v>
      </c>
      <c r="O67" s="11" t="s">
        <v>380</v>
      </c>
    </row>
    <row r="68" spans="2:22">
      <c r="D68" s="22"/>
      <c r="E68" s="23"/>
      <c r="F68" s="22"/>
      <c r="G68" s="23"/>
      <c r="H68" s="22"/>
      <c r="I68" s="23"/>
      <c r="J68" s="22"/>
      <c r="K68" s="23"/>
      <c r="L68" s="22"/>
      <c r="M68" s="23" t="s">
        <v>336</v>
      </c>
      <c r="N68" s="22"/>
      <c r="O68" s="23" t="s">
        <v>381</v>
      </c>
      <c r="P68" s="22"/>
      <c r="Q68" s="23"/>
      <c r="R68" s="22"/>
      <c r="S68" s="23"/>
      <c r="T68" s="22"/>
    </row>
    <row r="69" spans="2:22">
      <c r="C69" s="4">
        <v>2006</v>
      </c>
      <c r="D69" s="4"/>
      <c r="E69" s="4">
        <v>2007</v>
      </c>
      <c r="F69" s="4"/>
      <c r="G69" s="4">
        <v>2008</v>
      </c>
      <c r="H69" s="4"/>
      <c r="I69" s="4">
        <v>2009</v>
      </c>
      <c r="J69" s="4"/>
      <c r="K69" s="4">
        <v>2010</v>
      </c>
      <c r="L69" s="4"/>
      <c r="M69" s="4">
        <v>2011</v>
      </c>
      <c r="N69" s="4"/>
      <c r="O69" s="4">
        <v>2012</v>
      </c>
      <c r="P69" s="4"/>
      <c r="Q69" s="4">
        <v>2013</v>
      </c>
      <c r="R69" s="4"/>
      <c r="S69" s="4">
        <v>2014</v>
      </c>
      <c r="T69" s="4"/>
      <c r="U69" s="11">
        <v>2015</v>
      </c>
    </row>
    <row r="70" spans="2:22">
      <c r="B70" s="5" t="s">
        <v>126</v>
      </c>
      <c r="C70" s="6" t="s">
        <v>262</v>
      </c>
      <c r="D70" s="6" t="s">
        <v>149</v>
      </c>
      <c r="E70" s="6" t="s">
        <v>262</v>
      </c>
      <c r="F70" s="6" t="s">
        <v>149</v>
      </c>
      <c r="G70" s="6" t="s">
        <v>262</v>
      </c>
      <c r="H70" s="6" t="s">
        <v>149</v>
      </c>
      <c r="I70" s="6" t="s">
        <v>262</v>
      </c>
      <c r="J70" s="6" t="s">
        <v>149</v>
      </c>
      <c r="K70" s="6" t="s">
        <v>262</v>
      </c>
      <c r="L70" s="6" t="s">
        <v>149</v>
      </c>
      <c r="M70" s="6" t="s">
        <v>262</v>
      </c>
      <c r="N70" s="6" t="s">
        <v>149</v>
      </c>
      <c r="O70" s="6" t="s">
        <v>262</v>
      </c>
      <c r="P70" s="6" t="s">
        <v>149</v>
      </c>
      <c r="Q70" s="6" t="s">
        <v>262</v>
      </c>
      <c r="R70" s="6" t="s">
        <v>149</v>
      </c>
      <c r="S70" s="6" t="s">
        <v>262</v>
      </c>
      <c r="T70" s="6" t="s">
        <v>149</v>
      </c>
      <c r="U70" s="6" t="s">
        <v>262</v>
      </c>
      <c r="V70" s="3" t="s">
        <v>149</v>
      </c>
    </row>
    <row r="71" spans="2:22">
      <c r="B71" s="5" t="s">
        <v>252</v>
      </c>
      <c r="C71" s="6" t="s">
        <v>262</v>
      </c>
      <c r="D71" s="6" t="s">
        <v>165</v>
      </c>
      <c r="E71" s="6" t="s">
        <v>262</v>
      </c>
      <c r="F71" s="6" t="s">
        <v>165</v>
      </c>
      <c r="G71" s="6" t="s">
        <v>262</v>
      </c>
      <c r="H71" s="6" t="s">
        <v>165</v>
      </c>
      <c r="I71" s="6" t="s">
        <v>262</v>
      </c>
      <c r="J71" s="6" t="s">
        <v>165</v>
      </c>
      <c r="K71" s="6" t="s">
        <v>262</v>
      </c>
      <c r="L71" s="6" t="s">
        <v>165</v>
      </c>
      <c r="M71" s="6" t="s">
        <v>262</v>
      </c>
      <c r="N71" s="6" t="s">
        <v>165</v>
      </c>
      <c r="O71" s="6" t="s">
        <v>262</v>
      </c>
      <c r="P71" s="6" t="s">
        <v>165</v>
      </c>
      <c r="Q71" s="6" t="s">
        <v>262</v>
      </c>
      <c r="R71" s="6" t="s">
        <v>165</v>
      </c>
      <c r="S71" s="6" t="s">
        <v>262</v>
      </c>
      <c r="T71" s="6" t="s">
        <v>165</v>
      </c>
      <c r="U71" s="6" t="s">
        <v>262</v>
      </c>
      <c r="V71" s="3" t="s">
        <v>165</v>
      </c>
    </row>
    <row r="72" spans="2:22">
      <c r="B72" s="7" t="s">
        <v>127</v>
      </c>
      <c r="C72" s="23" t="s">
        <v>1</v>
      </c>
      <c r="D72" s="24"/>
      <c r="E72" s="25"/>
      <c r="F72" s="24"/>
      <c r="G72" s="25"/>
      <c r="H72" s="24"/>
      <c r="I72" s="25"/>
      <c r="J72" s="24"/>
      <c r="K72" s="25"/>
      <c r="L72" s="24"/>
      <c r="M72" s="25"/>
      <c r="N72" s="24"/>
      <c r="O72" s="25"/>
      <c r="P72" s="24"/>
      <c r="Q72" s="25"/>
      <c r="R72" s="24"/>
      <c r="S72" s="25"/>
      <c r="T72" s="24"/>
    </row>
    <row r="73" spans="2:22">
      <c r="B73" s="7" t="s">
        <v>2</v>
      </c>
      <c r="C73" s="23" t="s">
        <v>166</v>
      </c>
      <c r="D73" s="22"/>
      <c r="E73" s="23"/>
      <c r="F73" s="22"/>
      <c r="G73" s="23"/>
      <c r="H73" s="22"/>
      <c r="I73" s="23"/>
      <c r="J73" s="22"/>
      <c r="K73" s="23"/>
      <c r="L73" s="22"/>
      <c r="M73" s="23"/>
      <c r="N73" s="22"/>
      <c r="O73" s="23"/>
      <c r="P73" s="22"/>
      <c r="Q73" s="23"/>
      <c r="R73" s="22"/>
      <c r="S73" s="23"/>
      <c r="T73" s="22"/>
    </row>
    <row r="74" spans="2:22">
      <c r="B74" s="8" t="s">
        <v>3</v>
      </c>
      <c r="C74" s="23" t="s">
        <v>68</v>
      </c>
      <c r="D74" s="22"/>
      <c r="E74" s="23"/>
      <c r="F74" s="22"/>
      <c r="G74" s="23"/>
      <c r="H74" s="22"/>
      <c r="I74" s="23"/>
      <c r="J74" s="22"/>
      <c r="K74" s="23"/>
      <c r="L74" s="22"/>
      <c r="M74" s="23"/>
      <c r="N74" s="22"/>
      <c r="O74" s="23"/>
      <c r="P74" s="22"/>
      <c r="Q74" s="23"/>
      <c r="R74" s="22"/>
      <c r="S74" s="23"/>
      <c r="T74" s="22"/>
    </row>
    <row r="75" spans="2:22">
      <c r="B75" s="7" t="s">
        <v>5</v>
      </c>
      <c r="C75" s="23" t="s">
        <v>253</v>
      </c>
      <c r="D75" s="22"/>
      <c r="E75" s="23"/>
      <c r="F75" s="22"/>
      <c r="G75" s="23"/>
      <c r="H75" s="22"/>
      <c r="I75" s="23"/>
      <c r="J75" s="22"/>
      <c r="K75" s="23"/>
      <c r="L75" s="22"/>
      <c r="M75" s="23"/>
      <c r="N75" s="22"/>
      <c r="O75" s="23"/>
      <c r="P75" s="22"/>
      <c r="Q75" s="23"/>
      <c r="R75" s="22"/>
      <c r="S75" s="23"/>
      <c r="T75" s="22"/>
    </row>
    <row r="76" spans="2:22">
      <c r="B76" s="7" t="s">
        <v>7</v>
      </c>
      <c r="C76" s="26" t="s">
        <v>8</v>
      </c>
      <c r="D76" s="22"/>
      <c r="E76" s="23"/>
      <c r="F76" s="22"/>
      <c r="G76" s="23"/>
      <c r="H76" s="22"/>
      <c r="I76" s="23"/>
      <c r="J76" s="22"/>
      <c r="K76" s="23"/>
      <c r="L76" s="22"/>
      <c r="M76" s="23"/>
      <c r="N76" s="22"/>
      <c r="O76" s="23"/>
      <c r="P76" s="22"/>
      <c r="Q76" s="23"/>
      <c r="R76" s="22"/>
      <c r="S76" s="23"/>
      <c r="T76" s="22"/>
    </row>
    <row r="77" spans="2:22">
      <c r="B77" s="7" t="s">
        <v>9</v>
      </c>
      <c r="C77" s="26" t="s">
        <v>10</v>
      </c>
      <c r="D77" s="24"/>
      <c r="E77" s="25"/>
      <c r="F77" s="24"/>
      <c r="G77" s="25"/>
      <c r="H77" s="24"/>
      <c r="I77" s="25"/>
      <c r="J77" s="24"/>
      <c r="K77" s="25"/>
      <c r="L77" s="24"/>
      <c r="M77" s="25"/>
      <c r="N77" s="24"/>
      <c r="O77" s="25"/>
      <c r="P77" s="24"/>
      <c r="Q77" s="25"/>
      <c r="R77" s="24"/>
      <c r="S77" s="25"/>
      <c r="T77" s="24"/>
    </row>
    <row r="78" spans="2:22">
      <c r="B78" s="7" t="s">
        <v>12</v>
      </c>
      <c r="C78" s="26" t="s">
        <v>13</v>
      </c>
      <c r="D78" s="24"/>
      <c r="E78" s="23"/>
      <c r="F78" s="24"/>
      <c r="G78" s="23"/>
      <c r="H78" s="24"/>
      <c r="I78" s="23"/>
      <c r="J78" s="24"/>
      <c r="K78" s="23"/>
      <c r="L78" s="24"/>
      <c r="M78" s="23"/>
      <c r="N78" s="24"/>
      <c r="O78" s="23"/>
      <c r="P78" s="24"/>
      <c r="Q78" s="23"/>
      <c r="R78" s="24"/>
      <c r="S78" s="23"/>
      <c r="T78" s="24"/>
    </row>
    <row r="79" spans="2:22">
      <c r="B79" s="7" t="s">
        <v>14</v>
      </c>
      <c r="C79" s="26" t="s">
        <v>15</v>
      </c>
      <c r="D79" s="24"/>
      <c r="E79" s="23"/>
      <c r="F79" s="24"/>
      <c r="G79" s="23"/>
      <c r="H79" s="24"/>
      <c r="I79" s="23"/>
      <c r="J79" s="24"/>
      <c r="K79" s="23"/>
      <c r="L79" s="24"/>
      <c r="M79" s="23"/>
      <c r="N79" s="24"/>
      <c r="O79" s="23"/>
      <c r="P79" s="24"/>
      <c r="Q79" s="23"/>
      <c r="R79" s="24"/>
      <c r="S79" s="23"/>
      <c r="T79" s="24"/>
    </row>
    <row r="80" spans="2:22">
      <c r="B80" s="7" t="s">
        <v>17</v>
      </c>
      <c r="C80" s="26" t="s">
        <v>18</v>
      </c>
      <c r="D80" s="24"/>
      <c r="E80" s="23"/>
      <c r="F80" s="24"/>
      <c r="G80" s="23"/>
      <c r="H80" s="24"/>
      <c r="I80" s="23"/>
      <c r="J80" s="24"/>
      <c r="K80" s="23"/>
      <c r="L80" s="24"/>
      <c r="M80" s="23"/>
      <c r="N80" s="24"/>
      <c r="O80" s="23"/>
      <c r="P80" s="24"/>
      <c r="Q80" s="23"/>
      <c r="R80" s="24"/>
      <c r="S80" s="23"/>
      <c r="T80" s="24"/>
    </row>
    <row r="81" spans="2:20">
      <c r="B81" s="7" t="s">
        <v>19</v>
      </c>
      <c r="C81" s="26" t="s">
        <v>20</v>
      </c>
      <c r="D81" s="24"/>
      <c r="E81" s="23"/>
      <c r="F81" s="24"/>
      <c r="G81" s="23"/>
      <c r="H81" s="24"/>
      <c r="I81" s="23"/>
      <c r="J81" s="24"/>
      <c r="K81" s="23"/>
      <c r="L81" s="24"/>
      <c r="M81" s="23"/>
      <c r="N81" s="24"/>
      <c r="O81" s="23"/>
      <c r="P81" s="24"/>
      <c r="Q81" s="23"/>
      <c r="R81" s="24"/>
      <c r="S81" s="23"/>
      <c r="T81" s="24"/>
    </row>
    <row r="82" spans="2:20">
      <c r="B82" s="7" t="s">
        <v>21</v>
      </c>
      <c r="C82" s="26" t="s">
        <v>22</v>
      </c>
      <c r="D82" s="24"/>
      <c r="E82" s="25"/>
      <c r="F82" s="24"/>
      <c r="G82" s="25"/>
      <c r="H82" s="24"/>
      <c r="I82" s="25"/>
      <c r="J82" s="24"/>
      <c r="K82" s="25"/>
      <c r="L82" s="24"/>
      <c r="M82" s="25"/>
      <c r="N82" s="24"/>
      <c r="O82" s="25"/>
      <c r="P82" s="24"/>
      <c r="Q82" s="25"/>
      <c r="R82" s="24"/>
      <c r="S82" s="25"/>
      <c r="T82" s="24"/>
    </row>
    <row r="83" spans="2:20">
      <c r="B83" s="7" t="s">
        <v>23</v>
      </c>
      <c r="C83" s="26" t="s">
        <v>24</v>
      </c>
      <c r="D83" s="24"/>
      <c r="E83" s="23"/>
      <c r="F83" s="24"/>
      <c r="G83" s="23"/>
      <c r="H83" s="24"/>
      <c r="I83" s="23"/>
      <c r="J83" s="24"/>
      <c r="K83" s="23"/>
      <c r="L83" s="24"/>
      <c r="M83" s="23"/>
      <c r="N83" s="24"/>
      <c r="O83" s="23"/>
      <c r="P83" s="24"/>
      <c r="Q83" s="23"/>
      <c r="R83" s="24"/>
      <c r="S83" s="23"/>
      <c r="T83" s="24"/>
    </row>
    <row r="84" spans="2:20">
      <c r="B84" s="7" t="s">
        <v>25</v>
      </c>
      <c r="C84" s="26" t="s">
        <v>26</v>
      </c>
      <c r="D84" s="24"/>
      <c r="E84" s="23"/>
      <c r="F84" s="24"/>
      <c r="G84" s="23"/>
      <c r="H84" s="24"/>
      <c r="I84" s="23"/>
      <c r="J84" s="24"/>
      <c r="K84" s="23"/>
      <c r="L84" s="24"/>
      <c r="M84" s="23"/>
      <c r="N84" s="24"/>
      <c r="O84" s="23"/>
      <c r="P84" s="24"/>
      <c r="Q84" s="23"/>
      <c r="R84" s="24"/>
      <c r="S84" s="23"/>
      <c r="T84" s="24"/>
    </row>
    <row r="85" spans="2:20">
      <c r="B85" s="7" t="s">
        <v>27</v>
      </c>
      <c r="C85" s="26" t="s">
        <v>28</v>
      </c>
      <c r="D85" s="24"/>
      <c r="E85" s="23"/>
      <c r="F85" s="24"/>
      <c r="G85" s="23"/>
      <c r="H85" s="24"/>
      <c r="I85" s="23"/>
      <c r="J85" s="24"/>
      <c r="K85" s="23"/>
      <c r="L85" s="24"/>
      <c r="M85" s="23"/>
      <c r="N85" s="24"/>
      <c r="O85" s="23"/>
      <c r="P85" s="24"/>
      <c r="Q85" s="23"/>
      <c r="R85" s="24"/>
      <c r="S85" s="23"/>
      <c r="T85" s="24"/>
    </row>
    <row r="86" spans="2:20">
      <c r="B86" s="7" t="s">
        <v>29</v>
      </c>
      <c r="C86" s="26" t="s">
        <v>30</v>
      </c>
      <c r="D86" s="24"/>
      <c r="E86" s="23"/>
      <c r="F86" s="24"/>
      <c r="G86" s="23"/>
      <c r="H86" s="24"/>
      <c r="I86" s="23"/>
      <c r="J86" s="24"/>
      <c r="K86" s="23"/>
      <c r="L86" s="24"/>
      <c r="M86" s="23"/>
      <c r="N86" s="24"/>
      <c r="O86" s="23"/>
      <c r="P86" s="24"/>
      <c r="Q86" s="23"/>
      <c r="R86" s="24"/>
      <c r="S86" s="23"/>
      <c r="T86" s="24"/>
    </row>
    <row r="87" spans="2:20">
      <c r="B87" s="7" t="s">
        <v>31</v>
      </c>
      <c r="C87" s="26" t="s">
        <v>174</v>
      </c>
      <c r="D87" s="24"/>
      <c r="E87" s="23"/>
      <c r="F87" s="24"/>
      <c r="G87" s="23"/>
      <c r="H87" s="24"/>
      <c r="I87" s="23"/>
      <c r="J87" s="24"/>
      <c r="K87" s="23"/>
      <c r="L87" s="24"/>
      <c r="M87" s="23"/>
      <c r="N87" s="24"/>
      <c r="O87" s="23"/>
      <c r="P87" s="24"/>
      <c r="Q87" s="23"/>
      <c r="R87" s="24"/>
      <c r="S87" s="23"/>
      <c r="T87" s="24"/>
    </row>
    <row r="88" spans="2:20">
      <c r="B88" s="7" t="s">
        <v>32</v>
      </c>
      <c r="C88" s="12" t="s">
        <v>33</v>
      </c>
      <c r="D88" s="24"/>
      <c r="E88" s="23"/>
      <c r="F88" s="24"/>
      <c r="G88" s="23"/>
      <c r="H88" s="24"/>
      <c r="I88" s="23"/>
      <c r="J88" s="24"/>
      <c r="K88" s="23"/>
      <c r="L88" s="24"/>
      <c r="M88" s="23"/>
      <c r="N88" s="24"/>
      <c r="O88" s="23"/>
      <c r="P88" s="24"/>
      <c r="Q88" s="23"/>
      <c r="R88" s="24"/>
      <c r="S88" s="23"/>
      <c r="T88" s="24"/>
    </row>
    <row r="89" spans="2:20">
      <c r="B89" s="7" t="s">
        <v>34</v>
      </c>
      <c r="C89" s="12" t="s">
        <v>35</v>
      </c>
      <c r="D89" s="24"/>
      <c r="E89" s="25"/>
      <c r="F89" s="24"/>
      <c r="G89" s="25"/>
      <c r="H89" s="24"/>
      <c r="I89" s="25"/>
      <c r="J89" s="24"/>
      <c r="K89" s="25"/>
      <c r="L89" s="24"/>
      <c r="M89" s="25"/>
      <c r="N89" s="24"/>
      <c r="O89" s="25"/>
      <c r="P89" s="24"/>
      <c r="Q89" s="25"/>
      <c r="R89" s="24"/>
      <c r="S89" s="25"/>
      <c r="T89" s="24"/>
    </row>
    <row r="90" spans="2:20">
      <c r="B90" s="7" t="s">
        <v>37</v>
      </c>
      <c r="C90" s="12" t="s">
        <v>38</v>
      </c>
      <c r="D90" s="24"/>
      <c r="E90" s="23"/>
      <c r="F90" s="24"/>
      <c r="G90" s="23"/>
      <c r="H90" s="24"/>
      <c r="I90" s="23"/>
      <c r="J90" s="24"/>
      <c r="K90" s="23"/>
      <c r="L90" s="24"/>
      <c r="M90" s="23"/>
      <c r="N90" s="24"/>
      <c r="O90" s="23"/>
      <c r="P90" s="24"/>
      <c r="Q90" s="23"/>
      <c r="R90" s="24"/>
      <c r="S90" s="23"/>
      <c r="T90" s="24"/>
    </row>
    <row r="91" spans="2:20">
      <c r="B91" s="7" t="s">
        <v>39</v>
      </c>
      <c r="C91" s="12" t="s">
        <v>167</v>
      </c>
      <c r="D91" s="24"/>
      <c r="E91" s="23"/>
      <c r="F91" s="24"/>
      <c r="G91" s="23"/>
      <c r="H91" s="24"/>
      <c r="I91" s="23"/>
      <c r="J91" s="24"/>
      <c r="K91" s="23"/>
      <c r="L91" s="24"/>
      <c r="M91" s="23"/>
      <c r="N91" s="24"/>
      <c r="O91" s="23"/>
      <c r="P91" s="24"/>
      <c r="Q91" s="23"/>
      <c r="R91" s="24"/>
      <c r="S91" s="23"/>
      <c r="T91" s="24"/>
    </row>
    <row r="92" spans="2:20">
      <c r="B92" s="7" t="s">
        <v>40</v>
      </c>
      <c r="C92" s="12" t="s">
        <v>41</v>
      </c>
      <c r="D92" s="24"/>
      <c r="E92" s="23"/>
      <c r="F92" s="24"/>
      <c r="G92" s="23"/>
      <c r="H92" s="24"/>
      <c r="I92" s="23"/>
      <c r="J92" s="24"/>
      <c r="K92" s="23"/>
      <c r="L92" s="24"/>
      <c r="M92" s="23"/>
      <c r="N92" s="24"/>
      <c r="O92" s="23"/>
      <c r="P92" s="24"/>
      <c r="Q92" s="23"/>
      <c r="R92" s="24"/>
      <c r="S92" s="23"/>
      <c r="T92" s="24"/>
    </row>
    <row r="93" spans="2:20">
      <c r="B93" s="7" t="s">
        <v>42</v>
      </c>
      <c r="C93" s="12" t="s">
        <v>43</v>
      </c>
      <c r="D93" s="24"/>
      <c r="E93" s="23"/>
      <c r="F93" s="24"/>
      <c r="G93" s="23"/>
      <c r="H93" s="24"/>
      <c r="I93" s="23"/>
      <c r="J93" s="24"/>
      <c r="K93" s="23"/>
      <c r="L93" s="24"/>
      <c r="M93" s="23"/>
      <c r="N93" s="24"/>
      <c r="O93" s="23"/>
      <c r="P93" s="24"/>
      <c r="Q93" s="23"/>
      <c r="R93" s="24"/>
      <c r="S93" s="23"/>
      <c r="T93" s="24"/>
    </row>
    <row r="94" spans="2:20">
      <c r="B94" s="7" t="s">
        <v>45</v>
      </c>
      <c r="C94" s="12" t="s">
        <v>46</v>
      </c>
      <c r="D94" s="24"/>
      <c r="E94" s="25"/>
      <c r="F94" s="24"/>
      <c r="G94" s="25"/>
      <c r="H94" s="24"/>
      <c r="I94" s="25"/>
      <c r="J94" s="24"/>
      <c r="K94" s="25"/>
      <c r="L94" s="24"/>
      <c r="M94" s="25"/>
      <c r="N94" s="24"/>
      <c r="O94" s="25"/>
      <c r="P94" s="24"/>
      <c r="Q94" s="25"/>
      <c r="R94" s="24"/>
      <c r="S94" s="25"/>
      <c r="T94" s="24"/>
    </row>
    <row r="95" spans="2:20">
      <c r="B95" s="7" t="s">
        <v>47</v>
      </c>
      <c r="C95" s="12" t="s">
        <v>48</v>
      </c>
      <c r="D95" s="24"/>
      <c r="E95" s="25"/>
      <c r="F95" s="24"/>
      <c r="G95" s="25"/>
      <c r="H95" s="24"/>
      <c r="I95" s="25"/>
      <c r="J95" s="24"/>
      <c r="K95" s="25"/>
      <c r="L95" s="24"/>
      <c r="M95" s="25"/>
      <c r="N95" s="24"/>
      <c r="O95" s="25"/>
      <c r="P95" s="24"/>
      <c r="Q95" s="25"/>
      <c r="R95" s="24"/>
      <c r="S95" s="25"/>
      <c r="T95" s="24"/>
    </row>
    <row r="96" spans="2:20">
      <c r="B96" s="7" t="s">
        <v>50</v>
      </c>
      <c r="C96" s="12" t="s">
        <v>168</v>
      </c>
      <c r="D96" s="24"/>
      <c r="E96" s="25"/>
      <c r="F96" s="24"/>
      <c r="G96" s="25"/>
      <c r="H96" s="24"/>
      <c r="I96" s="25"/>
      <c r="J96" s="24"/>
      <c r="K96" s="25"/>
      <c r="L96" s="24"/>
      <c r="M96" s="25"/>
      <c r="N96" s="24"/>
      <c r="O96" s="25"/>
      <c r="P96" s="24"/>
      <c r="Q96" s="25"/>
      <c r="R96" s="24"/>
      <c r="S96" s="25"/>
      <c r="T96" s="24"/>
    </row>
    <row r="97" spans="2:20">
      <c r="B97" s="7" t="s">
        <v>51</v>
      </c>
      <c r="C97" s="12" t="s">
        <v>52</v>
      </c>
      <c r="D97" s="22"/>
      <c r="E97" s="23"/>
      <c r="F97" s="22"/>
      <c r="G97" s="23"/>
      <c r="H97" s="22"/>
      <c r="I97" s="23"/>
      <c r="J97" s="22"/>
      <c r="K97" s="23"/>
      <c r="L97" s="22"/>
      <c r="M97" s="23"/>
      <c r="N97" s="22"/>
      <c r="O97" s="23"/>
      <c r="P97" s="22"/>
      <c r="Q97" s="23"/>
      <c r="R97" s="22"/>
      <c r="S97" s="23"/>
      <c r="T97" s="22"/>
    </row>
    <row r="98" spans="2:20">
      <c r="B98" s="7" t="s">
        <v>53</v>
      </c>
      <c r="C98" s="12" t="s">
        <v>54</v>
      </c>
      <c r="D98" s="22"/>
      <c r="E98" s="23"/>
      <c r="F98" s="22"/>
      <c r="G98" s="23"/>
      <c r="H98" s="22"/>
      <c r="I98" s="23"/>
      <c r="J98" s="22"/>
      <c r="K98" s="23"/>
      <c r="L98" s="22"/>
      <c r="M98" s="23"/>
      <c r="N98" s="22"/>
      <c r="O98" s="23"/>
      <c r="P98" s="22"/>
      <c r="Q98" s="23"/>
      <c r="R98" s="22"/>
      <c r="S98" s="23"/>
      <c r="T98" s="22"/>
    </row>
    <row r="99" spans="2:20">
      <c r="B99" s="7" t="s">
        <v>55</v>
      </c>
      <c r="C99" s="12" t="s">
        <v>56</v>
      </c>
      <c r="D99" s="22"/>
      <c r="E99" s="23"/>
      <c r="F99" s="22"/>
      <c r="G99" s="23"/>
      <c r="H99" s="22"/>
      <c r="I99" s="23"/>
      <c r="J99" s="22"/>
      <c r="K99" s="23"/>
      <c r="L99" s="22"/>
      <c r="M99" s="23"/>
      <c r="N99" s="22"/>
      <c r="O99" s="23"/>
      <c r="P99" s="22"/>
      <c r="Q99" s="23"/>
      <c r="R99" s="22"/>
      <c r="S99" s="23"/>
      <c r="T99" s="22"/>
    </row>
    <row r="100" spans="2:20">
      <c r="B100" s="7" t="s">
        <v>57</v>
      </c>
      <c r="C100" s="12" t="s">
        <v>58</v>
      </c>
      <c r="D100" s="22"/>
      <c r="E100" s="23"/>
      <c r="F100" s="22"/>
      <c r="G100" s="23"/>
      <c r="H100" s="22"/>
      <c r="I100" s="23"/>
      <c r="J100" s="22"/>
      <c r="K100" s="23"/>
      <c r="L100" s="22"/>
      <c r="M100" s="23"/>
      <c r="N100" s="22"/>
      <c r="O100" s="23"/>
      <c r="P100" s="22"/>
      <c r="Q100" s="23"/>
      <c r="R100" s="22"/>
      <c r="S100" s="23"/>
      <c r="T100" s="22"/>
    </row>
    <row r="101" spans="2:20">
      <c r="B101" s="7" t="s">
        <v>59</v>
      </c>
      <c r="C101" s="12" t="s">
        <v>60</v>
      </c>
      <c r="D101" s="22"/>
      <c r="E101" s="23"/>
      <c r="F101" s="22"/>
      <c r="G101" s="23"/>
      <c r="H101" s="22"/>
      <c r="I101" s="23"/>
      <c r="J101" s="22"/>
      <c r="K101" s="23"/>
      <c r="L101" s="22"/>
      <c r="M101" s="23"/>
      <c r="N101" s="22"/>
      <c r="O101" s="23"/>
      <c r="P101" s="22"/>
      <c r="Q101" s="23"/>
      <c r="R101" s="22"/>
      <c r="S101" s="23"/>
      <c r="T101" s="22"/>
    </row>
    <row r="102" spans="2:20">
      <c r="B102" s="7" t="s">
        <v>53</v>
      </c>
      <c r="C102" s="12" t="s">
        <v>54</v>
      </c>
      <c r="D102" s="22"/>
      <c r="E102" s="23"/>
      <c r="F102" s="22"/>
      <c r="G102" s="23"/>
      <c r="H102" s="22"/>
      <c r="I102" s="23"/>
      <c r="J102" s="22"/>
      <c r="K102" s="23"/>
      <c r="L102" s="22"/>
      <c r="M102" s="23"/>
      <c r="N102" s="22"/>
      <c r="O102" s="23"/>
      <c r="P102" s="22"/>
      <c r="Q102" s="23"/>
      <c r="R102" s="22"/>
      <c r="S102" s="23"/>
      <c r="T102" s="22"/>
    </row>
    <row r="103" spans="2:20">
      <c r="B103" s="7" t="s">
        <v>408</v>
      </c>
      <c r="C103" s="12" t="s">
        <v>469</v>
      </c>
      <c r="D103" s="22"/>
      <c r="E103" s="23"/>
      <c r="F103" s="22"/>
      <c r="G103" s="23"/>
      <c r="H103" s="22"/>
      <c r="I103" s="23"/>
      <c r="J103" s="22"/>
      <c r="K103" s="23"/>
      <c r="L103" s="22"/>
      <c r="M103" s="23"/>
      <c r="N103" s="22"/>
      <c r="O103" s="23"/>
      <c r="P103" s="22"/>
      <c r="Q103" s="23"/>
      <c r="R103" s="22"/>
      <c r="S103" s="23"/>
      <c r="T103" s="22"/>
    </row>
    <row r="104" spans="2:20">
      <c r="B104" s="7" t="s">
        <v>61</v>
      </c>
      <c r="C104" s="12" t="s">
        <v>339</v>
      </c>
      <c r="D104" s="22"/>
      <c r="E104" s="23"/>
      <c r="F104" s="22"/>
      <c r="G104" s="23"/>
      <c r="H104" s="22"/>
      <c r="I104" s="23"/>
      <c r="J104" s="22"/>
      <c r="K104" s="23"/>
      <c r="L104" s="22"/>
      <c r="M104" s="23"/>
      <c r="N104" s="22"/>
      <c r="O104" s="23"/>
      <c r="P104" s="22"/>
      <c r="Q104" s="23"/>
      <c r="R104" s="22"/>
      <c r="S104" s="23"/>
      <c r="T104" s="22"/>
    </row>
    <row r="105" spans="2:20">
      <c r="B105" s="7" t="s">
        <v>125</v>
      </c>
      <c r="C105" s="12" t="s">
        <v>169</v>
      </c>
      <c r="D105" s="22"/>
      <c r="E105" s="23"/>
      <c r="F105" s="22"/>
      <c r="G105" s="23"/>
      <c r="H105" s="22"/>
      <c r="I105" s="23"/>
      <c r="J105" s="22"/>
      <c r="K105" s="23"/>
      <c r="L105" s="22"/>
      <c r="M105" s="23"/>
      <c r="N105" s="22"/>
      <c r="O105" s="23"/>
      <c r="P105" s="22"/>
      <c r="Q105" s="23"/>
      <c r="R105" s="22"/>
      <c r="S105" s="23"/>
      <c r="T105" s="22"/>
    </row>
    <row r="106" spans="2:20">
      <c r="B106" s="9" t="s">
        <v>62</v>
      </c>
      <c r="C106" s="12" t="s">
        <v>340</v>
      </c>
      <c r="D106" s="22"/>
      <c r="E106" s="23"/>
      <c r="F106" s="22"/>
      <c r="G106" s="23"/>
      <c r="H106" s="22"/>
      <c r="I106" s="23"/>
      <c r="J106" s="22"/>
      <c r="K106" s="23"/>
      <c r="L106" s="22"/>
      <c r="M106" s="23"/>
      <c r="N106" s="22"/>
      <c r="O106" s="23"/>
      <c r="P106" s="22"/>
      <c r="Q106" s="23"/>
      <c r="R106" s="22"/>
      <c r="S106" s="23"/>
      <c r="T106" s="22"/>
    </row>
    <row r="107" spans="2:20">
      <c r="B107" s="9" t="s">
        <v>63</v>
      </c>
      <c r="C107" s="12" t="s">
        <v>64</v>
      </c>
      <c r="D107" s="22"/>
      <c r="E107" s="23"/>
      <c r="F107" s="22"/>
      <c r="G107" s="23"/>
      <c r="H107" s="22"/>
      <c r="I107" s="23"/>
      <c r="J107" s="22"/>
      <c r="K107" s="23"/>
      <c r="L107" s="22"/>
      <c r="M107" s="23"/>
      <c r="N107" s="22"/>
      <c r="O107" s="23"/>
      <c r="P107" s="22"/>
      <c r="Q107" s="23"/>
      <c r="R107" s="22"/>
      <c r="S107" s="23"/>
      <c r="T107" s="22"/>
    </row>
    <row r="108" spans="2:20">
      <c r="B108" s="9" t="s">
        <v>65</v>
      </c>
      <c r="C108" s="12" t="s">
        <v>66</v>
      </c>
      <c r="D108" s="22"/>
      <c r="E108" s="23"/>
      <c r="F108" s="22"/>
      <c r="G108" s="23"/>
      <c r="H108" s="22"/>
      <c r="I108" s="23"/>
      <c r="J108" s="22"/>
      <c r="K108" s="23"/>
      <c r="L108" s="22"/>
      <c r="M108" s="23"/>
      <c r="N108" s="22"/>
      <c r="O108" s="23"/>
      <c r="P108" s="22"/>
      <c r="Q108" s="23"/>
      <c r="R108" s="22"/>
      <c r="S108" s="23"/>
      <c r="T108" s="22"/>
    </row>
    <row r="109" spans="2:20">
      <c r="B109" s="9" t="s">
        <v>67</v>
      </c>
      <c r="C109" s="12" t="s">
        <v>68</v>
      </c>
      <c r="D109" s="22"/>
      <c r="E109" s="23"/>
      <c r="F109" s="22"/>
      <c r="G109" s="23"/>
      <c r="H109" s="22"/>
      <c r="I109" s="23"/>
      <c r="J109" s="22"/>
      <c r="K109" s="23"/>
      <c r="L109" s="22"/>
      <c r="M109" s="23"/>
      <c r="N109" s="22"/>
      <c r="O109" s="23"/>
      <c r="P109" s="22"/>
      <c r="Q109" s="23"/>
      <c r="R109" s="22"/>
      <c r="S109" s="23"/>
      <c r="T109" s="22"/>
    </row>
    <row r="110" spans="2:20">
      <c r="B110" s="9" t="s">
        <v>69</v>
      </c>
      <c r="C110" s="12" t="s">
        <v>70</v>
      </c>
      <c r="D110" s="22"/>
      <c r="E110" s="23"/>
      <c r="F110" s="22"/>
      <c r="G110" s="23"/>
      <c r="H110" s="22"/>
      <c r="I110" s="23"/>
      <c r="J110" s="22"/>
      <c r="K110" s="23"/>
      <c r="L110" s="22"/>
      <c r="M110" s="23"/>
      <c r="N110" s="22"/>
      <c r="O110" s="23"/>
      <c r="P110" s="22"/>
      <c r="Q110" s="23"/>
      <c r="R110" s="22"/>
      <c r="S110" s="23"/>
      <c r="T110" s="22"/>
    </row>
    <row r="111" spans="2:20">
      <c r="B111" s="9" t="s">
        <v>71</v>
      </c>
      <c r="C111" s="12" t="s">
        <v>72</v>
      </c>
      <c r="D111" s="22"/>
      <c r="E111" s="23"/>
      <c r="F111" s="22"/>
      <c r="G111" s="23"/>
      <c r="H111" s="22"/>
      <c r="I111" s="23"/>
      <c r="J111" s="22"/>
      <c r="K111" s="23"/>
      <c r="L111" s="22"/>
      <c r="M111" s="23"/>
      <c r="N111" s="22"/>
      <c r="O111" s="23"/>
      <c r="P111" s="22"/>
      <c r="Q111" s="23"/>
      <c r="R111" s="22"/>
      <c r="S111" s="23"/>
      <c r="T111" s="22"/>
    </row>
    <row r="112" spans="2:20">
      <c r="B112" s="9" t="s">
        <v>128</v>
      </c>
      <c r="C112" s="12" t="s">
        <v>178</v>
      </c>
      <c r="D112" s="24"/>
      <c r="E112" s="25"/>
      <c r="F112" s="24"/>
      <c r="G112" s="25"/>
      <c r="H112" s="24"/>
      <c r="I112" s="25"/>
      <c r="J112" s="24"/>
      <c r="K112" s="25"/>
      <c r="L112" s="24"/>
      <c r="M112" s="25"/>
      <c r="N112" s="24"/>
      <c r="O112" s="25"/>
      <c r="P112" s="24"/>
      <c r="Q112" s="25"/>
      <c r="R112" s="24"/>
      <c r="S112" s="25"/>
      <c r="T112" s="24"/>
    </row>
    <row r="113" spans="2:20">
      <c r="B113" s="9" t="s">
        <v>74</v>
      </c>
      <c r="C113" s="12" t="s">
        <v>75</v>
      </c>
      <c r="D113" s="22"/>
      <c r="E113" s="23"/>
      <c r="F113" s="22"/>
      <c r="G113" s="23"/>
      <c r="H113" s="22"/>
      <c r="I113" s="23"/>
      <c r="J113" s="22"/>
      <c r="K113" s="23"/>
      <c r="L113" s="22"/>
      <c r="M113" s="23"/>
      <c r="N113" s="22"/>
      <c r="O113" s="23"/>
      <c r="P113" s="22"/>
      <c r="Q113" s="23"/>
      <c r="R113" s="22"/>
      <c r="S113" s="23"/>
      <c r="T113" s="22"/>
    </row>
    <row r="114" spans="2:20">
      <c r="B114" s="9" t="s">
        <v>76</v>
      </c>
      <c r="C114" s="12" t="s">
        <v>77</v>
      </c>
      <c r="D114" s="22"/>
      <c r="E114" s="23"/>
      <c r="F114" s="22"/>
      <c r="G114" s="23"/>
      <c r="H114" s="22"/>
      <c r="I114" s="23"/>
      <c r="J114" s="22"/>
      <c r="K114" s="23"/>
      <c r="L114" s="22"/>
      <c r="M114" s="23"/>
      <c r="N114" s="22"/>
      <c r="O114" s="23"/>
      <c r="P114" s="22"/>
      <c r="Q114" s="23"/>
      <c r="R114" s="22"/>
      <c r="S114" s="23"/>
      <c r="T114" s="22"/>
    </row>
    <row r="115" spans="2:20">
      <c r="B115" s="9" t="s">
        <v>78</v>
      </c>
      <c r="C115" s="12" t="s">
        <v>150</v>
      </c>
      <c r="D115" s="22"/>
      <c r="E115" s="23"/>
      <c r="F115" s="22"/>
      <c r="G115" s="23"/>
      <c r="H115" s="22"/>
      <c r="I115" s="23"/>
      <c r="J115" s="22"/>
      <c r="K115" s="23"/>
      <c r="L115" s="22"/>
      <c r="M115" s="23"/>
      <c r="N115" s="22"/>
      <c r="O115" s="23"/>
      <c r="P115" s="22"/>
      <c r="Q115" s="23"/>
      <c r="R115" s="22"/>
      <c r="S115" s="23"/>
      <c r="T115" s="22"/>
    </row>
    <row r="116" spans="2:20">
      <c r="B116" s="9" t="s">
        <v>79</v>
      </c>
      <c r="C116" s="12" t="s">
        <v>80</v>
      </c>
      <c r="D116" s="22"/>
      <c r="E116" s="23"/>
      <c r="F116" s="22"/>
      <c r="G116" s="23"/>
      <c r="H116" s="22"/>
      <c r="I116" s="23"/>
      <c r="J116" s="22"/>
      <c r="K116" s="23"/>
      <c r="L116" s="22"/>
      <c r="M116" s="23"/>
      <c r="N116" s="22"/>
      <c r="O116" s="23"/>
      <c r="P116" s="22"/>
      <c r="Q116" s="23"/>
      <c r="R116" s="22"/>
      <c r="S116" s="23"/>
      <c r="T116" s="22"/>
    </row>
    <row r="117" spans="2:20">
      <c r="B117" s="9" t="s">
        <v>81</v>
      </c>
      <c r="C117" s="12" t="s">
        <v>82</v>
      </c>
      <c r="D117" s="22"/>
      <c r="E117" s="23"/>
      <c r="F117" s="22"/>
      <c r="G117" s="23"/>
      <c r="H117" s="22"/>
      <c r="I117" s="23"/>
      <c r="J117" s="22"/>
      <c r="K117" s="23"/>
      <c r="L117" s="22"/>
      <c r="M117" s="23"/>
      <c r="N117" s="22"/>
      <c r="O117" s="23"/>
      <c r="P117" s="22"/>
      <c r="Q117" s="23"/>
      <c r="R117" s="22"/>
      <c r="S117" s="23"/>
      <c r="T117" s="22"/>
    </row>
    <row r="118" spans="2:20">
      <c r="B118" s="9" t="s">
        <v>83</v>
      </c>
      <c r="C118" s="12" t="s">
        <v>84</v>
      </c>
      <c r="D118" s="24"/>
      <c r="E118" s="25"/>
      <c r="F118" s="24"/>
      <c r="G118" s="25"/>
      <c r="H118" s="24"/>
      <c r="I118" s="25"/>
      <c r="J118" s="24"/>
      <c r="K118" s="25"/>
      <c r="L118" s="24"/>
      <c r="M118" s="25"/>
      <c r="N118" s="24"/>
      <c r="O118" s="25"/>
      <c r="P118" s="24"/>
      <c r="Q118" s="25"/>
      <c r="R118" s="24"/>
      <c r="S118" s="25"/>
      <c r="T118" s="24"/>
    </row>
    <row r="119" spans="2:20">
      <c r="B119" s="9" t="s">
        <v>85</v>
      </c>
      <c r="C119" s="12" t="s">
        <v>341</v>
      </c>
      <c r="D119" s="22"/>
      <c r="E119" s="23"/>
      <c r="F119" s="22"/>
      <c r="G119" s="23"/>
      <c r="H119" s="22"/>
      <c r="I119" s="23"/>
      <c r="J119" s="22"/>
      <c r="K119" s="23"/>
      <c r="L119" s="22"/>
      <c r="M119" s="23"/>
      <c r="N119" s="22"/>
      <c r="O119" s="23"/>
      <c r="P119" s="22"/>
      <c r="Q119" s="23"/>
      <c r="R119" s="22"/>
      <c r="S119" s="23"/>
      <c r="T119" s="22"/>
    </row>
    <row r="120" spans="2:20">
      <c r="B120" s="9" t="s">
        <v>129</v>
      </c>
      <c r="C120" s="12" t="s">
        <v>179</v>
      </c>
      <c r="D120" s="22"/>
      <c r="E120" s="23"/>
      <c r="F120" s="22"/>
      <c r="G120" s="23"/>
      <c r="H120" s="22"/>
      <c r="I120" s="23"/>
      <c r="J120" s="22"/>
      <c r="K120" s="23"/>
      <c r="L120" s="22"/>
      <c r="M120" s="23"/>
      <c r="N120" s="22"/>
      <c r="O120" s="23"/>
      <c r="P120" s="22"/>
      <c r="Q120" s="23"/>
      <c r="R120" s="22"/>
      <c r="S120" s="23"/>
      <c r="T120" s="22"/>
    </row>
    <row r="121" spans="2:20">
      <c r="B121" s="9" t="s">
        <v>86</v>
      </c>
      <c r="C121" s="12" t="s">
        <v>87</v>
      </c>
      <c r="D121" s="22"/>
      <c r="E121" s="23"/>
      <c r="F121" s="22"/>
      <c r="G121" s="23"/>
      <c r="H121" s="22"/>
      <c r="I121" s="23"/>
      <c r="J121" s="22"/>
      <c r="K121" s="23"/>
      <c r="L121" s="22"/>
      <c r="M121" s="23"/>
      <c r="N121" s="22"/>
      <c r="O121" s="23"/>
      <c r="P121" s="22"/>
      <c r="Q121" s="23"/>
      <c r="R121" s="22"/>
      <c r="S121" s="23"/>
      <c r="T121" s="22"/>
    </row>
    <row r="122" spans="2:20">
      <c r="B122" s="9" t="s">
        <v>88</v>
      </c>
      <c r="C122" s="12" t="s">
        <v>89</v>
      </c>
      <c r="D122" s="22"/>
      <c r="E122" s="23"/>
      <c r="F122" s="22"/>
      <c r="G122" s="23"/>
      <c r="H122" s="22"/>
      <c r="I122" s="23"/>
      <c r="J122" s="22"/>
      <c r="K122" s="23"/>
      <c r="L122" s="22"/>
      <c r="M122" s="23"/>
      <c r="N122" s="22"/>
      <c r="O122" s="23"/>
      <c r="P122" s="22"/>
      <c r="Q122" s="23"/>
      <c r="R122" s="22"/>
      <c r="S122" s="23"/>
      <c r="T122" s="22"/>
    </row>
    <row r="123" spans="2:20">
      <c r="B123" s="9" t="s">
        <v>90</v>
      </c>
      <c r="C123" s="12" t="s">
        <v>91</v>
      </c>
      <c r="D123" s="22"/>
      <c r="E123" s="23"/>
      <c r="F123" s="22"/>
      <c r="G123" s="23"/>
      <c r="H123" s="22"/>
      <c r="I123" s="23"/>
      <c r="J123" s="22"/>
      <c r="K123" s="23"/>
      <c r="L123" s="22"/>
      <c r="M123" s="23"/>
      <c r="N123" s="22"/>
      <c r="O123" s="23"/>
      <c r="P123" s="22"/>
      <c r="Q123" s="23"/>
      <c r="R123" s="22"/>
      <c r="S123" s="23"/>
      <c r="T123" s="22"/>
    </row>
    <row r="124" spans="2:20">
      <c r="B124" s="9" t="s">
        <v>92</v>
      </c>
      <c r="C124" s="12" t="s">
        <v>93</v>
      </c>
      <c r="D124" s="24"/>
      <c r="E124" s="25"/>
      <c r="F124" s="24"/>
      <c r="G124" s="25"/>
      <c r="H124" s="24"/>
      <c r="I124" s="25"/>
      <c r="J124" s="24"/>
      <c r="K124" s="25"/>
      <c r="L124" s="24"/>
      <c r="M124" s="25"/>
      <c r="N124" s="24"/>
      <c r="O124" s="25"/>
      <c r="P124" s="24"/>
      <c r="Q124" s="25"/>
      <c r="R124" s="24"/>
      <c r="S124" s="25"/>
      <c r="T124" s="24"/>
    </row>
    <row r="125" spans="2:20">
      <c r="B125" s="9" t="s">
        <v>94</v>
      </c>
      <c r="C125" s="12" t="s">
        <v>95</v>
      </c>
      <c r="D125" s="24"/>
      <c r="E125" s="25"/>
      <c r="F125" s="24"/>
      <c r="G125" s="25"/>
      <c r="H125" s="24"/>
      <c r="I125" s="25"/>
      <c r="J125" s="24"/>
      <c r="K125" s="25"/>
      <c r="L125" s="24"/>
      <c r="M125" s="25"/>
      <c r="N125" s="24"/>
      <c r="O125" s="25"/>
      <c r="P125" s="24"/>
      <c r="Q125" s="25"/>
      <c r="R125" s="24"/>
      <c r="S125" s="25"/>
      <c r="T125" s="24"/>
    </row>
    <row r="126" spans="2:20">
      <c r="B126" s="9" t="s">
        <v>96</v>
      </c>
      <c r="C126" s="12" t="s">
        <v>97</v>
      </c>
      <c r="D126" s="24"/>
      <c r="E126" s="25"/>
      <c r="F126" s="24"/>
      <c r="G126" s="25"/>
      <c r="H126" s="24"/>
      <c r="I126" s="25"/>
      <c r="J126" s="24"/>
      <c r="K126" s="25"/>
      <c r="L126" s="24"/>
      <c r="M126" s="25"/>
      <c r="N126" s="24"/>
      <c r="O126" s="25"/>
      <c r="P126" s="24"/>
      <c r="Q126" s="25"/>
      <c r="R126" s="24"/>
      <c r="S126" s="25"/>
      <c r="T126" s="24"/>
    </row>
    <row r="127" spans="2:20">
      <c r="B127" s="9" t="s">
        <v>99</v>
      </c>
      <c r="C127" s="12" t="s">
        <v>100</v>
      </c>
      <c r="D127" s="24"/>
      <c r="E127" s="25"/>
      <c r="F127" s="24"/>
      <c r="G127" s="25"/>
      <c r="H127" s="24"/>
      <c r="I127" s="25"/>
      <c r="J127" s="24"/>
      <c r="K127" s="25"/>
      <c r="L127" s="24"/>
      <c r="M127" s="25"/>
      <c r="N127" s="24"/>
      <c r="O127" s="25"/>
      <c r="P127" s="24"/>
      <c r="Q127" s="25"/>
      <c r="R127" s="24"/>
      <c r="S127" s="25"/>
      <c r="T127" s="24"/>
    </row>
    <row r="128" spans="2:20">
      <c r="B128" s="9" t="s">
        <v>101</v>
      </c>
      <c r="C128" s="12" t="s">
        <v>102</v>
      </c>
      <c r="D128" s="24"/>
      <c r="E128" s="25"/>
      <c r="F128" s="24"/>
      <c r="G128" s="25"/>
      <c r="H128" s="24"/>
      <c r="I128" s="25"/>
      <c r="J128" s="24"/>
      <c r="K128" s="25"/>
      <c r="L128" s="24"/>
      <c r="M128" s="25"/>
      <c r="N128" s="24"/>
      <c r="O128" s="25"/>
      <c r="P128" s="24"/>
      <c r="Q128" s="25"/>
      <c r="R128" s="24"/>
      <c r="S128" s="25"/>
      <c r="T128" s="24"/>
    </row>
    <row r="129" spans="2:20">
      <c r="B129" s="9" t="s">
        <v>103</v>
      </c>
      <c r="C129" s="12" t="s">
        <v>104</v>
      </c>
      <c r="D129" s="24"/>
      <c r="E129" s="25"/>
      <c r="F129" s="24"/>
      <c r="G129" s="25"/>
      <c r="H129" s="24"/>
      <c r="I129" s="25"/>
      <c r="J129" s="24"/>
      <c r="K129" s="25"/>
      <c r="L129" s="24"/>
      <c r="M129" s="25"/>
      <c r="N129" s="24"/>
      <c r="O129" s="25"/>
      <c r="P129" s="24"/>
      <c r="Q129" s="25"/>
      <c r="R129" s="24"/>
      <c r="S129" s="25"/>
      <c r="T129" s="24"/>
    </row>
    <row r="130" spans="2:20">
      <c r="B130" s="9" t="s">
        <v>105</v>
      </c>
      <c r="C130" s="12" t="s">
        <v>106</v>
      </c>
      <c r="D130" s="24"/>
      <c r="E130" s="25"/>
      <c r="F130" s="24"/>
      <c r="G130" s="25"/>
      <c r="H130" s="24"/>
      <c r="I130" s="25"/>
      <c r="J130" s="24"/>
      <c r="K130" s="25"/>
      <c r="L130" s="24"/>
      <c r="M130" s="25"/>
      <c r="N130" s="24"/>
      <c r="O130" s="25"/>
      <c r="P130" s="24"/>
      <c r="Q130" s="25"/>
      <c r="R130" s="24"/>
      <c r="S130" s="25"/>
      <c r="T130" s="24"/>
    </row>
    <row r="131" spans="2:20">
      <c r="B131" s="9" t="s">
        <v>107</v>
      </c>
      <c r="C131" s="12" t="s">
        <v>172</v>
      </c>
      <c r="D131" s="24"/>
      <c r="E131" s="25"/>
      <c r="F131" s="24"/>
      <c r="G131" s="25"/>
      <c r="H131" s="24"/>
      <c r="I131" s="25"/>
      <c r="J131" s="24"/>
      <c r="K131" s="25"/>
      <c r="L131" s="24"/>
      <c r="M131" s="25"/>
      <c r="N131" s="24"/>
      <c r="O131" s="25"/>
      <c r="P131" s="24"/>
      <c r="Q131" s="25"/>
      <c r="R131" s="24"/>
      <c r="S131" s="25"/>
      <c r="T131" s="24"/>
    </row>
    <row r="132" spans="2:20">
      <c r="B132" s="9" t="s">
        <v>108</v>
      </c>
      <c r="C132" s="12" t="s">
        <v>173</v>
      </c>
      <c r="D132" s="22"/>
      <c r="E132" s="23"/>
      <c r="F132" s="22"/>
      <c r="G132" s="23"/>
      <c r="H132" s="22"/>
      <c r="I132" s="23"/>
      <c r="J132" s="22"/>
      <c r="K132" s="23"/>
      <c r="L132" s="22"/>
      <c r="M132" s="23"/>
      <c r="N132" s="22"/>
      <c r="O132" s="23"/>
      <c r="P132" s="22"/>
      <c r="Q132" s="23"/>
      <c r="R132" s="22"/>
      <c r="S132" s="23"/>
      <c r="T132" s="22"/>
    </row>
    <row r="133" spans="2:20">
      <c r="B133" s="9" t="s">
        <v>130</v>
      </c>
      <c r="C133" s="12" t="s">
        <v>175</v>
      </c>
      <c r="D133" s="22"/>
      <c r="E133" s="23"/>
      <c r="F133" s="22"/>
      <c r="G133" s="23"/>
      <c r="H133" s="22"/>
      <c r="I133" s="23"/>
      <c r="J133" s="22"/>
      <c r="K133" s="23"/>
      <c r="L133" s="22"/>
      <c r="M133" s="23"/>
      <c r="N133" s="22"/>
      <c r="O133" s="23"/>
      <c r="P133" s="22"/>
      <c r="Q133" s="23"/>
      <c r="R133" s="22"/>
      <c r="S133" s="23"/>
      <c r="T133" s="22"/>
    </row>
    <row r="134" spans="2:20">
      <c r="B134" s="9" t="s">
        <v>110</v>
      </c>
      <c r="C134" s="12" t="s">
        <v>111</v>
      </c>
      <c r="D134" s="22"/>
      <c r="E134" s="23"/>
      <c r="F134" s="22"/>
      <c r="G134" s="23"/>
      <c r="H134" s="22"/>
      <c r="I134" s="23"/>
      <c r="J134" s="22"/>
      <c r="K134" s="23"/>
      <c r="L134" s="22"/>
      <c r="M134" s="23"/>
      <c r="N134" s="22"/>
      <c r="O134" s="23"/>
      <c r="P134" s="22"/>
      <c r="Q134" s="23"/>
      <c r="R134" s="22"/>
      <c r="S134" s="23"/>
      <c r="T134" s="22"/>
    </row>
    <row r="135" spans="2:20">
      <c r="B135" s="9" t="s">
        <v>117</v>
      </c>
      <c r="C135" s="12" t="s">
        <v>118</v>
      </c>
      <c r="D135" s="22"/>
      <c r="E135" s="23"/>
      <c r="F135" s="22"/>
      <c r="G135" s="23"/>
      <c r="H135" s="22"/>
      <c r="I135" s="23"/>
      <c r="J135" s="22"/>
      <c r="K135" s="23"/>
      <c r="L135" s="22"/>
      <c r="M135" s="23"/>
      <c r="N135" s="22"/>
      <c r="O135" s="23"/>
      <c r="P135" s="22"/>
      <c r="Q135" s="23"/>
      <c r="R135" s="22"/>
      <c r="S135" s="23"/>
      <c r="T135" s="22"/>
    </row>
    <row r="136" spans="2:20">
      <c r="B136" s="9" t="s">
        <v>151</v>
      </c>
      <c r="C136" s="12" t="s">
        <v>176</v>
      </c>
      <c r="D136" s="24"/>
      <c r="E136" s="25"/>
      <c r="F136" s="24"/>
      <c r="G136" s="25"/>
      <c r="H136" s="24"/>
      <c r="I136" s="25"/>
      <c r="J136" s="24"/>
      <c r="K136" s="25"/>
      <c r="L136" s="24"/>
      <c r="M136" s="25"/>
      <c r="N136" s="24"/>
      <c r="O136" s="25"/>
      <c r="P136" s="24"/>
      <c r="Q136" s="25"/>
      <c r="R136" s="24"/>
      <c r="S136" s="25"/>
      <c r="T136" s="24"/>
    </row>
    <row r="137" spans="2:20">
      <c r="B137" s="9" t="s">
        <v>131</v>
      </c>
      <c r="C137" s="12" t="s">
        <v>119</v>
      </c>
      <c r="D137" s="24"/>
      <c r="E137" s="25"/>
      <c r="F137" s="24"/>
      <c r="G137" s="25"/>
      <c r="H137" s="24"/>
      <c r="I137" s="25"/>
      <c r="J137" s="24"/>
      <c r="K137" s="25"/>
      <c r="L137" s="24"/>
      <c r="M137" s="25"/>
      <c r="N137" s="24"/>
      <c r="O137" s="25"/>
      <c r="P137" s="24"/>
      <c r="Q137" s="25"/>
      <c r="R137" s="24"/>
      <c r="S137" s="25"/>
      <c r="T137" s="24"/>
    </row>
    <row r="138" spans="2:20">
      <c r="B138" s="9" t="s">
        <v>132</v>
      </c>
      <c r="C138" s="12" t="s">
        <v>177</v>
      </c>
      <c r="D138" s="22"/>
      <c r="E138" s="23"/>
      <c r="F138" s="22"/>
      <c r="G138" s="23"/>
      <c r="H138" s="22"/>
      <c r="I138" s="23"/>
      <c r="J138" s="22"/>
      <c r="K138" s="23"/>
      <c r="L138" s="22"/>
      <c r="M138" s="23"/>
      <c r="N138" s="22"/>
      <c r="O138" s="23"/>
      <c r="P138" s="22"/>
      <c r="Q138" s="23"/>
      <c r="R138" s="22"/>
      <c r="S138" s="23"/>
      <c r="T138" s="22"/>
    </row>
    <row r="139" spans="2:20">
      <c r="B139" s="9" t="s">
        <v>0</v>
      </c>
      <c r="C139" s="12" t="s">
        <v>133</v>
      </c>
      <c r="D139" s="22"/>
      <c r="E139" s="23"/>
      <c r="F139" s="22"/>
      <c r="G139" s="23"/>
      <c r="H139" s="22"/>
      <c r="I139" s="23"/>
      <c r="J139" s="22"/>
      <c r="K139" s="23"/>
      <c r="L139" s="22"/>
      <c r="M139" s="23"/>
      <c r="N139" s="22"/>
      <c r="O139" s="23"/>
      <c r="P139" s="22"/>
      <c r="Q139" s="23"/>
      <c r="R139" s="22"/>
      <c r="S139" s="23"/>
      <c r="T139" s="22"/>
    </row>
    <row r="140" spans="2:20">
      <c r="B140" s="9" t="s">
        <v>134</v>
      </c>
      <c r="C140" s="12" t="s">
        <v>135</v>
      </c>
      <c r="D140" s="22"/>
      <c r="E140" s="23"/>
      <c r="F140" s="22"/>
      <c r="G140" s="23"/>
      <c r="H140" s="22"/>
      <c r="I140" s="23"/>
      <c r="J140" s="22"/>
      <c r="K140" s="23"/>
      <c r="L140" s="22"/>
      <c r="M140" s="23"/>
      <c r="N140" s="22"/>
      <c r="O140" s="23"/>
      <c r="P140" s="22"/>
      <c r="Q140" s="23"/>
      <c r="R140" s="22"/>
      <c r="S140" s="23"/>
      <c r="T140" s="22"/>
    </row>
    <row r="141" spans="2:20">
      <c r="B141" s="9" t="s">
        <v>136</v>
      </c>
      <c r="C141" s="12" t="s">
        <v>137</v>
      </c>
      <c r="D141" s="22"/>
      <c r="E141" s="23"/>
      <c r="F141" s="22"/>
      <c r="G141" s="23"/>
      <c r="H141" s="22"/>
      <c r="I141" s="23"/>
      <c r="J141" s="22"/>
      <c r="K141" s="23"/>
      <c r="L141" s="22"/>
      <c r="M141" s="23"/>
      <c r="N141" s="22"/>
      <c r="O141" s="23"/>
      <c r="P141" s="22"/>
      <c r="Q141" s="23"/>
      <c r="R141" s="22"/>
      <c r="S141" s="23"/>
      <c r="T141" s="22"/>
    </row>
    <row r="142" spans="2:20">
      <c r="B142" s="9" t="s">
        <v>115</v>
      </c>
      <c r="C142" s="12" t="s">
        <v>138</v>
      </c>
    </row>
    <row r="143" spans="2:20">
      <c r="B143" s="9" t="s">
        <v>112</v>
      </c>
      <c r="C143" s="12" t="s">
        <v>139</v>
      </c>
    </row>
    <row r="144" spans="2:20">
      <c r="B144" s="9" t="s">
        <v>140</v>
      </c>
      <c r="C144" s="12" t="s">
        <v>141</v>
      </c>
    </row>
    <row r="145" spans="2:22">
      <c r="B145" s="9" t="s">
        <v>120</v>
      </c>
      <c r="C145" s="12" t="s">
        <v>142</v>
      </c>
    </row>
    <row r="146" spans="2:22">
      <c r="B146" s="9" t="s">
        <v>143</v>
      </c>
      <c r="C146" s="12" t="s">
        <v>144</v>
      </c>
    </row>
    <row r="147" spans="2:22">
      <c r="B147" s="9" t="s">
        <v>121</v>
      </c>
      <c r="C147" s="12" t="s">
        <v>145</v>
      </c>
    </row>
    <row r="148" spans="2:22">
      <c r="B148" s="9" t="s">
        <v>122</v>
      </c>
      <c r="C148" s="12" t="s">
        <v>146</v>
      </c>
    </row>
    <row r="149" spans="2:22">
      <c r="B149" s="9" t="s">
        <v>328</v>
      </c>
      <c r="C149" s="12" t="s">
        <v>147</v>
      </c>
    </row>
    <row r="150" spans="2:22">
      <c r="B150" s="9" t="s">
        <v>124</v>
      </c>
      <c r="C150" s="12" t="s">
        <v>148</v>
      </c>
    </row>
    <row r="151" spans="2:22">
      <c r="B151" s="11" t="s">
        <v>265</v>
      </c>
      <c r="C151" s="11" t="s">
        <v>266</v>
      </c>
    </row>
    <row r="154" spans="2:22">
      <c r="B154" s="372" t="s">
        <v>255</v>
      </c>
      <c r="C154" s="372"/>
      <c r="D154" s="372"/>
      <c r="E154" s="372"/>
      <c r="F154" s="372"/>
      <c r="G154" s="372"/>
      <c r="H154" s="372"/>
      <c r="I154" s="372"/>
      <c r="J154" s="372"/>
      <c r="K154" s="372"/>
      <c r="L154" s="372"/>
      <c r="M154" s="372"/>
      <c r="N154" s="372"/>
      <c r="O154" s="372"/>
      <c r="P154" s="372"/>
      <c r="Q154" s="372"/>
      <c r="R154" s="372"/>
      <c r="S154" s="372"/>
      <c r="T154" s="372"/>
    </row>
    <row r="158" spans="2:22">
      <c r="C158" s="11">
        <v>2006</v>
      </c>
      <c r="E158" s="11">
        <v>2007</v>
      </c>
      <c r="G158" s="11">
        <v>2008</v>
      </c>
      <c r="I158" s="11">
        <v>2009</v>
      </c>
      <c r="K158" s="11">
        <v>2010</v>
      </c>
      <c r="M158" s="11">
        <v>2011</v>
      </c>
      <c r="O158" s="11">
        <v>2012</v>
      </c>
      <c r="Q158" s="11">
        <v>2013</v>
      </c>
      <c r="S158" s="11">
        <v>2014</v>
      </c>
      <c r="U158" s="11">
        <v>2015</v>
      </c>
    </row>
    <row r="159" spans="2:22">
      <c r="B159" s="11" t="s">
        <v>258</v>
      </c>
      <c r="C159" s="11" t="s">
        <v>262</v>
      </c>
      <c r="D159" s="11" t="s">
        <v>152</v>
      </c>
      <c r="E159" s="11" t="s">
        <v>262</v>
      </c>
      <c r="F159" s="11" t="s">
        <v>152</v>
      </c>
      <c r="G159" s="11" t="s">
        <v>262</v>
      </c>
      <c r="H159" s="11" t="s">
        <v>152</v>
      </c>
      <c r="I159" s="11" t="s">
        <v>262</v>
      </c>
      <c r="J159" s="11" t="s">
        <v>152</v>
      </c>
      <c r="K159" s="11" t="s">
        <v>262</v>
      </c>
      <c r="L159" s="11" t="s">
        <v>152</v>
      </c>
      <c r="M159" s="11" t="s">
        <v>262</v>
      </c>
      <c r="N159" s="11" t="s">
        <v>152</v>
      </c>
      <c r="O159" s="11" t="s">
        <v>262</v>
      </c>
      <c r="P159" s="11" t="s">
        <v>152</v>
      </c>
      <c r="Q159" s="11" t="s">
        <v>262</v>
      </c>
      <c r="R159" s="11" t="s">
        <v>152</v>
      </c>
      <c r="S159" s="11" t="s">
        <v>262</v>
      </c>
      <c r="T159" s="11" t="s">
        <v>152</v>
      </c>
      <c r="U159" s="11" t="s">
        <v>262</v>
      </c>
      <c r="V159" s="1" t="s">
        <v>152</v>
      </c>
    </row>
    <row r="160" spans="2:22">
      <c r="B160" s="11" t="s">
        <v>257</v>
      </c>
      <c r="C160" s="11" t="s">
        <v>262</v>
      </c>
      <c r="D160" s="11" t="s">
        <v>256</v>
      </c>
      <c r="E160" s="11" t="s">
        <v>262</v>
      </c>
      <c r="F160" s="11" t="s">
        <v>256</v>
      </c>
      <c r="G160" s="11" t="s">
        <v>262</v>
      </c>
      <c r="H160" s="11" t="s">
        <v>256</v>
      </c>
      <c r="I160" s="11" t="s">
        <v>262</v>
      </c>
      <c r="J160" s="11" t="s">
        <v>256</v>
      </c>
      <c r="K160" s="11" t="s">
        <v>262</v>
      </c>
      <c r="L160" s="11" t="s">
        <v>256</v>
      </c>
      <c r="M160" s="11" t="s">
        <v>262</v>
      </c>
      <c r="N160" s="11" t="s">
        <v>256</v>
      </c>
      <c r="O160" s="11" t="s">
        <v>262</v>
      </c>
      <c r="P160" s="11" t="s">
        <v>256</v>
      </c>
      <c r="Q160" s="11" t="s">
        <v>262</v>
      </c>
      <c r="R160" s="11" t="s">
        <v>256</v>
      </c>
      <c r="S160" s="11" t="s">
        <v>262</v>
      </c>
      <c r="T160" s="11" t="s">
        <v>256</v>
      </c>
      <c r="U160" s="11" t="s">
        <v>262</v>
      </c>
      <c r="V160" s="1" t="s">
        <v>256</v>
      </c>
    </row>
    <row r="161" spans="2:3">
      <c r="B161" s="11" t="s">
        <v>260</v>
      </c>
      <c r="C161" s="11" t="s">
        <v>259</v>
      </c>
    </row>
    <row r="162" spans="2:3">
      <c r="B162" s="11" t="s">
        <v>127</v>
      </c>
      <c r="C162" s="11" t="s">
        <v>1</v>
      </c>
    </row>
    <row r="163" spans="2:3">
      <c r="B163" s="11" t="s">
        <v>2</v>
      </c>
      <c r="C163" s="11" t="s">
        <v>166</v>
      </c>
    </row>
    <row r="164" spans="2:3">
      <c r="B164" s="11" t="s">
        <v>3</v>
      </c>
      <c r="C164" s="11" t="s">
        <v>4</v>
      </c>
    </row>
    <row r="165" spans="2:3">
      <c r="B165" s="11" t="s">
        <v>5</v>
      </c>
      <c r="C165" s="11" t="s">
        <v>6</v>
      </c>
    </row>
    <row r="166" spans="2:3">
      <c r="B166" s="11" t="s">
        <v>7</v>
      </c>
      <c r="C166" s="11" t="s">
        <v>8</v>
      </c>
    </row>
    <row r="167" spans="2:3">
      <c r="B167" s="11" t="s">
        <v>9</v>
      </c>
      <c r="C167" s="11" t="s">
        <v>10</v>
      </c>
    </row>
    <row r="168" spans="2:3">
      <c r="B168" s="11" t="s">
        <v>11</v>
      </c>
      <c r="C168" s="11" t="s">
        <v>263</v>
      </c>
    </row>
    <row r="169" spans="2:3">
      <c r="B169" s="11" t="s">
        <v>12</v>
      </c>
      <c r="C169" s="11" t="s">
        <v>13</v>
      </c>
    </row>
    <row r="170" spans="2:3">
      <c r="B170" s="11" t="s">
        <v>14</v>
      </c>
      <c r="C170" s="11" t="s">
        <v>15</v>
      </c>
    </row>
    <row r="171" spans="2:3">
      <c r="B171" s="11" t="s">
        <v>16</v>
      </c>
      <c r="C171" s="11" t="s">
        <v>18</v>
      </c>
    </row>
    <row r="172" spans="2:3">
      <c r="B172" s="11" t="s">
        <v>19</v>
      </c>
      <c r="C172" s="11" t="s">
        <v>20</v>
      </c>
    </row>
    <row r="173" spans="2:3">
      <c r="B173" s="11" t="s">
        <v>21</v>
      </c>
      <c r="C173" s="11" t="s">
        <v>22</v>
      </c>
    </row>
    <row r="174" spans="2:3">
      <c r="B174" s="11" t="s">
        <v>23</v>
      </c>
      <c r="C174" s="11" t="s">
        <v>24</v>
      </c>
    </row>
    <row r="175" spans="2:3">
      <c r="B175" s="11" t="s">
        <v>25</v>
      </c>
      <c r="C175" s="11" t="s">
        <v>26</v>
      </c>
    </row>
    <row r="176" spans="2:3">
      <c r="B176" s="11" t="s">
        <v>27</v>
      </c>
      <c r="C176" s="11" t="s">
        <v>28</v>
      </c>
    </row>
    <row r="177" spans="2:3">
      <c r="B177" s="11" t="s">
        <v>29</v>
      </c>
      <c r="C177" s="11" t="s">
        <v>30</v>
      </c>
    </row>
    <row r="178" spans="2:3">
      <c r="B178" s="11" t="s">
        <v>31</v>
      </c>
      <c r="C178" s="11" t="s">
        <v>174</v>
      </c>
    </row>
    <row r="179" spans="2:3">
      <c r="B179" s="11" t="s">
        <v>32</v>
      </c>
      <c r="C179" s="11" t="s">
        <v>33</v>
      </c>
    </row>
    <row r="180" spans="2:3">
      <c r="B180" s="11" t="s">
        <v>34</v>
      </c>
      <c r="C180" s="11" t="s">
        <v>267</v>
      </c>
    </row>
    <row r="181" spans="2:3">
      <c r="B181" s="11" t="s">
        <v>36</v>
      </c>
      <c r="C181" s="11" t="s">
        <v>272</v>
      </c>
    </row>
    <row r="182" spans="2:3">
      <c r="B182" s="11" t="s">
        <v>37</v>
      </c>
      <c r="C182" s="11" t="s">
        <v>38</v>
      </c>
    </row>
    <row r="183" spans="2:3">
      <c r="B183" s="11" t="s">
        <v>39</v>
      </c>
      <c r="C183" s="11" t="s">
        <v>167</v>
      </c>
    </row>
    <row r="184" spans="2:3">
      <c r="B184" s="11" t="s">
        <v>40</v>
      </c>
      <c r="C184" s="11" t="s">
        <v>41</v>
      </c>
    </row>
    <row r="185" spans="2:3">
      <c r="B185" s="11" t="s">
        <v>42</v>
      </c>
      <c r="C185" s="11" t="s">
        <v>43</v>
      </c>
    </row>
    <row r="186" spans="2:3">
      <c r="B186" s="11" t="s">
        <v>161</v>
      </c>
      <c r="C186" s="11" t="s">
        <v>277</v>
      </c>
    </row>
    <row r="187" spans="2:3">
      <c r="B187" s="11" t="s">
        <v>44</v>
      </c>
      <c r="C187" s="11" t="s">
        <v>276</v>
      </c>
    </row>
    <row r="188" spans="2:3">
      <c r="B188" s="11" t="s">
        <v>45</v>
      </c>
      <c r="C188" s="11" t="s">
        <v>46</v>
      </c>
    </row>
    <row r="189" spans="2:3">
      <c r="B189" s="11" t="s">
        <v>47</v>
      </c>
      <c r="C189" s="11" t="s">
        <v>48</v>
      </c>
    </row>
    <row r="190" spans="2:3">
      <c r="B190" s="11" t="s">
        <v>49</v>
      </c>
      <c r="C190" s="11" t="s">
        <v>268</v>
      </c>
    </row>
    <row r="191" spans="2:3">
      <c r="B191" s="11" t="s">
        <v>50</v>
      </c>
      <c r="C191" s="11" t="s">
        <v>168</v>
      </c>
    </row>
    <row r="192" spans="2:3">
      <c r="B192" s="11" t="s">
        <v>51</v>
      </c>
      <c r="C192" s="11" t="s">
        <v>52</v>
      </c>
    </row>
    <row r="193" spans="2:3">
      <c r="B193" s="11" t="s">
        <v>53</v>
      </c>
      <c r="C193" s="11" t="s">
        <v>54</v>
      </c>
    </row>
    <row r="194" spans="2:3">
      <c r="B194" s="11" t="s">
        <v>55</v>
      </c>
      <c r="C194" s="11" t="s">
        <v>56</v>
      </c>
    </row>
    <row r="195" spans="2:3">
      <c r="B195" s="11" t="s">
        <v>57</v>
      </c>
      <c r="C195" s="11" t="s">
        <v>58</v>
      </c>
    </row>
    <row r="196" spans="2:3">
      <c r="B196" s="11" t="s">
        <v>59</v>
      </c>
      <c r="C196" s="11" t="s">
        <v>60</v>
      </c>
    </row>
    <row r="197" spans="2:3">
      <c r="B197" s="11" t="s">
        <v>53</v>
      </c>
      <c r="C197" s="11" t="s">
        <v>54</v>
      </c>
    </row>
    <row r="198" spans="2:3">
      <c r="B198" s="7" t="s">
        <v>470</v>
      </c>
      <c r="C198" s="11" t="s">
        <v>468</v>
      </c>
    </row>
    <row r="199" spans="2:3">
      <c r="B199" s="11" t="s">
        <v>122</v>
      </c>
      <c r="C199" s="11" t="s">
        <v>146</v>
      </c>
    </row>
    <row r="200" spans="2:3">
      <c r="B200" s="11" t="s">
        <v>61</v>
      </c>
      <c r="C200" s="11" t="s">
        <v>339</v>
      </c>
    </row>
    <row r="201" spans="2:3">
      <c r="B201" s="11" t="s">
        <v>261</v>
      </c>
      <c r="C201" s="11" t="s">
        <v>269</v>
      </c>
    </row>
    <row r="202" spans="2:3">
      <c r="B202" s="11" t="s">
        <v>62</v>
      </c>
      <c r="C202" s="11" t="s">
        <v>340</v>
      </c>
    </row>
    <row r="203" spans="2:3">
      <c r="B203" s="11" t="s">
        <v>63</v>
      </c>
      <c r="C203" s="11" t="s">
        <v>64</v>
      </c>
    </row>
    <row r="204" spans="2:3">
      <c r="B204" s="11" t="s">
        <v>65</v>
      </c>
      <c r="C204" s="11" t="s">
        <v>66</v>
      </c>
    </row>
    <row r="205" spans="2:3">
      <c r="B205" s="11" t="s">
        <v>67</v>
      </c>
      <c r="C205" s="11" t="s">
        <v>68</v>
      </c>
    </row>
    <row r="206" spans="2:3">
      <c r="B206" s="11" t="s">
        <v>69</v>
      </c>
      <c r="C206" s="11" t="s">
        <v>70</v>
      </c>
    </row>
    <row r="207" spans="2:3">
      <c r="B207" s="11" t="s">
        <v>71</v>
      </c>
      <c r="C207" s="11" t="s">
        <v>72</v>
      </c>
    </row>
    <row r="208" spans="2:3">
      <c r="B208" s="11" t="s">
        <v>73</v>
      </c>
      <c r="C208" s="11" t="s">
        <v>270</v>
      </c>
    </row>
    <row r="209" spans="2:3">
      <c r="B209" s="11" t="s">
        <v>74</v>
      </c>
      <c r="C209" s="11" t="s">
        <v>75</v>
      </c>
    </row>
    <row r="210" spans="2:3">
      <c r="B210" s="11" t="s">
        <v>76</v>
      </c>
      <c r="C210" s="11" t="s">
        <v>77</v>
      </c>
    </row>
    <row r="211" spans="2:3">
      <c r="B211" s="11" t="s">
        <v>78</v>
      </c>
      <c r="C211" s="11" t="s">
        <v>271</v>
      </c>
    </row>
    <row r="212" spans="2:3">
      <c r="B212" s="11" t="s">
        <v>79</v>
      </c>
      <c r="C212" s="11" t="s">
        <v>80</v>
      </c>
    </row>
    <row r="213" spans="2:3">
      <c r="B213" s="11" t="s">
        <v>81</v>
      </c>
      <c r="C213" s="11" t="s">
        <v>82</v>
      </c>
    </row>
    <row r="214" spans="2:3">
      <c r="B214" s="11" t="s">
        <v>83</v>
      </c>
      <c r="C214" s="11" t="s">
        <v>84</v>
      </c>
    </row>
    <row r="215" spans="2:3">
      <c r="B215" s="11" t="s">
        <v>85</v>
      </c>
      <c r="C215" s="11" t="s">
        <v>341</v>
      </c>
    </row>
    <row r="216" spans="2:3">
      <c r="B216" s="11" t="s">
        <v>86</v>
      </c>
      <c r="C216" s="11" t="s">
        <v>87</v>
      </c>
    </row>
    <row r="217" spans="2:3">
      <c r="B217" s="11" t="s">
        <v>88</v>
      </c>
      <c r="C217" s="11" t="s">
        <v>89</v>
      </c>
    </row>
    <row r="218" spans="2:3">
      <c r="B218" s="11" t="s">
        <v>90</v>
      </c>
      <c r="C218" s="11" t="s">
        <v>91</v>
      </c>
    </row>
    <row r="219" spans="2:3">
      <c r="B219" s="11" t="s">
        <v>92</v>
      </c>
      <c r="C219" s="11" t="s">
        <v>93</v>
      </c>
    </row>
    <row r="220" spans="2:3">
      <c r="B220" s="11" t="s">
        <v>94</v>
      </c>
      <c r="C220" s="11" t="s">
        <v>95</v>
      </c>
    </row>
    <row r="221" spans="2:3">
      <c r="B221" s="11" t="s">
        <v>96</v>
      </c>
      <c r="C221" s="11" t="s">
        <v>97</v>
      </c>
    </row>
    <row r="222" spans="2:3">
      <c r="B222" s="11" t="s">
        <v>98</v>
      </c>
      <c r="C222" s="11" t="s">
        <v>100</v>
      </c>
    </row>
    <row r="223" spans="2:3">
      <c r="B223" s="11" t="s">
        <v>101</v>
      </c>
      <c r="C223" s="11" t="s">
        <v>102</v>
      </c>
    </row>
    <row r="224" spans="2:3">
      <c r="B224" s="11" t="s">
        <v>103</v>
      </c>
      <c r="C224" s="11" t="s">
        <v>104</v>
      </c>
    </row>
    <row r="225" spans="2:3">
      <c r="B225" s="11" t="s">
        <v>105</v>
      </c>
      <c r="C225" s="11" t="s">
        <v>106</v>
      </c>
    </row>
    <row r="226" spans="2:3">
      <c r="B226" s="11" t="s">
        <v>107</v>
      </c>
      <c r="C226" s="12" t="s">
        <v>172</v>
      </c>
    </row>
    <row r="227" spans="2:3">
      <c r="B227" s="11" t="s">
        <v>108</v>
      </c>
      <c r="C227" s="12" t="s">
        <v>173</v>
      </c>
    </row>
    <row r="228" spans="2:3">
      <c r="B228" s="11" t="s">
        <v>162</v>
      </c>
      <c r="C228" s="11" t="s">
        <v>342</v>
      </c>
    </row>
    <row r="229" spans="2:3">
      <c r="B229" s="11" t="s">
        <v>109</v>
      </c>
      <c r="C229" s="12" t="s">
        <v>175</v>
      </c>
    </row>
    <row r="230" spans="2:3">
      <c r="B230" s="11" t="s">
        <v>110</v>
      </c>
      <c r="C230" s="11" t="s">
        <v>111</v>
      </c>
    </row>
    <row r="231" spans="2:3">
      <c r="B231" s="11" t="s">
        <v>112</v>
      </c>
      <c r="C231" s="11" t="s">
        <v>113</v>
      </c>
    </row>
    <row r="232" spans="2:3">
      <c r="B232" s="11" t="s">
        <v>114</v>
      </c>
      <c r="C232" s="11" t="s">
        <v>116</v>
      </c>
    </row>
    <row r="233" spans="2:3">
      <c r="B233" s="11" t="s">
        <v>117</v>
      </c>
      <c r="C233" s="11" t="s">
        <v>118</v>
      </c>
    </row>
    <row r="234" spans="2:3">
      <c r="B234" s="11" t="s">
        <v>151</v>
      </c>
      <c r="C234" s="12" t="s">
        <v>176</v>
      </c>
    </row>
    <row r="235" spans="2:3">
      <c r="B235" s="11" t="s">
        <v>264</v>
      </c>
      <c r="C235" s="11" t="s">
        <v>286</v>
      </c>
    </row>
    <row r="236" spans="2:3">
      <c r="B236" s="11" t="s">
        <v>132</v>
      </c>
      <c r="C236" s="12" t="s">
        <v>177</v>
      </c>
    </row>
    <row r="237" spans="2:3">
      <c r="B237" s="11" t="s">
        <v>0</v>
      </c>
      <c r="C237" s="12" t="s">
        <v>133</v>
      </c>
    </row>
    <row r="238" spans="2:3">
      <c r="B238" s="11" t="s">
        <v>157</v>
      </c>
      <c r="C238" s="12" t="s">
        <v>135</v>
      </c>
    </row>
    <row r="239" spans="2:3">
      <c r="B239" s="11" t="s">
        <v>158</v>
      </c>
      <c r="C239" s="12" t="s">
        <v>137</v>
      </c>
    </row>
    <row r="240" spans="2:3">
      <c r="B240" s="11" t="s">
        <v>159</v>
      </c>
      <c r="C240" s="12" t="s">
        <v>138</v>
      </c>
    </row>
    <row r="241" spans="2:21">
      <c r="B241" s="11" t="s">
        <v>112</v>
      </c>
      <c r="C241" s="12" t="s">
        <v>139</v>
      </c>
    </row>
    <row r="242" spans="2:21">
      <c r="B242" s="11" t="s">
        <v>140</v>
      </c>
      <c r="C242" s="12" t="s">
        <v>141</v>
      </c>
    </row>
    <row r="243" spans="2:21">
      <c r="B243" s="11" t="s">
        <v>120</v>
      </c>
      <c r="C243" s="12" t="s">
        <v>142</v>
      </c>
    </row>
    <row r="244" spans="2:21">
      <c r="B244" s="11" t="s">
        <v>143</v>
      </c>
      <c r="C244" s="12" t="s">
        <v>144</v>
      </c>
    </row>
    <row r="245" spans="2:21">
      <c r="B245" s="11" t="s">
        <v>121</v>
      </c>
      <c r="C245" s="12" t="s">
        <v>145</v>
      </c>
    </row>
    <row r="246" spans="2:21">
      <c r="B246" s="11" t="s">
        <v>123</v>
      </c>
      <c r="C246" s="12" t="s">
        <v>147</v>
      </c>
    </row>
    <row r="247" spans="2:21">
      <c r="B247" s="11" t="s">
        <v>122</v>
      </c>
      <c r="C247" s="5" t="s">
        <v>146</v>
      </c>
    </row>
    <row r="248" spans="2:21">
      <c r="B248" s="11" t="s">
        <v>163</v>
      </c>
      <c r="C248" s="5" t="s">
        <v>274</v>
      </c>
    </row>
    <row r="249" spans="2:21">
      <c r="B249" s="11" t="s">
        <v>164</v>
      </c>
      <c r="C249" s="5" t="s">
        <v>275</v>
      </c>
    </row>
    <row r="250" spans="2:21">
      <c r="B250" s="11" t="s">
        <v>265</v>
      </c>
      <c r="C250" s="11" t="s">
        <v>273</v>
      </c>
    </row>
    <row r="253" spans="2:21">
      <c r="B253" s="372" t="s">
        <v>278</v>
      </c>
      <c r="C253" s="372"/>
      <c r="D253" s="372"/>
      <c r="E253" s="372"/>
      <c r="F253" s="372"/>
      <c r="G253" s="372"/>
      <c r="H253" s="372"/>
      <c r="I253" s="372"/>
      <c r="J253" s="372"/>
      <c r="K253" s="372"/>
      <c r="L253" s="372"/>
      <c r="M253" s="372"/>
      <c r="N253" s="372"/>
      <c r="O253" s="372"/>
      <c r="P253" s="372"/>
      <c r="Q253" s="372"/>
      <c r="R253" s="372"/>
      <c r="S253" s="372"/>
      <c r="T253" s="372"/>
    </row>
    <row r="256" spans="2:21">
      <c r="C256" s="11">
        <v>2006</v>
      </c>
      <c r="E256" s="11">
        <v>2007</v>
      </c>
      <c r="G256" s="11">
        <v>2008</v>
      </c>
      <c r="I256" s="11">
        <v>2009</v>
      </c>
      <c r="K256" s="11">
        <v>2010</v>
      </c>
      <c r="M256" s="11">
        <v>2011</v>
      </c>
      <c r="O256" s="11">
        <v>2012</v>
      </c>
      <c r="Q256" s="11">
        <v>2013</v>
      </c>
      <c r="S256" s="11">
        <v>2014</v>
      </c>
      <c r="U256" s="11">
        <v>2015</v>
      </c>
    </row>
    <row r="257" spans="2:22">
      <c r="B257" s="11" t="s">
        <v>234</v>
      </c>
      <c r="C257" s="11" t="s">
        <v>262</v>
      </c>
      <c r="D257" s="11" t="s">
        <v>152</v>
      </c>
      <c r="E257" s="11" t="s">
        <v>262</v>
      </c>
      <c r="F257" s="11" t="s">
        <v>152</v>
      </c>
      <c r="G257" s="11" t="s">
        <v>262</v>
      </c>
      <c r="H257" s="11" t="s">
        <v>152</v>
      </c>
      <c r="I257" s="11" t="s">
        <v>262</v>
      </c>
      <c r="J257" s="11" t="s">
        <v>152</v>
      </c>
      <c r="K257" s="11" t="s">
        <v>262</v>
      </c>
      <c r="L257" s="11" t="s">
        <v>152</v>
      </c>
      <c r="M257" s="11" t="s">
        <v>262</v>
      </c>
      <c r="N257" s="11" t="s">
        <v>152</v>
      </c>
      <c r="O257" s="11" t="s">
        <v>262</v>
      </c>
      <c r="P257" s="11" t="s">
        <v>152</v>
      </c>
      <c r="Q257" s="11" t="s">
        <v>262</v>
      </c>
      <c r="R257" s="11" t="s">
        <v>152</v>
      </c>
      <c r="S257" s="11" t="s">
        <v>262</v>
      </c>
      <c r="T257" s="11" t="s">
        <v>152</v>
      </c>
      <c r="U257" s="11" t="s">
        <v>262</v>
      </c>
      <c r="V257" s="1" t="s">
        <v>152</v>
      </c>
    </row>
    <row r="258" spans="2:22">
      <c r="B258" s="11" t="s">
        <v>191</v>
      </c>
      <c r="C258" s="11" t="s">
        <v>262</v>
      </c>
      <c r="D258" s="11" t="s">
        <v>256</v>
      </c>
      <c r="E258" s="11" t="s">
        <v>262</v>
      </c>
      <c r="F258" s="11" t="s">
        <v>256</v>
      </c>
      <c r="G258" s="11" t="s">
        <v>262</v>
      </c>
      <c r="H258" s="11" t="s">
        <v>256</v>
      </c>
      <c r="I258" s="11" t="s">
        <v>262</v>
      </c>
      <c r="J258" s="11" t="s">
        <v>256</v>
      </c>
      <c r="K258" s="11" t="s">
        <v>262</v>
      </c>
      <c r="L258" s="11" t="s">
        <v>256</v>
      </c>
      <c r="M258" s="11" t="s">
        <v>262</v>
      </c>
      <c r="N258" s="11" t="s">
        <v>256</v>
      </c>
      <c r="O258" s="11" t="s">
        <v>262</v>
      </c>
      <c r="P258" s="11" t="s">
        <v>256</v>
      </c>
      <c r="Q258" s="11" t="s">
        <v>262</v>
      </c>
      <c r="R258" s="11" t="s">
        <v>256</v>
      </c>
      <c r="S258" s="11" t="s">
        <v>262</v>
      </c>
      <c r="T258" s="11" t="s">
        <v>256</v>
      </c>
      <c r="U258" s="11" t="s">
        <v>262</v>
      </c>
      <c r="V258" s="1" t="s">
        <v>256</v>
      </c>
    </row>
    <row r="259" spans="2:22">
      <c r="B259" s="11" t="s">
        <v>127</v>
      </c>
      <c r="C259" s="11" t="s">
        <v>1</v>
      </c>
    </row>
    <row r="260" spans="2:22">
      <c r="B260" s="11" t="s">
        <v>2</v>
      </c>
      <c r="C260" s="11" t="s">
        <v>166</v>
      </c>
    </row>
    <row r="261" spans="2:22">
      <c r="B261" s="11" t="s">
        <v>3</v>
      </c>
      <c r="C261" s="11" t="s">
        <v>4</v>
      </c>
    </row>
    <row r="262" spans="2:22">
      <c r="B262" s="11" t="s">
        <v>5</v>
      </c>
      <c r="C262" s="11" t="s">
        <v>6</v>
      </c>
    </row>
    <row r="263" spans="2:22">
      <c r="B263" s="11" t="s">
        <v>7</v>
      </c>
      <c r="C263" s="11" t="s">
        <v>8</v>
      </c>
    </row>
    <row r="264" spans="2:22">
      <c r="B264" s="11" t="s">
        <v>9</v>
      </c>
      <c r="C264" s="11" t="s">
        <v>10</v>
      </c>
    </row>
    <row r="265" spans="2:22">
      <c r="B265" s="11" t="s">
        <v>12</v>
      </c>
      <c r="C265" s="11" t="s">
        <v>13</v>
      </c>
    </row>
    <row r="266" spans="2:22">
      <c r="B266" s="11" t="s">
        <v>14</v>
      </c>
      <c r="C266" s="11" t="s">
        <v>15</v>
      </c>
    </row>
    <row r="267" spans="2:22">
      <c r="B267" s="11" t="s">
        <v>11</v>
      </c>
      <c r="C267" s="11" t="s">
        <v>281</v>
      </c>
    </row>
    <row r="268" spans="2:22">
      <c r="B268" s="11" t="s">
        <v>16</v>
      </c>
      <c r="C268" s="11" t="s">
        <v>18</v>
      </c>
    </row>
    <row r="269" spans="2:22">
      <c r="B269" s="11" t="s">
        <v>19</v>
      </c>
      <c r="C269" s="11" t="s">
        <v>20</v>
      </c>
    </row>
    <row r="270" spans="2:22">
      <c r="B270" s="11" t="s">
        <v>21</v>
      </c>
      <c r="C270" s="11" t="s">
        <v>22</v>
      </c>
    </row>
    <row r="271" spans="2:22">
      <c r="B271" s="11" t="s">
        <v>23</v>
      </c>
      <c r="C271" s="11" t="s">
        <v>24</v>
      </c>
    </row>
    <row r="272" spans="2:22">
      <c r="B272" s="11" t="s">
        <v>25</v>
      </c>
      <c r="C272" s="11" t="s">
        <v>26</v>
      </c>
    </row>
    <row r="273" spans="2:3">
      <c r="B273" s="11" t="s">
        <v>27</v>
      </c>
      <c r="C273" s="11" t="s">
        <v>28</v>
      </c>
    </row>
    <row r="274" spans="2:3">
      <c r="B274" s="11" t="s">
        <v>29</v>
      </c>
      <c r="C274" s="11" t="s">
        <v>30</v>
      </c>
    </row>
    <row r="275" spans="2:3">
      <c r="B275" s="11" t="s">
        <v>39</v>
      </c>
      <c r="C275" s="11" t="s">
        <v>167</v>
      </c>
    </row>
    <row r="276" spans="2:3">
      <c r="B276" s="11" t="s">
        <v>53</v>
      </c>
      <c r="C276" s="11" t="s">
        <v>54</v>
      </c>
    </row>
    <row r="277" spans="2:3">
      <c r="B277" s="7" t="s">
        <v>408</v>
      </c>
      <c r="C277" s="11" t="s">
        <v>469</v>
      </c>
    </row>
    <row r="278" spans="2:3">
      <c r="B278" s="11" t="s">
        <v>234</v>
      </c>
      <c r="C278" s="11" t="s">
        <v>282</v>
      </c>
    </row>
    <row r="279" spans="2:3">
      <c r="B279" s="11" t="s">
        <v>279</v>
      </c>
      <c r="C279" s="11" t="s">
        <v>283</v>
      </c>
    </row>
    <row r="280" spans="2:3">
      <c r="B280" s="11" t="s">
        <v>62</v>
      </c>
      <c r="C280" s="11" t="s">
        <v>340</v>
      </c>
    </row>
    <row r="281" spans="2:3">
      <c r="B281" s="11" t="s">
        <v>63</v>
      </c>
      <c r="C281" s="11" t="s">
        <v>64</v>
      </c>
    </row>
    <row r="282" spans="2:3">
      <c r="B282" s="11" t="s">
        <v>65</v>
      </c>
      <c r="C282" s="11" t="s">
        <v>66</v>
      </c>
    </row>
    <row r="283" spans="2:3">
      <c r="B283" s="11" t="s">
        <v>67</v>
      </c>
      <c r="C283" s="11" t="s">
        <v>68</v>
      </c>
    </row>
    <row r="284" spans="2:3">
      <c r="B284" s="11" t="s">
        <v>69</v>
      </c>
      <c r="C284" s="11" t="s">
        <v>70</v>
      </c>
    </row>
    <row r="285" spans="2:3">
      <c r="B285" s="11" t="s">
        <v>71</v>
      </c>
      <c r="C285" s="11" t="s">
        <v>72</v>
      </c>
    </row>
    <row r="286" spans="2:3">
      <c r="B286" s="11" t="s">
        <v>153</v>
      </c>
      <c r="C286" s="11" t="s">
        <v>270</v>
      </c>
    </row>
    <row r="287" spans="2:3">
      <c r="B287" s="11" t="s">
        <v>74</v>
      </c>
      <c r="C287" s="11" t="s">
        <v>75</v>
      </c>
    </row>
    <row r="288" spans="2:3">
      <c r="B288" s="11" t="s">
        <v>76</v>
      </c>
      <c r="C288" s="11" t="s">
        <v>77</v>
      </c>
    </row>
    <row r="289" spans="2:3">
      <c r="B289" s="11" t="s">
        <v>78</v>
      </c>
      <c r="C289" s="11" t="s">
        <v>271</v>
      </c>
    </row>
    <row r="290" spans="2:3">
      <c r="B290" s="11" t="s">
        <v>79</v>
      </c>
      <c r="C290" s="11" t="s">
        <v>80</v>
      </c>
    </row>
    <row r="291" spans="2:3">
      <c r="B291" s="11" t="s">
        <v>81</v>
      </c>
      <c r="C291" s="11" t="s">
        <v>82</v>
      </c>
    </row>
    <row r="292" spans="2:3">
      <c r="B292" s="11" t="s">
        <v>83</v>
      </c>
      <c r="C292" s="11" t="s">
        <v>84</v>
      </c>
    </row>
    <row r="293" spans="2:3">
      <c r="B293" s="11" t="s">
        <v>85</v>
      </c>
      <c r="C293" s="11" t="s">
        <v>341</v>
      </c>
    </row>
    <row r="294" spans="2:3">
      <c r="B294" s="11" t="s">
        <v>154</v>
      </c>
      <c r="C294" s="11" t="s">
        <v>343</v>
      </c>
    </row>
    <row r="295" spans="2:3">
      <c r="B295" s="11" t="s">
        <v>86</v>
      </c>
      <c r="C295" s="11" t="s">
        <v>87</v>
      </c>
    </row>
    <row r="296" spans="2:3">
      <c r="B296" s="11" t="s">
        <v>88</v>
      </c>
      <c r="C296" s="11" t="s">
        <v>89</v>
      </c>
    </row>
    <row r="297" spans="2:3">
      <c r="B297" s="11" t="s">
        <v>90</v>
      </c>
      <c r="C297" s="11" t="s">
        <v>91</v>
      </c>
    </row>
    <row r="298" spans="2:3">
      <c r="B298" s="11" t="s">
        <v>92</v>
      </c>
      <c r="C298" s="11" t="s">
        <v>93</v>
      </c>
    </row>
    <row r="299" spans="2:3">
      <c r="B299" s="11" t="s">
        <v>94</v>
      </c>
      <c r="C299" s="11" t="s">
        <v>95</v>
      </c>
    </row>
    <row r="300" spans="2:3">
      <c r="B300" s="11" t="s">
        <v>96</v>
      </c>
      <c r="C300" s="11" t="s">
        <v>97</v>
      </c>
    </row>
    <row r="301" spans="2:3">
      <c r="B301" s="11" t="s">
        <v>155</v>
      </c>
      <c r="C301" s="11" t="s">
        <v>100</v>
      </c>
    </row>
    <row r="302" spans="2:3">
      <c r="B302" s="11" t="s">
        <v>101</v>
      </c>
      <c r="C302" s="11" t="s">
        <v>102</v>
      </c>
    </row>
    <row r="303" spans="2:3">
      <c r="B303" s="11" t="s">
        <v>103</v>
      </c>
      <c r="C303" s="11" t="s">
        <v>104</v>
      </c>
    </row>
    <row r="304" spans="2:3">
      <c r="B304" s="11" t="s">
        <v>108</v>
      </c>
      <c r="C304" s="12" t="s">
        <v>173</v>
      </c>
    </row>
    <row r="305" spans="2:3">
      <c r="B305" s="11" t="s">
        <v>105</v>
      </c>
      <c r="C305" s="11" t="s">
        <v>106</v>
      </c>
    </row>
    <row r="306" spans="2:3">
      <c r="B306" s="11" t="s">
        <v>280</v>
      </c>
      <c r="C306" s="11" t="s">
        <v>342</v>
      </c>
    </row>
    <row r="307" spans="2:3">
      <c r="B307" s="11" t="s">
        <v>109</v>
      </c>
      <c r="C307" s="11" t="s">
        <v>284</v>
      </c>
    </row>
    <row r="308" spans="2:3">
      <c r="B308" s="11" t="s">
        <v>156</v>
      </c>
      <c r="C308" s="11" t="s">
        <v>285</v>
      </c>
    </row>
    <row r="309" spans="2:3">
      <c r="B309" s="11" t="s">
        <v>110</v>
      </c>
      <c r="C309" s="11" t="s">
        <v>111</v>
      </c>
    </row>
    <row r="310" spans="2:3">
      <c r="B310" s="11" t="s">
        <v>112</v>
      </c>
      <c r="C310" s="11" t="s">
        <v>113</v>
      </c>
    </row>
    <row r="311" spans="2:3">
      <c r="B311" s="11" t="s">
        <v>115</v>
      </c>
      <c r="C311" s="11" t="s">
        <v>116</v>
      </c>
    </row>
    <row r="312" spans="2:3">
      <c r="B312" s="11" t="s">
        <v>117</v>
      </c>
      <c r="C312" s="11" t="s">
        <v>118</v>
      </c>
    </row>
    <row r="313" spans="2:3">
      <c r="B313" s="11" t="s">
        <v>151</v>
      </c>
      <c r="C313" s="12" t="s">
        <v>176</v>
      </c>
    </row>
    <row r="314" spans="2:3">
      <c r="B314" s="11" t="s">
        <v>264</v>
      </c>
      <c r="C314" s="11" t="s">
        <v>286</v>
      </c>
    </row>
    <row r="315" spans="2:3">
      <c r="B315" s="11" t="s">
        <v>132</v>
      </c>
      <c r="C315" s="12" t="s">
        <v>177</v>
      </c>
    </row>
    <row r="316" spans="2:3">
      <c r="B316" s="11" t="s">
        <v>0</v>
      </c>
      <c r="C316" s="12" t="s">
        <v>133</v>
      </c>
    </row>
    <row r="317" spans="2:3">
      <c r="B317" s="11" t="s">
        <v>157</v>
      </c>
      <c r="C317" s="12" t="s">
        <v>135</v>
      </c>
    </row>
    <row r="318" spans="2:3">
      <c r="B318" s="11" t="s">
        <v>158</v>
      </c>
      <c r="C318" s="12" t="s">
        <v>137</v>
      </c>
    </row>
    <row r="319" spans="2:3">
      <c r="B319" s="11" t="s">
        <v>115</v>
      </c>
      <c r="C319" s="12" t="s">
        <v>138</v>
      </c>
    </row>
    <row r="320" spans="2:3">
      <c r="B320" s="11" t="s">
        <v>112</v>
      </c>
      <c r="C320" s="12" t="s">
        <v>139</v>
      </c>
    </row>
    <row r="321" spans="2:20">
      <c r="B321" s="11" t="s">
        <v>140</v>
      </c>
      <c r="C321" s="12" t="s">
        <v>141</v>
      </c>
    </row>
    <row r="322" spans="2:20">
      <c r="B322" s="11" t="s">
        <v>120</v>
      </c>
      <c r="C322" s="12" t="s">
        <v>287</v>
      </c>
    </row>
    <row r="323" spans="2:20">
      <c r="B323" s="11" t="s">
        <v>143</v>
      </c>
      <c r="C323" s="12" t="s">
        <v>144</v>
      </c>
    </row>
    <row r="324" spans="2:20">
      <c r="B324" s="11" t="s">
        <v>121</v>
      </c>
      <c r="C324" s="12" t="s">
        <v>145</v>
      </c>
    </row>
    <row r="325" spans="2:20">
      <c r="B325" s="11" t="s">
        <v>122</v>
      </c>
      <c r="C325" s="5" t="s">
        <v>146</v>
      </c>
    </row>
    <row r="326" spans="2:20">
      <c r="B326" s="11" t="s">
        <v>123</v>
      </c>
      <c r="C326" s="12" t="s">
        <v>288</v>
      </c>
    </row>
    <row r="327" spans="2:20">
      <c r="B327" s="11" t="s">
        <v>160</v>
      </c>
      <c r="C327" s="12" t="s">
        <v>148</v>
      </c>
    </row>
    <row r="328" spans="2:20">
      <c r="B328" s="11" t="s">
        <v>265</v>
      </c>
      <c r="C328" s="11" t="s">
        <v>273</v>
      </c>
    </row>
    <row r="331" spans="2:20">
      <c r="B331" s="372" t="s">
        <v>314</v>
      </c>
      <c r="C331" s="372"/>
      <c r="D331" s="372"/>
      <c r="E331" s="372"/>
      <c r="F331" s="372"/>
      <c r="G331" s="372"/>
      <c r="H331" s="372"/>
      <c r="I331" s="372"/>
      <c r="J331" s="372"/>
      <c r="K331" s="372"/>
      <c r="L331" s="372"/>
      <c r="M331" s="372"/>
      <c r="N331" s="372"/>
      <c r="O331" s="372"/>
      <c r="P331" s="372"/>
      <c r="Q331" s="372"/>
      <c r="R331" s="372"/>
      <c r="S331" s="372"/>
      <c r="T331" s="372"/>
    </row>
    <row r="334" spans="2:20">
      <c r="C334" s="11">
        <v>2013</v>
      </c>
    </row>
    <row r="335" spans="2:20">
      <c r="B335" s="11" t="s">
        <v>384</v>
      </c>
      <c r="C335" s="11" t="s">
        <v>292</v>
      </c>
      <c r="D335" s="11" t="s">
        <v>293</v>
      </c>
      <c r="E335" s="11" t="s">
        <v>294</v>
      </c>
      <c r="F335" s="11" t="s">
        <v>295</v>
      </c>
      <c r="G335" s="11" t="s">
        <v>296</v>
      </c>
      <c r="H335" s="11" t="s">
        <v>297</v>
      </c>
      <c r="I335" s="11" t="s">
        <v>298</v>
      </c>
      <c r="J335" s="11" t="s">
        <v>299</v>
      </c>
      <c r="K335" s="11" t="s">
        <v>300</v>
      </c>
      <c r="L335" s="11" t="s">
        <v>301</v>
      </c>
      <c r="M335" s="11" t="s">
        <v>302</v>
      </c>
      <c r="N335" s="11" t="s">
        <v>303</v>
      </c>
      <c r="O335" s="11" t="s">
        <v>383</v>
      </c>
    </row>
    <row r="336" spans="2:20">
      <c r="B336" s="11" t="s">
        <v>385</v>
      </c>
      <c r="C336" s="11" t="s">
        <v>315</v>
      </c>
      <c r="D336" s="11" t="s">
        <v>316</v>
      </c>
      <c r="E336" s="11" t="s">
        <v>317</v>
      </c>
      <c r="F336" s="11" t="s">
        <v>295</v>
      </c>
      <c r="G336" s="11" t="s">
        <v>318</v>
      </c>
      <c r="H336" s="11" t="s">
        <v>319</v>
      </c>
      <c r="I336" s="11" t="s">
        <v>320</v>
      </c>
      <c r="J336" s="11" t="s">
        <v>321</v>
      </c>
      <c r="K336" s="11" t="s">
        <v>322</v>
      </c>
      <c r="L336" s="11" t="s">
        <v>323</v>
      </c>
      <c r="M336" s="11" t="s">
        <v>324</v>
      </c>
      <c r="N336" s="11" t="s">
        <v>325</v>
      </c>
      <c r="O336" s="11" t="s">
        <v>382</v>
      </c>
    </row>
    <row r="337" spans="2:3">
      <c r="B337" s="11" t="s">
        <v>127</v>
      </c>
      <c r="C337" s="11" t="s">
        <v>1</v>
      </c>
    </row>
    <row r="338" spans="2:3">
      <c r="B338" s="11" t="s">
        <v>2</v>
      </c>
      <c r="C338" s="11" t="s">
        <v>166</v>
      </c>
    </row>
    <row r="339" spans="2:3">
      <c r="B339" s="11" t="s">
        <v>3</v>
      </c>
      <c r="C339" s="11" t="s">
        <v>4</v>
      </c>
    </row>
    <row r="340" spans="2:3">
      <c r="B340" s="11" t="s">
        <v>5</v>
      </c>
      <c r="C340" s="11" t="s">
        <v>6</v>
      </c>
    </row>
    <row r="341" spans="2:3">
      <c r="B341" s="11" t="s">
        <v>304</v>
      </c>
      <c r="C341" s="11" t="s">
        <v>8</v>
      </c>
    </row>
    <row r="342" spans="2:3">
      <c r="B342" s="11" t="s">
        <v>9</v>
      </c>
      <c r="C342" s="11" t="s">
        <v>10</v>
      </c>
    </row>
    <row r="343" spans="2:3">
      <c r="B343" s="11" t="s">
        <v>305</v>
      </c>
      <c r="C343" s="11" t="s">
        <v>13</v>
      </c>
    </row>
    <row r="344" spans="2:3">
      <c r="B344" s="11" t="s">
        <v>306</v>
      </c>
      <c r="C344" s="11" t="s">
        <v>15</v>
      </c>
    </row>
    <row r="345" spans="2:3">
      <c r="B345" s="11" t="s">
        <v>464</v>
      </c>
      <c r="C345" s="11" t="s">
        <v>465</v>
      </c>
    </row>
    <row r="346" spans="2:3">
      <c r="B346" s="11" t="s">
        <v>19</v>
      </c>
      <c r="C346" s="11" t="s">
        <v>20</v>
      </c>
    </row>
    <row r="347" spans="2:3">
      <c r="B347" s="11" t="s">
        <v>307</v>
      </c>
      <c r="C347" s="11" t="s">
        <v>22</v>
      </c>
    </row>
    <row r="348" spans="2:3">
      <c r="B348" s="11" t="s">
        <v>308</v>
      </c>
      <c r="C348" s="11" t="s">
        <v>24</v>
      </c>
    </row>
    <row r="349" spans="2:3">
      <c r="B349" s="11" t="s">
        <v>309</v>
      </c>
      <c r="C349" s="11" t="s">
        <v>26</v>
      </c>
    </row>
    <row r="350" spans="2:3">
      <c r="B350" s="11" t="s">
        <v>27</v>
      </c>
      <c r="C350" s="11" t="s">
        <v>28</v>
      </c>
    </row>
    <row r="351" spans="2:3">
      <c r="B351" s="11" t="s">
        <v>29</v>
      </c>
      <c r="C351" s="11" t="s">
        <v>30</v>
      </c>
    </row>
    <row r="352" spans="2:3">
      <c r="B352" s="11" t="s">
        <v>31</v>
      </c>
      <c r="C352" s="11" t="s">
        <v>174</v>
      </c>
    </row>
    <row r="353" spans="2:3">
      <c r="B353" s="11" t="s">
        <v>32</v>
      </c>
      <c r="C353" s="11" t="s">
        <v>33</v>
      </c>
    </row>
    <row r="354" spans="2:3">
      <c r="B354" s="11" t="s">
        <v>34</v>
      </c>
      <c r="C354" s="11" t="s">
        <v>35</v>
      </c>
    </row>
    <row r="355" spans="2:3">
      <c r="B355" s="11" t="s">
        <v>37</v>
      </c>
      <c r="C355" s="11" t="s">
        <v>38</v>
      </c>
    </row>
    <row r="356" spans="2:3">
      <c r="B356" s="11" t="s">
        <v>39</v>
      </c>
      <c r="C356" s="11" t="s">
        <v>167</v>
      </c>
    </row>
    <row r="357" spans="2:3">
      <c r="B357" s="11" t="s">
        <v>327</v>
      </c>
      <c r="C357" s="11" t="s">
        <v>41</v>
      </c>
    </row>
    <row r="358" spans="2:3">
      <c r="B358" s="11" t="s">
        <v>310</v>
      </c>
      <c r="C358" s="11" t="s">
        <v>43</v>
      </c>
    </row>
    <row r="359" spans="2:3">
      <c r="B359" s="11" t="s">
        <v>45</v>
      </c>
      <c r="C359" s="11" t="s">
        <v>46</v>
      </c>
    </row>
    <row r="360" spans="2:3">
      <c r="B360" s="11" t="s">
        <v>311</v>
      </c>
      <c r="C360" s="11" t="s">
        <v>48</v>
      </c>
    </row>
    <row r="361" spans="2:3">
      <c r="B361" s="11" t="s">
        <v>312</v>
      </c>
      <c r="C361" s="11" t="s">
        <v>168</v>
      </c>
    </row>
    <row r="362" spans="2:3">
      <c r="B362" s="11" t="s">
        <v>51</v>
      </c>
      <c r="C362" s="11" t="s">
        <v>52</v>
      </c>
    </row>
    <row r="363" spans="2:3">
      <c r="B363" s="11" t="s">
        <v>53</v>
      </c>
      <c r="C363" s="11" t="s">
        <v>54</v>
      </c>
    </row>
    <row r="364" spans="2:3">
      <c r="B364" s="11" t="s">
        <v>55</v>
      </c>
      <c r="C364" s="11" t="s">
        <v>56</v>
      </c>
    </row>
    <row r="365" spans="2:3">
      <c r="B365" s="11" t="s">
        <v>57</v>
      </c>
      <c r="C365" s="11" t="s">
        <v>58</v>
      </c>
    </row>
    <row r="366" spans="2:3">
      <c r="B366" s="11" t="s">
        <v>313</v>
      </c>
      <c r="C366" s="11" t="s">
        <v>60</v>
      </c>
    </row>
    <row r="367" spans="2:3">
      <c r="B367" s="11" t="s">
        <v>53</v>
      </c>
      <c r="C367" s="11" t="s">
        <v>54</v>
      </c>
    </row>
    <row r="368" spans="2:3">
      <c r="B368" s="7" t="s">
        <v>408</v>
      </c>
      <c r="C368" s="11" t="s">
        <v>468</v>
      </c>
    </row>
    <row r="369" spans="2:3">
      <c r="B369" s="11" t="s">
        <v>61</v>
      </c>
      <c r="C369" s="11" t="s">
        <v>339</v>
      </c>
    </row>
    <row r="370" spans="2:3">
      <c r="B370" s="11" t="s">
        <v>125</v>
      </c>
      <c r="C370" s="11" t="s">
        <v>169</v>
      </c>
    </row>
    <row r="371" spans="2:3">
      <c r="B371" s="11" t="s">
        <v>62</v>
      </c>
      <c r="C371" s="11" t="s">
        <v>340</v>
      </c>
    </row>
    <row r="372" spans="2:3">
      <c r="B372" s="11" t="s">
        <v>63</v>
      </c>
      <c r="C372" s="11" t="s">
        <v>64</v>
      </c>
    </row>
    <row r="373" spans="2:3">
      <c r="B373" s="11" t="s">
        <v>65</v>
      </c>
      <c r="C373" s="11" t="s">
        <v>66</v>
      </c>
    </row>
    <row r="374" spans="2:3">
      <c r="B374" s="11" t="s">
        <v>67</v>
      </c>
      <c r="C374" s="11" t="s">
        <v>68</v>
      </c>
    </row>
    <row r="375" spans="2:3">
      <c r="B375" s="11" t="s">
        <v>69</v>
      </c>
      <c r="C375" s="11" t="s">
        <v>70</v>
      </c>
    </row>
    <row r="376" spans="2:3">
      <c r="B376" s="11" t="s">
        <v>71</v>
      </c>
      <c r="C376" s="11" t="s">
        <v>72</v>
      </c>
    </row>
    <row r="377" spans="2:3">
      <c r="B377" s="11" t="s">
        <v>128</v>
      </c>
      <c r="C377" s="11" t="s">
        <v>178</v>
      </c>
    </row>
    <row r="378" spans="2:3">
      <c r="B378" s="11" t="s">
        <v>74</v>
      </c>
      <c r="C378" s="11" t="s">
        <v>75</v>
      </c>
    </row>
    <row r="379" spans="2:3">
      <c r="B379" s="11" t="s">
        <v>76</v>
      </c>
      <c r="C379" s="11" t="s">
        <v>77</v>
      </c>
    </row>
    <row r="380" spans="2:3">
      <c r="B380" s="11" t="s">
        <v>78</v>
      </c>
      <c r="C380" s="11" t="s">
        <v>150</v>
      </c>
    </row>
    <row r="381" spans="2:3">
      <c r="B381" s="11" t="s">
        <v>79</v>
      </c>
      <c r="C381" s="11" t="s">
        <v>80</v>
      </c>
    </row>
    <row r="382" spans="2:3">
      <c r="B382" s="11" t="s">
        <v>81</v>
      </c>
      <c r="C382" s="11" t="s">
        <v>82</v>
      </c>
    </row>
    <row r="383" spans="2:3">
      <c r="B383" s="11" t="s">
        <v>83</v>
      </c>
      <c r="C383" s="11" t="s">
        <v>84</v>
      </c>
    </row>
    <row r="384" spans="2:3">
      <c r="B384" s="11" t="s">
        <v>85</v>
      </c>
      <c r="C384" s="11" t="s">
        <v>341</v>
      </c>
    </row>
    <row r="385" spans="2:3">
      <c r="B385" s="11" t="s">
        <v>129</v>
      </c>
      <c r="C385" s="11" t="s">
        <v>179</v>
      </c>
    </row>
    <row r="386" spans="2:3">
      <c r="B386" s="11" t="s">
        <v>86</v>
      </c>
      <c r="C386" s="11" t="s">
        <v>87</v>
      </c>
    </row>
    <row r="387" spans="2:3">
      <c r="B387" s="11" t="s">
        <v>88</v>
      </c>
      <c r="C387" s="11" t="s">
        <v>89</v>
      </c>
    </row>
    <row r="388" spans="2:3">
      <c r="B388" s="11" t="s">
        <v>90</v>
      </c>
      <c r="C388" s="11" t="s">
        <v>91</v>
      </c>
    </row>
    <row r="389" spans="2:3">
      <c r="B389" s="11" t="s">
        <v>92</v>
      </c>
      <c r="C389" s="11" t="s">
        <v>93</v>
      </c>
    </row>
    <row r="390" spans="2:3">
      <c r="B390" s="11" t="s">
        <v>94</v>
      </c>
      <c r="C390" s="11" t="s">
        <v>95</v>
      </c>
    </row>
    <row r="391" spans="2:3">
      <c r="B391" s="11" t="s">
        <v>96</v>
      </c>
      <c r="C391" s="11" t="s">
        <v>97</v>
      </c>
    </row>
    <row r="392" spans="2:3">
      <c r="B392" s="11" t="s">
        <v>99</v>
      </c>
      <c r="C392" s="11" t="s">
        <v>100</v>
      </c>
    </row>
    <row r="393" spans="2:3">
      <c r="B393" s="11" t="s">
        <v>101</v>
      </c>
      <c r="C393" s="11" t="s">
        <v>102</v>
      </c>
    </row>
    <row r="394" spans="2:3">
      <c r="B394" s="11" t="s">
        <v>103</v>
      </c>
      <c r="C394" s="11" t="s">
        <v>104</v>
      </c>
    </row>
    <row r="395" spans="2:3">
      <c r="B395" s="11" t="s">
        <v>105</v>
      </c>
      <c r="C395" s="11" t="s">
        <v>106</v>
      </c>
    </row>
    <row r="396" spans="2:3">
      <c r="B396" s="11" t="s">
        <v>107</v>
      </c>
      <c r="C396" s="11" t="s">
        <v>172</v>
      </c>
    </row>
    <row r="397" spans="2:3">
      <c r="B397" s="11" t="s">
        <v>108</v>
      </c>
      <c r="C397" s="11" t="s">
        <v>173</v>
      </c>
    </row>
    <row r="398" spans="2:3">
      <c r="B398" s="11" t="s">
        <v>130</v>
      </c>
      <c r="C398" s="11" t="s">
        <v>372</v>
      </c>
    </row>
    <row r="399" spans="2:3">
      <c r="B399" s="11" t="s">
        <v>110</v>
      </c>
      <c r="C399" s="11" t="s">
        <v>111</v>
      </c>
    </row>
    <row r="400" spans="2:3">
      <c r="B400" s="11" t="s">
        <v>117</v>
      </c>
      <c r="C400" s="11" t="s">
        <v>118</v>
      </c>
    </row>
    <row r="401" spans="2:3">
      <c r="B401" s="11" t="s">
        <v>151</v>
      </c>
      <c r="C401" s="11" t="s">
        <v>176</v>
      </c>
    </row>
    <row r="402" spans="2:3">
      <c r="B402" s="11" t="s">
        <v>131</v>
      </c>
      <c r="C402" s="11" t="s">
        <v>119</v>
      </c>
    </row>
    <row r="403" spans="2:3">
      <c r="B403" s="11" t="s">
        <v>132</v>
      </c>
      <c r="C403" s="11" t="s">
        <v>177</v>
      </c>
    </row>
    <row r="404" spans="2:3">
      <c r="B404" s="11" t="s">
        <v>0</v>
      </c>
      <c r="C404" s="11" t="s">
        <v>133</v>
      </c>
    </row>
    <row r="405" spans="2:3">
      <c r="B405" s="11" t="s">
        <v>134</v>
      </c>
      <c r="C405" s="11" t="s">
        <v>135</v>
      </c>
    </row>
    <row r="406" spans="2:3">
      <c r="B406" s="11" t="s">
        <v>136</v>
      </c>
      <c r="C406" s="11" t="s">
        <v>137</v>
      </c>
    </row>
    <row r="407" spans="2:3">
      <c r="B407" s="11" t="s">
        <v>115</v>
      </c>
      <c r="C407" s="11" t="s">
        <v>138</v>
      </c>
    </row>
    <row r="408" spans="2:3">
      <c r="B408" s="11" t="s">
        <v>112</v>
      </c>
      <c r="C408" s="11" t="s">
        <v>139</v>
      </c>
    </row>
    <row r="409" spans="2:3">
      <c r="B409" s="11" t="s">
        <v>140</v>
      </c>
      <c r="C409" s="11" t="s">
        <v>141</v>
      </c>
    </row>
    <row r="410" spans="2:3">
      <c r="B410" s="11" t="s">
        <v>120</v>
      </c>
      <c r="C410" s="11" t="s">
        <v>142</v>
      </c>
    </row>
    <row r="411" spans="2:3">
      <c r="B411" s="11" t="s">
        <v>143</v>
      </c>
      <c r="C411" s="11" t="s">
        <v>144</v>
      </c>
    </row>
    <row r="412" spans="2:3">
      <c r="B412" s="11" t="s">
        <v>121</v>
      </c>
      <c r="C412" s="11" t="s">
        <v>145</v>
      </c>
    </row>
    <row r="413" spans="2:3">
      <c r="B413" s="11" t="s">
        <v>122</v>
      </c>
      <c r="C413" s="11" t="s">
        <v>146</v>
      </c>
    </row>
    <row r="414" spans="2:3">
      <c r="B414" s="11" t="s">
        <v>328</v>
      </c>
      <c r="C414" s="11" t="s">
        <v>147</v>
      </c>
    </row>
    <row r="415" spans="2:3">
      <c r="B415" s="11" t="s">
        <v>124</v>
      </c>
      <c r="C415" s="11" t="s">
        <v>148</v>
      </c>
    </row>
    <row r="416" spans="2:3">
      <c r="B416" s="11" t="s">
        <v>265</v>
      </c>
      <c r="C416" s="11" t="s">
        <v>266</v>
      </c>
    </row>
    <row r="419" spans="2:23">
      <c r="B419" s="372" t="s">
        <v>386</v>
      </c>
      <c r="C419" s="373"/>
      <c r="D419" s="373"/>
      <c r="E419" s="373"/>
      <c r="F419" s="373"/>
      <c r="G419" s="373"/>
      <c r="H419" s="373"/>
      <c r="I419" s="373"/>
      <c r="J419" s="373"/>
      <c r="K419" s="373"/>
      <c r="L419" s="373"/>
      <c r="M419" s="373"/>
      <c r="N419" s="373"/>
      <c r="O419" s="373"/>
      <c r="P419" s="373"/>
      <c r="Q419" s="373"/>
      <c r="R419" s="373"/>
      <c r="S419" s="373"/>
      <c r="T419" s="373"/>
    </row>
    <row r="421" spans="2:23">
      <c r="B421" s="11" t="s">
        <v>326</v>
      </c>
    </row>
    <row r="422" spans="2:23">
      <c r="B422" s="11" t="s">
        <v>333</v>
      </c>
      <c r="O422" s="1"/>
    </row>
    <row r="424" spans="2:23">
      <c r="B424" s="11" t="s">
        <v>388</v>
      </c>
    </row>
    <row r="425" spans="2:23">
      <c r="B425" s="11" t="s">
        <v>388</v>
      </c>
    </row>
    <row r="427" spans="2:23">
      <c r="B427" s="372" t="s">
        <v>329</v>
      </c>
      <c r="C427" s="372"/>
      <c r="D427" s="372"/>
      <c r="E427" s="372"/>
      <c r="F427" s="372"/>
      <c r="G427" s="372"/>
      <c r="H427" s="372"/>
      <c r="I427" s="372"/>
      <c r="J427" s="372"/>
      <c r="K427" s="372"/>
      <c r="L427" s="372"/>
      <c r="M427" s="372"/>
      <c r="N427" s="372"/>
      <c r="O427" s="372"/>
      <c r="P427" s="372"/>
      <c r="Q427" s="372"/>
      <c r="R427" s="372"/>
      <c r="S427" s="372"/>
      <c r="T427" s="372"/>
    </row>
    <row r="429" spans="2:23">
      <c r="B429" s="11" t="s">
        <v>334</v>
      </c>
      <c r="C429" s="11" t="s">
        <v>239</v>
      </c>
      <c r="D429" s="11" t="s">
        <v>387</v>
      </c>
      <c r="E429" s="27" t="s">
        <v>389</v>
      </c>
      <c r="F429" s="27" t="s">
        <v>390</v>
      </c>
    </row>
    <row r="430" spans="2:23">
      <c r="B430" s="11" t="s">
        <v>335</v>
      </c>
      <c r="C430" s="11" t="s">
        <v>338</v>
      </c>
      <c r="D430" s="11" t="s">
        <v>387</v>
      </c>
      <c r="E430" s="27" t="s">
        <v>389</v>
      </c>
      <c r="F430" s="27" t="s">
        <v>391</v>
      </c>
      <c r="W430" s="28"/>
    </row>
    <row r="432" spans="2:23">
      <c r="B432" s="372" t="s">
        <v>344</v>
      </c>
      <c r="C432" s="372"/>
      <c r="D432" s="372"/>
      <c r="E432" s="372"/>
      <c r="F432" s="372"/>
      <c r="G432" s="372"/>
      <c r="H432" s="372"/>
      <c r="I432" s="372"/>
      <c r="J432" s="372"/>
      <c r="K432" s="372"/>
      <c r="L432" s="372"/>
      <c r="M432" s="372"/>
      <c r="N432" s="372"/>
      <c r="O432" s="372"/>
      <c r="P432" s="372"/>
      <c r="Q432" s="372"/>
      <c r="R432" s="372"/>
      <c r="S432" s="372"/>
      <c r="T432" s="372"/>
    </row>
    <row r="435" spans="2:6">
      <c r="B435" s="11" t="s">
        <v>352</v>
      </c>
      <c r="C435" s="11" t="s">
        <v>353</v>
      </c>
    </row>
    <row r="437" spans="2:6">
      <c r="B437" s="11" t="s">
        <v>345</v>
      </c>
      <c r="C437" s="11" t="s">
        <v>344</v>
      </c>
    </row>
    <row r="438" spans="2:6">
      <c r="B438" s="11" t="s">
        <v>346</v>
      </c>
      <c r="C438" s="11" t="s">
        <v>354</v>
      </c>
    </row>
    <row r="439" spans="2:6">
      <c r="B439" s="11" t="s">
        <v>347</v>
      </c>
      <c r="C439" s="11" t="s">
        <v>355</v>
      </c>
    </row>
    <row r="441" spans="2:6">
      <c r="B441" s="11" t="s">
        <v>356</v>
      </c>
      <c r="C441" s="11" t="s">
        <v>348</v>
      </c>
      <c r="D441" s="11" t="s">
        <v>349</v>
      </c>
      <c r="E441" s="11" t="s">
        <v>350</v>
      </c>
      <c r="F441" s="11" t="s">
        <v>351</v>
      </c>
    </row>
    <row r="442" spans="2:6">
      <c r="B442" s="11" t="s">
        <v>357</v>
      </c>
      <c r="C442" s="11" t="s">
        <v>358</v>
      </c>
      <c r="D442" s="11" t="s">
        <v>359</v>
      </c>
      <c r="E442" s="11" t="s">
        <v>360</v>
      </c>
      <c r="F442" s="11" t="s">
        <v>361</v>
      </c>
    </row>
    <row r="443" spans="2:6">
      <c r="B443" s="11" t="s">
        <v>362</v>
      </c>
    </row>
    <row r="444" spans="2:6">
      <c r="B444" s="11" t="s">
        <v>363</v>
      </c>
    </row>
  </sheetData>
  <mergeCells count="21">
    <mergeCell ref="B3:C3"/>
    <mergeCell ref="B253:T253"/>
    <mergeCell ref="B154:T154"/>
    <mergeCell ref="B62:T62"/>
    <mergeCell ref="B37:T37"/>
    <mergeCell ref="B42:B51"/>
    <mergeCell ref="B52:B59"/>
    <mergeCell ref="F40:H40"/>
    <mergeCell ref="J40:L40"/>
    <mergeCell ref="M40:P40"/>
    <mergeCell ref="D40:E41"/>
    <mergeCell ref="D42:D51"/>
    <mergeCell ref="D52:D59"/>
    <mergeCell ref="F42:H42"/>
    <mergeCell ref="J42:L42"/>
    <mergeCell ref="M42:P42"/>
    <mergeCell ref="B40:C41"/>
    <mergeCell ref="B419:T419"/>
    <mergeCell ref="B432:T432"/>
    <mergeCell ref="B427:T427"/>
    <mergeCell ref="B331:T33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C4:P7"/>
  <sheetViews>
    <sheetView workbookViewId="0">
      <selection activeCell="P5" sqref="P5:P7"/>
    </sheetView>
  </sheetViews>
  <sheetFormatPr defaultRowHeight="12.75"/>
  <cols>
    <col min="3" max="3" width="28.28515625" bestFit="1" customWidth="1"/>
  </cols>
  <sheetData>
    <row r="4" spans="3:16">
      <c r="D4" s="181" t="s">
        <v>292</v>
      </c>
      <c r="E4" s="181" t="s">
        <v>293</v>
      </c>
      <c r="F4" s="181" t="s">
        <v>294</v>
      </c>
      <c r="G4" s="181" t="s">
        <v>295</v>
      </c>
      <c r="H4" s="181" t="s">
        <v>296</v>
      </c>
      <c r="I4" s="181" t="s">
        <v>297</v>
      </c>
      <c r="J4" s="181" t="s">
        <v>298</v>
      </c>
      <c r="K4" s="181" t="s">
        <v>299</v>
      </c>
      <c r="L4" s="181" t="s">
        <v>300</v>
      </c>
      <c r="M4" s="181" t="s">
        <v>301</v>
      </c>
      <c r="N4" s="181" t="s">
        <v>302</v>
      </c>
      <c r="O4" s="181" t="s">
        <v>303</v>
      </c>
    </row>
    <row r="5" spans="3:16">
      <c r="C5" s="181" t="s">
        <v>437</v>
      </c>
      <c r="D5" s="182">
        <v>62425293.156965584</v>
      </c>
      <c r="E5" s="182">
        <v>79762187.59852089</v>
      </c>
      <c r="F5" s="182">
        <v>89318688.151918903</v>
      </c>
      <c r="G5" s="182">
        <v>106294081.27535464</v>
      </c>
      <c r="H5" s="182">
        <v>97189661.825924918</v>
      </c>
      <c r="I5" s="182">
        <v>105191801.34506513</v>
      </c>
      <c r="J5" s="182">
        <v>123272889.17858437</v>
      </c>
      <c r="K5" s="182">
        <v>125579133.65326507</v>
      </c>
      <c r="L5" s="182">
        <v>121047897.33843082</v>
      </c>
      <c r="M5" s="182">
        <v>114789505.85515907</v>
      </c>
      <c r="N5" s="182">
        <v>97406301.479715049</v>
      </c>
      <c r="O5" s="182">
        <v>145778958.57826602</v>
      </c>
      <c r="P5" s="182">
        <f>+SUM(D5:O5)</f>
        <v>1268056399.4371705</v>
      </c>
    </row>
    <row r="6" spans="3:16">
      <c r="C6" s="181" t="s">
        <v>438</v>
      </c>
      <c r="D6" s="182">
        <v>70632268.589999989</v>
      </c>
      <c r="E6" s="182">
        <v>81381758.450000018</v>
      </c>
      <c r="F6" s="182">
        <v>100495765.61000001</v>
      </c>
      <c r="G6" s="182">
        <v>107356417.33534782</v>
      </c>
      <c r="H6" s="182">
        <v>98816734.644163221</v>
      </c>
      <c r="I6" s="182">
        <v>107147051.5707173</v>
      </c>
      <c r="J6" s="182">
        <v>125666748.8575906</v>
      </c>
      <c r="K6" s="182">
        <v>127890096.38694921</v>
      </c>
      <c r="L6" s="182">
        <v>123465322.33433203</v>
      </c>
      <c r="M6" s="182">
        <v>117130344.73943919</v>
      </c>
      <c r="N6" s="182">
        <v>99294843.070796907</v>
      </c>
      <c r="O6" s="182">
        <v>149056317.49743444</v>
      </c>
      <c r="P6" s="182">
        <f>+SUM(D6:O6)</f>
        <v>1308333669.0867708</v>
      </c>
    </row>
    <row r="7" spans="3:16">
      <c r="C7" s="181" t="s">
        <v>439</v>
      </c>
      <c r="D7" s="182">
        <v>54757461.979999989</v>
      </c>
      <c r="E7" s="182">
        <v>75673443.909999996</v>
      </c>
      <c r="F7" s="182">
        <v>88296245.580000013</v>
      </c>
      <c r="G7" s="182">
        <v>103948239.19999999</v>
      </c>
      <c r="H7" s="182">
        <v>93997829.679999992</v>
      </c>
      <c r="I7" s="182">
        <v>99561632.659999996</v>
      </c>
      <c r="J7" s="182">
        <v>122021331.04999998</v>
      </c>
      <c r="K7" s="182">
        <v>125053427.64999999</v>
      </c>
      <c r="L7" s="182">
        <v>116342017.78000002</v>
      </c>
      <c r="M7" s="182">
        <v>117283627.60000001</v>
      </c>
      <c r="N7" s="182">
        <v>95781753.159999996</v>
      </c>
      <c r="O7" s="182">
        <v>142429369.22999999</v>
      </c>
      <c r="P7" s="182">
        <f>+SUM(D7:O7)</f>
        <v>1235146379.48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M80"/>
  <sheetViews>
    <sheetView workbookViewId="0">
      <selection activeCell="G63" sqref="G63"/>
    </sheetView>
  </sheetViews>
  <sheetFormatPr defaultRowHeight="12.75"/>
  <cols>
    <col min="2" max="2" width="43.28515625" customWidth="1"/>
    <col min="3" max="3" width="7.42578125" bestFit="1" customWidth="1"/>
    <col min="4" max="4" width="7.85546875" bestFit="1" customWidth="1"/>
    <col min="5" max="5" width="7.7109375" style="80" customWidth="1"/>
    <col min="6" max="6" width="6" style="80" customWidth="1"/>
    <col min="7" max="7" width="7.7109375" style="80" customWidth="1"/>
    <col min="8" max="8" width="7" style="80" bestFit="1" customWidth="1"/>
    <col min="12" max="12" width="11.5703125" bestFit="1" customWidth="1"/>
  </cols>
  <sheetData>
    <row r="1" spans="2:13">
      <c r="E1" s="82"/>
      <c r="F1" s="82"/>
      <c r="G1" s="82"/>
      <c r="H1" s="82"/>
    </row>
    <row r="2" spans="2:13" ht="13.5" thickBot="1">
      <c r="E2" s="82"/>
      <c r="F2" s="82"/>
      <c r="G2" s="82"/>
      <c r="H2" s="82"/>
    </row>
    <row r="3" spans="2:13" ht="14.25" thickTop="1" thickBot="1">
      <c r="C3" s="379">
        <v>3335894492.1291356</v>
      </c>
      <c r="D3" s="379"/>
      <c r="E3" s="334">
        <v>3516156889.9792166</v>
      </c>
      <c r="F3" s="335"/>
      <c r="G3" s="335"/>
      <c r="H3" s="336"/>
    </row>
    <row r="4" spans="2:13" ht="13.5" thickTop="1">
      <c r="E4" s="83"/>
      <c r="F4" s="83"/>
      <c r="G4" s="82"/>
      <c r="H4" s="82"/>
    </row>
    <row r="5" spans="2:13" ht="13.5" thickBot="1">
      <c r="E5" s="164"/>
      <c r="F5" s="164"/>
      <c r="G5" s="164"/>
      <c r="H5" s="164"/>
    </row>
    <row r="6" spans="2:13" ht="13.5" thickTop="1">
      <c r="B6" t="s">
        <v>126</v>
      </c>
      <c r="C6" s="332">
        <v>2013</v>
      </c>
      <c r="D6" s="333"/>
      <c r="E6" s="332" t="s">
        <v>392</v>
      </c>
      <c r="F6" s="333"/>
      <c r="G6" s="332" t="s">
        <v>426</v>
      </c>
      <c r="H6" s="333"/>
      <c r="I6" s="332" t="s">
        <v>440</v>
      </c>
      <c r="J6" s="333"/>
    </row>
    <row r="7" spans="2:13" ht="13.5" thickBot="1">
      <c r="C7" s="88" t="str">
        <f>+E7</f>
        <v>mil. €</v>
      </c>
      <c r="D7" s="89" t="str">
        <f>+F7</f>
        <v>% BDP</v>
      </c>
      <c r="E7" s="88" t="s">
        <v>262</v>
      </c>
      <c r="F7" s="89" t="s">
        <v>149</v>
      </c>
      <c r="G7" s="88" t="s">
        <v>262</v>
      </c>
      <c r="H7" s="89" t="s">
        <v>149</v>
      </c>
      <c r="I7" s="184" t="s">
        <v>262</v>
      </c>
      <c r="J7" s="184" t="s">
        <v>441</v>
      </c>
    </row>
    <row r="8" spans="2:13" ht="14.25" thickTop="1" thickBot="1">
      <c r="B8" s="90" t="s">
        <v>127</v>
      </c>
      <c r="C8" s="165">
        <f>C9+C17+C22+C27+C34+C39</f>
        <v>1235146379.48</v>
      </c>
      <c r="D8" s="92">
        <f>C8/C$3*100</f>
        <v>37.025942588839719</v>
      </c>
      <c r="E8" s="165">
        <f>+E9+E17+E22+E27+E34+E39+E40</f>
        <v>1276056399.4371703</v>
      </c>
      <c r="F8" s="92">
        <f>E8/E$3*100</f>
        <v>36.291224748071834</v>
      </c>
      <c r="G8" s="162">
        <f>+G9+G17+G22+G27+G34+G39+G40</f>
        <v>1316333669.0867703</v>
      </c>
      <c r="H8" s="92">
        <f>G8/E$3*100</f>
        <v>37.436716002014087</v>
      </c>
      <c r="I8" s="162">
        <f>+G8-E8</f>
        <v>40277269.649600029</v>
      </c>
      <c r="J8" s="92">
        <f>+G8/E8*100-100</f>
        <v>3.1563863217460693</v>
      </c>
    </row>
    <row r="9" spans="2:13" ht="13.5" thickTop="1">
      <c r="B9" s="93" t="s">
        <v>2</v>
      </c>
      <c r="C9" s="154">
        <f>SUM(C10:C16)</f>
        <v>755696459.51000011</v>
      </c>
      <c r="D9" s="95">
        <f t="shared" ref="D9:D72" si="0">C9/C$3*100</f>
        <v>22.653488031261944</v>
      </c>
      <c r="E9" s="154">
        <f>+SUM(E10:E16)</f>
        <v>797828901.35953081</v>
      </c>
      <c r="F9" s="96">
        <f t="shared" ref="F9:F73" si="1">E9/E$3*100</f>
        <v>22.690366963808792</v>
      </c>
      <c r="G9" s="154">
        <f>+SUM(G10:G16)</f>
        <v>819077478.06873</v>
      </c>
      <c r="H9" s="96">
        <f t="shared" ref="H9:H72" si="2">G9/E$3*100</f>
        <v>23.294679495190881</v>
      </c>
      <c r="I9" s="154">
        <f t="shared" ref="I9:I41" si="3">+G9-E9</f>
        <v>21248576.70919919</v>
      </c>
      <c r="J9" s="96">
        <f t="shared" ref="J9:J73" si="4">+G9/E9*100-100</f>
        <v>2.6632999472682428</v>
      </c>
    </row>
    <row r="10" spans="2:13">
      <c r="B10" s="97" t="s">
        <v>3</v>
      </c>
      <c r="C10" s="155">
        <v>95618433.909999996</v>
      </c>
      <c r="D10" s="98">
        <f t="shared" si="0"/>
        <v>2.8663506635358695</v>
      </c>
      <c r="E10" s="155">
        <v>96011654.614494905</v>
      </c>
      <c r="F10" s="98">
        <f t="shared" si="1"/>
        <v>2.7305850568875618</v>
      </c>
      <c r="G10" s="156">
        <v>96781150.729929999</v>
      </c>
      <c r="H10" s="98">
        <f t="shared" si="2"/>
        <v>2.7524696354064582</v>
      </c>
      <c r="I10" s="156">
        <f t="shared" si="3"/>
        <v>769496.11543509364</v>
      </c>
      <c r="J10" s="98">
        <f t="shared" si="4"/>
        <v>0.80146115440335564</v>
      </c>
    </row>
    <row r="11" spans="2:13">
      <c r="B11" s="97" t="s">
        <v>5</v>
      </c>
      <c r="C11" s="156">
        <v>40638726.390000008</v>
      </c>
      <c r="D11" s="98">
        <f t="shared" si="0"/>
        <v>1.2182257708055488</v>
      </c>
      <c r="E11" s="156">
        <v>44395641.531501003</v>
      </c>
      <c r="F11" s="98">
        <f t="shared" si="1"/>
        <v>1.2626183336137604</v>
      </c>
      <c r="G11" s="156">
        <v>50018934.706970006</v>
      </c>
      <c r="H11" s="98">
        <f t="shared" si="2"/>
        <v>1.4225455880401758</v>
      </c>
      <c r="I11" s="156">
        <f t="shared" si="3"/>
        <v>5623293.1754690036</v>
      </c>
      <c r="J11" s="98">
        <f t="shared" si="4"/>
        <v>12.666318092236565</v>
      </c>
    </row>
    <row r="12" spans="2:13">
      <c r="B12" s="97" t="s">
        <v>7</v>
      </c>
      <c r="C12" s="156">
        <v>1440565.3199999998</v>
      </c>
      <c r="D12" s="98">
        <f t="shared" si="0"/>
        <v>4.318377944503151E-2</v>
      </c>
      <c r="E12" s="156">
        <v>1544536.6728920399</v>
      </c>
      <c r="F12" s="98">
        <f t="shared" si="1"/>
        <v>4.3926841754241781E-2</v>
      </c>
      <c r="G12" s="156">
        <v>1489198.0023599996</v>
      </c>
      <c r="H12" s="98">
        <f t="shared" si="2"/>
        <v>4.2353002125818169E-2</v>
      </c>
      <c r="I12" s="156">
        <f t="shared" si="3"/>
        <v>-55338.670532040298</v>
      </c>
      <c r="J12" s="98">
        <f t="shared" si="4"/>
        <v>-3.5828654316392772</v>
      </c>
    </row>
    <row r="13" spans="2:13">
      <c r="B13" s="97" t="s">
        <v>9</v>
      </c>
      <c r="C13" s="155">
        <v>429195069.32999998</v>
      </c>
      <c r="D13" s="98">
        <f t="shared" si="0"/>
        <v>12.865966544885122</v>
      </c>
      <c r="E13" s="155">
        <v>455945630.52919102</v>
      </c>
      <c r="F13" s="98">
        <f t="shared" si="1"/>
        <v>12.967158315051353</v>
      </c>
      <c r="G13" s="156">
        <v>473642045.78458995</v>
      </c>
      <c r="H13" s="98">
        <f t="shared" si="2"/>
        <v>13.470446871538474</v>
      </c>
      <c r="I13" s="156">
        <f t="shared" si="3"/>
        <v>17696415.255398929</v>
      </c>
      <c r="J13" s="98">
        <f t="shared" si="4"/>
        <v>3.8812555862986784</v>
      </c>
      <c r="L13" s="156">
        <f>+G13-C13</f>
        <v>44446976.454589963</v>
      </c>
      <c r="M13">
        <f>+G13/C13*100-100</f>
        <v>10.355891675077828</v>
      </c>
    </row>
    <row r="14" spans="2:13">
      <c r="B14" s="97" t="s">
        <v>12</v>
      </c>
      <c r="C14" s="156">
        <v>161445470.17000002</v>
      </c>
      <c r="D14" s="98">
        <f t="shared" si="0"/>
        <v>4.8396455748502225</v>
      </c>
      <c r="E14" s="156">
        <v>171111988.52539012</v>
      </c>
      <c r="F14" s="98">
        <f t="shared" si="1"/>
        <v>4.8664491909631922</v>
      </c>
      <c r="G14" s="156">
        <v>169158715.98390999</v>
      </c>
      <c r="H14" s="98">
        <f t="shared" si="2"/>
        <v>4.8108978432105705</v>
      </c>
      <c r="I14" s="156">
        <f t="shared" si="3"/>
        <v>-1953272.541480124</v>
      </c>
      <c r="J14" s="98">
        <f t="shared" si="4"/>
        <v>-1.1415170604427232</v>
      </c>
    </row>
    <row r="15" spans="2:13">
      <c r="B15" s="97" t="s">
        <v>14</v>
      </c>
      <c r="C15" s="156">
        <v>22269382.640000001</v>
      </c>
      <c r="D15" s="98">
        <f t="shared" si="0"/>
        <v>0.66756855447746977</v>
      </c>
      <c r="E15" s="156">
        <v>23735353.696558259</v>
      </c>
      <c r="F15" s="98">
        <f t="shared" si="1"/>
        <v>0.67503682114419394</v>
      </c>
      <c r="G15" s="156">
        <v>22781578.440719999</v>
      </c>
      <c r="H15" s="98">
        <f t="shared" si="2"/>
        <v>0.64791131776985811</v>
      </c>
      <c r="I15" s="156">
        <f t="shared" si="3"/>
        <v>-953775.25583826005</v>
      </c>
      <c r="J15" s="98">
        <f t="shared" si="4"/>
        <v>-4.0183738908283573</v>
      </c>
    </row>
    <row r="16" spans="2:13">
      <c r="B16" s="97" t="s">
        <v>17</v>
      </c>
      <c r="C16" s="156">
        <v>5088811.75</v>
      </c>
      <c r="D16" s="98">
        <f t="shared" si="0"/>
        <v>0.15254714326267749</v>
      </c>
      <c r="E16" s="156">
        <v>5084095.7895035082</v>
      </c>
      <c r="F16" s="98">
        <f t="shared" si="1"/>
        <v>0.14459240439449103</v>
      </c>
      <c r="G16" s="156">
        <v>5205854.4202499995</v>
      </c>
      <c r="H16" s="98">
        <f t="shared" si="2"/>
        <v>0.14805523709952459</v>
      </c>
      <c r="I16" s="156">
        <f t="shared" si="3"/>
        <v>121758.63074649125</v>
      </c>
      <c r="J16" s="98">
        <f t="shared" si="4"/>
        <v>2.394892539158505</v>
      </c>
      <c r="L16">
        <f>+G13/G8*100</f>
        <v>35.981913773670129</v>
      </c>
    </row>
    <row r="17" spans="2:12">
      <c r="B17" s="93" t="s">
        <v>19</v>
      </c>
      <c r="C17" s="166">
        <f>SUM(C18:C21)</f>
        <v>398494284.19</v>
      </c>
      <c r="D17" s="96">
        <f t="shared" si="0"/>
        <v>11.94565011364196</v>
      </c>
      <c r="E17" s="154">
        <f>+SUM(E18:E21)</f>
        <v>397823173.70918262</v>
      </c>
      <c r="F17" s="96">
        <f t="shared" si="1"/>
        <v>11.314147410286179</v>
      </c>
      <c r="G17" s="154">
        <f>+SUM(G18:G21)</f>
        <v>417559652.73636997</v>
      </c>
      <c r="H17" s="96">
        <f t="shared" si="2"/>
        <v>11.87545566940951</v>
      </c>
      <c r="I17" s="154">
        <f t="shared" si="3"/>
        <v>19736479.027187347</v>
      </c>
      <c r="J17" s="96">
        <f t="shared" si="4"/>
        <v>4.9611184896974265</v>
      </c>
    </row>
    <row r="18" spans="2:12">
      <c r="B18" s="97" t="s">
        <v>21</v>
      </c>
      <c r="C18" s="156">
        <v>241949355.72999999</v>
      </c>
      <c r="D18" s="98">
        <f t="shared" si="0"/>
        <v>7.2529079172277937</v>
      </c>
      <c r="E18" s="156">
        <v>234882396.70208701</v>
      </c>
      <c r="F18" s="98">
        <f t="shared" si="1"/>
        <v>6.6800886323213922</v>
      </c>
      <c r="G18" s="156">
        <v>254875867.28178996</v>
      </c>
      <c r="H18" s="98">
        <f t="shared" si="2"/>
        <v>7.2487057676000486</v>
      </c>
      <c r="I18" s="156">
        <f t="shared" si="3"/>
        <v>19993470.579702944</v>
      </c>
      <c r="J18" s="98">
        <f t="shared" si="4"/>
        <v>8.5121196225963445</v>
      </c>
      <c r="L18" s="156">
        <f>+G18-C18</f>
        <v>12926511.551789969</v>
      </c>
    </row>
    <row r="19" spans="2:12">
      <c r="B19" s="97" t="s">
        <v>23</v>
      </c>
      <c r="C19" s="156">
        <v>134703897.09</v>
      </c>
      <c r="D19" s="98">
        <f t="shared" si="0"/>
        <v>4.038014313936686</v>
      </c>
      <c r="E19" s="156">
        <v>138667298.82084399</v>
      </c>
      <c r="F19" s="98">
        <f t="shared" si="1"/>
        <v>3.9437176201106214</v>
      </c>
      <c r="G19" s="156">
        <v>139196347.37307</v>
      </c>
      <c r="H19" s="98">
        <f t="shared" si="2"/>
        <v>3.9587638358734543</v>
      </c>
      <c r="I19" s="156">
        <f t="shared" si="3"/>
        <v>529048.55222600698</v>
      </c>
      <c r="J19" s="98">
        <f t="shared" si="4"/>
        <v>0.3815236589482538</v>
      </c>
    </row>
    <row r="20" spans="2:12">
      <c r="B20" s="97" t="s">
        <v>25</v>
      </c>
      <c r="C20" s="156">
        <v>10770190.189999999</v>
      </c>
      <c r="D20" s="98">
        <f t="shared" si="0"/>
        <v>0.32285763879558199</v>
      </c>
      <c r="E20" s="156">
        <v>11617385.520490499</v>
      </c>
      <c r="F20" s="98">
        <f t="shared" si="1"/>
        <v>0.33040008975706336</v>
      </c>
      <c r="G20" s="156">
        <v>11434714.104369998</v>
      </c>
      <c r="H20" s="98">
        <f t="shared" si="2"/>
        <v>0.3252048888079504</v>
      </c>
      <c r="I20" s="156">
        <f t="shared" si="3"/>
        <v>-182671.41612050124</v>
      </c>
      <c r="J20" s="98">
        <f t="shared" si="4"/>
        <v>-1.5723969545325787</v>
      </c>
    </row>
    <row r="21" spans="2:12">
      <c r="B21" s="97" t="s">
        <v>27</v>
      </c>
      <c r="C21" s="156">
        <v>11070841.180000002</v>
      </c>
      <c r="D21" s="98">
        <f t="shared" si="0"/>
        <v>0.33187024368189877</v>
      </c>
      <c r="E21" s="155">
        <v>12656092.6657611</v>
      </c>
      <c r="F21" s="98">
        <f t="shared" si="1"/>
        <v>0.3599410680971038</v>
      </c>
      <c r="G21" s="156">
        <v>12052723.97714</v>
      </c>
      <c r="H21" s="98">
        <f t="shared" si="2"/>
        <v>0.34278117712805589</v>
      </c>
      <c r="I21" s="156">
        <f t="shared" si="3"/>
        <v>-603368.68862110004</v>
      </c>
      <c r="J21" s="98">
        <f t="shared" si="4"/>
        <v>-4.7674168051361647</v>
      </c>
    </row>
    <row r="22" spans="2:12">
      <c r="B22" s="93" t="s">
        <v>29</v>
      </c>
      <c r="C22" s="154">
        <f>SUM(C23:C26)</f>
        <v>27069458</v>
      </c>
      <c r="D22" s="96">
        <f t="shared" si="0"/>
        <v>0.81146025642804165</v>
      </c>
      <c r="E22" s="154">
        <f>+SUM(E23:E26)</f>
        <v>20923047.198280636</v>
      </c>
      <c r="F22" s="96">
        <f t="shared" si="1"/>
        <v>0.59505442598166625</v>
      </c>
      <c r="G22" s="154">
        <f>+SUM(G23:G26)</f>
        <v>19923047.198280636</v>
      </c>
      <c r="H22" s="96">
        <f t="shared" si="2"/>
        <v>0.56661428433582772</v>
      </c>
      <c r="I22" s="154">
        <f t="shared" si="3"/>
        <v>-1000000</v>
      </c>
      <c r="J22" s="96">
        <f t="shared" si="4"/>
        <v>-4.7794185546843977</v>
      </c>
    </row>
    <row r="23" spans="2:12">
      <c r="B23" s="97" t="s">
        <v>31</v>
      </c>
      <c r="C23" s="156">
        <v>7881462.9399999995</v>
      </c>
      <c r="D23" s="98">
        <f t="shared" si="0"/>
        <v>0.23626235657620134</v>
      </c>
      <c r="E23" s="156">
        <v>8144616.5029747505</v>
      </c>
      <c r="F23" s="98">
        <f t="shared" si="1"/>
        <v>0.23163404699563594</v>
      </c>
      <c r="G23" s="156">
        <v>8144616.5029747505</v>
      </c>
      <c r="H23" s="98">
        <f t="shared" si="2"/>
        <v>0.23163404699563594</v>
      </c>
      <c r="I23" s="156">
        <f t="shared" si="3"/>
        <v>0</v>
      </c>
      <c r="J23" s="98">
        <f t="shared" si="4"/>
        <v>0</v>
      </c>
    </row>
    <row r="24" spans="2:12">
      <c r="B24" s="97" t="s">
        <v>32</v>
      </c>
      <c r="C24" s="156">
        <v>4557791.26</v>
      </c>
      <c r="D24" s="98">
        <f t="shared" si="0"/>
        <v>0.13662875941531916</v>
      </c>
      <c r="E24" s="156">
        <v>3676083.5729169641</v>
      </c>
      <c r="F24" s="98">
        <f t="shared" si="1"/>
        <v>0.10454833751569864</v>
      </c>
      <c r="G24" s="156">
        <v>5176083.5729169641</v>
      </c>
      <c r="H24" s="98">
        <f t="shared" si="2"/>
        <v>0.14720854998445643</v>
      </c>
      <c r="I24" s="156">
        <f t="shared" si="3"/>
        <v>1500000</v>
      </c>
      <c r="J24" s="98">
        <f t="shared" si="4"/>
        <v>40.804295393364868</v>
      </c>
    </row>
    <row r="25" spans="2:12">
      <c r="B25" s="97" t="s">
        <v>34</v>
      </c>
      <c r="C25" s="156">
        <v>767936.98999999987</v>
      </c>
      <c r="D25" s="98">
        <f t="shared" si="0"/>
        <v>2.3020422013103413E-2</v>
      </c>
      <c r="E25" s="156">
        <v>762511.44191594806</v>
      </c>
      <c r="F25" s="98">
        <f t="shared" si="1"/>
        <v>2.1685933414662142E-2</v>
      </c>
      <c r="G25" s="156">
        <v>762511.44191594806</v>
      </c>
      <c r="H25" s="98">
        <f t="shared" si="2"/>
        <v>2.1685933414662142E-2</v>
      </c>
      <c r="I25" s="156">
        <f t="shared" si="3"/>
        <v>0</v>
      </c>
      <c r="J25" s="98">
        <f t="shared" si="4"/>
        <v>0</v>
      </c>
    </row>
    <row r="26" spans="2:12">
      <c r="B26" s="97" t="s">
        <v>37</v>
      </c>
      <c r="C26" s="155">
        <v>13862266.809999999</v>
      </c>
      <c r="D26" s="98">
        <f t="shared" si="0"/>
        <v>0.41554871842341756</v>
      </c>
      <c r="E26" s="155">
        <v>8339835.6804729737</v>
      </c>
      <c r="F26" s="98">
        <f t="shared" si="1"/>
        <v>0.23718610805566953</v>
      </c>
      <c r="G26" s="155">
        <v>5839835.6804729737</v>
      </c>
      <c r="H26" s="98">
        <f t="shared" si="2"/>
        <v>0.16608575394107319</v>
      </c>
      <c r="I26" s="155">
        <f t="shared" si="3"/>
        <v>-2500000</v>
      </c>
      <c r="J26" s="98">
        <f t="shared" si="4"/>
        <v>-29.976609801240343</v>
      </c>
    </row>
    <row r="27" spans="2:12">
      <c r="B27" s="93" t="s">
        <v>39</v>
      </c>
      <c r="C27" s="154">
        <f>SUM(C28:C33)</f>
        <v>13233490.18</v>
      </c>
      <c r="D27" s="96">
        <f t="shared" si="0"/>
        <v>0.39669990196703492</v>
      </c>
      <c r="E27" s="154">
        <f>+SUM(E28:E33)</f>
        <v>13024243.76827177</v>
      </c>
      <c r="F27" s="96">
        <f t="shared" si="1"/>
        <v>0.37041133759957889</v>
      </c>
      <c r="G27" s="154">
        <f>+SUM(G28:G33)</f>
        <v>12724243.76827177</v>
      </c>
      <c r="H27" s="96">
        <f t="shared" si="2"/>
        <v>0.36187929510582734</v>
      </c>
      <c r="I27" s="154">
        <f t="shared" si="3"/>
        <v>-300000</v>
      </c>
      <c r="J27" s="96">
        <f t="shared" si="4"/>
        <v>-2.3033966911063715</v>
      </c>
    </row>
    <row r="28" spans="2:12">
      <c r="B28" s="97" t="s">
        <v>40</v>
      </c>
      <c r="C28" s="156">
        <v>647266.8600000001</v>
      </c>
      <c r="D28" s="98">
        <f t="shared" si="0"/>
        <v>1.9403097475870164E-2</v>
      </c>
      <c r="E28" s="156">
        <v>698651.48499726248</v>
      </c>
      <c r="F28" s="98">
        <f t="shared" si="1"/>
        <v>1.9869747194397578E-2</v>
      </c>
      <c r="G28" s="156">
        <v>698651.48499726248</v>
      </c>
      <c r="H28" s="98">
        <f t="shared" si="2"/>
        <v>1.9869747194397578E-2</v>
      </c>
      <c r="I28" s="156">
        <f t="shared" si="3"/>
        <v>0</v>
      </c>
      <c r="J28" s="98">
        <f t="shared" si="4"/>
        <v>0</v>
      </c>
    </row>
    <row r="29" spans="2:12">
      <c r="B29" s="97" t="s">
        <v>42</v>
      </c>
      <c r="C29" s="156">
        <v>1995183.6300000001</v>
      </c>
      <c r="D29" s="98">
        <f t="shared" si="0"/>
        <v>5.9809554370125591E-2</v>
      </c>
      <c r="E29" s="156">
        <v>1997965.7673730874</v>
      </c>
      <c r="F29" s="98">
        <f t="shared" si="1"/>
        <v>5.6822429427627073E-2</v>
      </c>
      <c r="G29" s="156">
        <v>1997965.7673730874</v>
      </c>
      <c r="H29" s="98">
        <f t="shared" si="2"/>
        <v>5.6822429427627073E-2</v>
      </c>
      <c r="I29" s="156">
        <f t="shared" si="3"/>
        <v>0</v>
      </c>
      <c r="J29" s="98">
        <f t="shared" si="4"/>
        <v>0</v>
      </c>
    </row>
    <row r="30" spans="2:12">
      <c r="B30" s="97" t="s">
        <v>45</v>
      </c>
      <c r="C30" s="156">
        <v>309851.25</v>
      </c>
      <c r="D30" s="98">
        <f t="shared" si="0"/>
        <v>9.2884007791936302E-3</v>
      </c>
      <c r="E30" s="156">
        <v>424373.88097611902</v>
      </c>
      <c r="F30" s="98">
        <f t="shared" si="1"/>
        <v>1.2069253285755047E-2</v>
      </c>
      <c r="G30" s="156">
        <v>424373.88097611902</v>
      </c>
      <c r="H30" s="98">
        <f t="shared" si="2"/>
        <v>1.2069253285755047E-2</v>
      </c>
      <c r="I30" s="156">
        <f t="shared" si="3"/>
        <v>0</v>
      </c>
      <c r="J30" s="98">
        <f t="shared" si="4"/>
        <v>0</v>
      </c>
    </row>
    <row r="31" spans="2:12">
      <c r="B31" s="97" t="s">
        <v>47</v>
      </c>
      <c r="C31" s="156">
        <v>3324177.16</v>
      </c>
      <c r="D31" s="98">
        <f t="shared" si="0"/>
        <v>9.9648749918296836E-2</v>
      </c>
      <c r="E31" s="156">
        <v>3266343.0516235088</v>
      </c>
      <c r="F31" s="98">
        <f t="shared" si="1"/>
        <v>9.2895259052073062E-2</v>
      </c>
      <c r="G31" s="156">
        <v>3666343.0516235088</v>
      </c>
      <c r="H31" s="98">
        <f t="shared" si="2"/>
        <v>0.10427131571040847</v>
      </c>
      <c r="I31" s="156">
        <f t="shared" si="3"/>
        <v>400000</v>
      </c>
      <c r="J31" s="98">
        <f t="shared" si="4"/>
        <v>12.246111130341419</v>
      </c>
    </row>
    <row r="32" spans="2:12">
      <c r="B32" s="97" t="s">
        <v>50</v>
      </c>
      <c r="C32" s="156">
        <v>3659024.1899999995</v>
      </c>
      <c r="D32" s="98">
        <f t="shared" si="0"/>
        <v>0.10968644837638813</v>
      </c>
      <c r="E32" s="156">
        <v>3355752.0175728933</v>
      </c>
      <c r="F32" s="98">
        <f t="shared" si="1"/>
        <v>9.5438062708081514E-2</v>
      </c>
      <c r="G32" s="156">
        <v>3355752.0175728933</v>
      </c>
      <c r="H32" s="98">
        <f t="shared" si="2"/>
        <v>9.5438062708081514E-2</v>
      </c>
      <c r="I32" s="156">
        <f t="shared" si="3"/>
        <v>0</v>
      </c>
      <c r="J32" s="98">
        <f t="shared" si="4"/>
        <v>0</v>
      </c>
    </row>
    <row r="33" spans="2:10">
      <c r="B33" s="97" t="s">
        <v>51</v>
      </c>
      <c r="C33" s="156">
        <v>3297987.09</v>
      </c>
      <c r="D33" s="98">
        <f t="shared" si="0"/>
        <v>9.8863651047160633E-2</v>
      </c>
      <c r="E33" s="156">
        <v>3281157.5657288986</v>
      </c>
      <c r="F33" s="98">
        <f t="shared" si="1"/>
        <v>9.331658593164463E-2</v>
      </c>
      <c r="G33" s="156">
        <v>2581157.5657288986</v>
      </c>
      <c r="H33" s="98">
        <f t="shared" si="2"/>
        <v>7.340848677955765E-2</v>
      </c>
      <c r="I33" s="156">
        <f t="shared" si="3"/>
        <v>-700000</v>
      </c>
      <c r="J33" s="98">
        <f t="shared" si="4"/>
        <v>-21.333934319746618</v>
      </c>
    </row>
    <row r="34" spans="2:10">
      <c r="B34" s="93" t="s">
        <v>53</v>
      </c>
      <c r="C34" s="154">
        <f>SUM(C35:C38)</f>
        <v>33088194.540000003</v>
      </c>
      <c r="D34" s="96">
        <f t="shared" si="0"/>
        <v>0.99188372468223518</v>
      </c>
      <c r="E34" s="154">
        <f>+SUM(E35:E38)</f>
        <v>31410770.914738216</v>
      </c>
      <c r="F34" s="96">
        <f t="shared" si="1"/>
        <v>0.89332677402013982</v>
      </c>
      <c r="G34" s="154">
        <f>+SUM(G35:G38)</f>
        <v>31310770.914738216</v>
      </c>
      <c r="H34" s="96">
        <f t="shared" si="2"/>
        <v>0.89048275985555603</v>
      </c>
      <c r="I34" s="154">
        <f t="shared" si="3"/>
        <v>-100000</v>
      </c>
      <c r="J34" s="96">
        <f t="shared" si="4"/>
        <v>-0.318362132121635</v>
      </c>
    </row>
    <row r="35" spans="2:10">
      <c r="B35" s="97" t="s">
        <v>55</v>
      </c>
      <c r="C35" s="156">
        <v>6034873.3200000003</v>
      </c>
      <c r="D35" s="98">
        <f t="shared" si="0"/>
        <v>0.18090719998006413</v>
      </c>
      <c r="E35" s="156">
        <v>5533606.7424404304</v>
      </c>
      <c r="F35" s="98">
        <f t="shared" si="1"/>
        <v>0.15737655956737298</v>
      </c>
      <c r="G35" s="156">
        <v>6533606.7424404304</v>
      </c>
      <c r="H35" s="98">
        <f t="shared" si="2"/>
        <v>0.1858167012132115</v>
      </c>
      <c r="I35" s="156">
        <f t="shared" si="3"/>
        <v>1000000</v>
      </c>
      <c r="J35" s="98">
        <f t="shared" si="4"/>
        <v>18.071396225727824</v>
      </c>
    </row>
    <row r="36" spans="2:10">
      <c r="B36" s="97" t="s">
        <v>57</v>
      </c>
      <c r="C36" s="156">
        <v>12316700.43</v>
      </c>
      <c r="D36" s="98">
        <f t="shared" si="0"/>
        <v>0.36921732563966259</v>
      </c>
      <c r="E36" s="156">
        <v>11824073.889814863</v>
      </c>
      <c r="F36" s="98">
        <f t="shared" si="1"/>
        <v>0.33627833625719566</v>
      </c>
      <c r="G36" s="156">
        <v>12424073.889814863</v>
      </c>
      <c r="H36" s="98">
        <f t="shared" si="2"/>
        <v>0.35334242124469878</v>
      </c>
      <c r="I36" s="156">
        <f t="shared" si="3"/>
        <v>600000</v>
      </c>
      <c r="J36" s="98">
        <f t="shared" si="4"/>
        <v>5.0743931879251249</v>
      </c>
    </row>
    <row r="37" spans="2:10">
      <c r="B37" s="97" t="s">
        <v>59</v>
      </c>
      <c r="C37" s="156">
        <v>2179410.2600000002</v>
      </c>
      <c r="D37" s="98">
        <f t="shared" si="0"/>
        <v>6.5332110027526411E-2</v>
      </c>
      <c r="E37" s="156">
        <v>2220205.3434794326</v>
      </c>
      <c r="F37" s="98">
        <f t="shared" si="1"/>
        <v>6.3142954451402653E-2</v>
      </c>
      <c r="G37" s="156">
        <v>2220205.3434794326</v>
      </c>
      <c r="H37" s="98">
        <f t="shared" si="2"/>
        <v>6.3142954451402653E-2</v>
      </c>
      <c r="I37" s="156">
        <f t="shared" si="3"/>
        <v>0</v>
      </c>
      <c r="J37" s="98">
        <f t="shared" si="4"/>
        <v>0</v>
      </c>
    </row>
    <row r="38" spans="2:10">
      <c r="B38" s="97" t="s">
        <v>53</v>
      </c>
      <c r="C38" s="156">
        <v>12557210.530000001</v>
      </c>
      <c r="D38" s="98">
        <f t="shared" si="0"/>
        <v>0.37642708903498195</v>
      </c>
      <c r="E38" s="156">
        <v>11832884.939003492</v>
      </c>
      <c r="F38" s="98">
        <f t="shared" si="1"/>
        <v>0.33652892374416871</v>
      </c>
      <c r="G38" s="156">
        <v>10132884.939003492</v>
      </c>
      <c r="H38" s="98">
        <f t="shared" si="2"/>
        <v>0.28818068294624322</v>
      </c>
      <c r="I38" s="156">
        <f t="shared" si="3"/>
        <v>-1700000</v>
      </c>
      <c r="J38" s="98">
        <f t="shared" si="4"/>
        <v>-14.366741574545941</v>
      </c>
    </row>
    <row r="39" spans="2:10">
      <c r="B39" s="93" t="s">
        <v>254</v>
      </c>
      <c r="C39" s="154">
        <v>7564493.0600000005</v>
      </c>
      <c r="D39" s="96">
        <f t="shared" si="0"/>
        <v>0.22676056085850488</v>
      </c>
      <c r="E39" s="154">
        <v>7046262.4871663069</v>
      </c>
      <c r="F39" s="96">
        <f t="shared" si="1"/>
        <v>0.20039670320876826</v>
      </c>
      <c r="G39" s="154">
        <v>7738476.4003799995</v>
      </c>
      <c r="H39" s="96">
        <f t="shared" si="2"/>
        <v>0.22008336494978584</v>
      </c>
      <c r="I39" s="154">
        <f t="shared" si="3"/>
        <v>692213.91321369261</v>
      </c>
      <c r="J39" s="96">
        <f t="shared" si="4"/>
        <v>9.8238451161087852</v>
      </c>
    </row>
    <row r="40" spans="2:10" ht="13.5" thickBot="1">
      <c r="B40" s="93" t="s">
        <v>122</v>
      </c>
      <c r="C40" s="156">
        <v>6615451.54</v>
      </c>
      <c r="D40" s="98">
        <f t="shared" si="0"/>
        <v>0.19831117427750797</v>
      </c>
      <c r="E40" s="154">
        <v>8000000</v>
      </c>
      <c r="F40" s="96">
        <f t="shared" si="1"/>
        <v>0.22752113316670824</v>
      </c>
      <c r="G40" s="154">
        <v>8000000</v>
      </c>
      <c r="H40" s="96">
        <f t="shared" si="2"/>
        <v>0.22752113316670824</v>
      </c>
      <c r="I40" s="154">
        <f t="shared" si="3"/>
        <v>0</v>
      </c>
      <c r="J40" s="96">
        <f t="shared" si="4"/>
        <v>0</v>
      </c>
    </row>
    <row r="41" spans="2:10" ht="14.25" thickTop="1" thickBot="1">
      <c r="B41" s="90" t="s">
        <v>61</v>
      </c>
      <c r="C41" s="91">
        <f>+C43+C54+C60+SUM(C63:C67)</f>
        <v>1363467004.0629177</v>
      </c>
      <c r="D41" s="92">
        <f t="shared" si="0"/>
        <v>40.87260575176898</v>
      </c>
      <c r="E41" s="91">
        <f>+E43+E54+E60+SUM(E63:E67)</f>
        <v>1327102106.4899998</v>
      </c>
      <c r="F41" s="92">
        <f t="shared" si="1"/>
        <v>37.742971887066275</v>
      </c>
      <c r="G41" s="91">
        <f>+G43+G54+G60+SUM(G63:G67)</f>
        <v>1342758271.0799997</v>
      </c>
      <c r="H41" s="92">
        <f t="shared" si="2"/>
        <v>38.188235425636442</v>
      </c>
      <c r="I41" s="91">
        <f t="shared" si="3"/>
        <v>15656164.589999914</v>
      </c>
      <c r="J41" s="92">
        <f t="shared" si="4"/>
        <v>1.1797256980782294</v>
      </c>
    </row>
    <row r="42" spans="2:10" ht="14.25" thickTop="1" thickBot="1">
      <c r="B42" s="90" t="s">
        <v>125</v>
      </c>
      <c r="C42" s="91">
        <f>+C41-C63</f>
        <v>1301681501.2029178</v>
      </c>
      <c r="D42" s="92">
        <f t="shared" si="0"/>
        <v>39.020463754898891</v>
      </c>
      <c r="E42" s="91">
        <f>+E41-E63</f>
        <v>1225281606.4899998</v>
      </c>
      <c r="F42" s="92">
        <f t="shared" si="1"/>
        <v>34.84718244461618</v>
      </c>
      <c r="G42" s="91">
        <f>+G41-G63</f>
        <v>1240937771.0799997</v>
      </c>
      <c r="H42" s="92">
        <f t="shared" si="2"/>
        <v>35.29244598318634</v>
      </c>
      <c r="I42" s="91">
        <f t="shared" ref="I42:I73" si="5">+G42-E42</f>
        <v>15656164.589999914</v>
      </c>
      <c r="J42" s="92">
        <f t="shared" si="4"/>
        <v>1.2777605170169295</v>
      </c>
    </row>
    <row r="43" spans="2:10" ht="13.5" thickTop="1">
      <c r="B43" s="93" t="s">
        <v>62</v>
      </c>
      <c r="C43" s="94">
        <f>+SUM(C44:C53)</f>
        <v>600287648.01291776</v>
      </c>
      <c r="D43" s="96">
        <f t="shared" si="0"/>
        <v>17.994803175857761</v>
      </c>
      <c r="E43" s="94">
        <f>+SUM(E44:E53)</f>
        <v>615023510.13</v>
      </c>
      <c r="F43" s="96">
        <f t="shared" si="1"/>
        <v>17.491355743618005</v>
      </c>
      <c r="G43" s="94">
        <f>+SUM(G44:G53)</f>
        <v>625526473.45999992</v>
      </c>
      <c r="H43" s="96">
        <f t="shared" si="2"/>
        <v>17.790061508424255</v>
      </c>
      <c r="I43" s="94">
        <f t="shared" si="5"/>
        <v>10502963.329999924</v>
      </c>
      <c r="J43" s="96">
        <f t="shared" si="4"/>
        <v>1.7077336324557564</v>
      </c>
    </row>
    <row r="44" spans="2:10">
      <c r="B44" s="93" t="s">
        <v>63</v>
      </c>
      <c r="C44" s="154">
        <v>366128508.17291778</v>
      </c>
      <c r="D44" s="96">
        <f t="shared" si="0"/>
        <v>10.975422305375018</v>
      </c>
      <c r="E44" s="154">
        <v>386488693.71999997</v>
      </c>
      <c r="F44" s="96">
        <f t="shared" si="1"/>
        <v>10.991793193911903</v>
      </c>
      <c r="G44" s="154">
        <v>386488693.71999997</v>
      </c>
      <c r="H44" s="96">
        <f t="shared" si="2"/>
        <v>10.991793193911903</v>
      </c>
      <c r="I44" s="154">
        <f t="shared" si="5"/>
        <v>0</v>
      </c>
      <c r="J44" s="96">
        <f t="shared" si="4"/>
        <v>0</v>
      </c>
    </row>
    <row r="45" spans="2:10">
      <c r="B45" s="93" t="s">
        <v>74</v>
      </c>
      <c r="C45" s="154">
        <v>12022159.040000001</v>
      </c>
      <c r="D45" s="96">
        <f t="shared" si="0"/>
        <v>0.36038786803256645</v>
      </c>
      <c r="E45" s="154">
        <v>11478163.960000001</v>
      </c>
      <c r="F45" s="96">
        <f t="shared" si="1"/>
        <v>0.3264406088565589</v>
      </c>
      <c r="G45" s="154">
        <v>11478163.960000001</v>
      </c>
      <c r="H45" s="96">
        <f t="shared" si="2"/>
        <v>0.3264406088565589</v>
      </c>
      <c r="I45" s="154">
        <f t="shared" si="5"/>
        <v>0</v>
      </c>
      <c r="J45" s="96">
        <f t="shared" si="4"/>
        <v>0</v>
      </c>
    </row>
    <row r="46" spans="2:10">
      <c r="B46" s="93" t="s">
        <v>428</v>
      </c>
      <c r="C46" s="154">
        <v>90442340.840000004</v>
      </c>
      <c r="D46" s="96">
        <f t="shared" si="0"/>
        <v>2.7111870910004456</v>
      </c>
      <c r="E46" s="154">
        <v>89210330.25999999</v>
      </c>
      <c r="F46" s="96">
        <f t="shared" si="1"/>
        <v>2.5371544288664349</v>
      </c>
      <c r="G46" s="154">
        <v>29295302.830000002</v>
      </c>
      <c r="H46" s="96">
        <f t="shared" si="2"/>
        <v>0.83316256204293437</v>
      </c>
      <c r="I46" s="154">
        <f t="shared" si="5"/>
        <v>-59915027.429999992</v>
      </c>
      <c r="J46" s="96">
        <f t="shared" si="4"/>
        <v>-67.161535278907735</v>
      </c>
    </row>
    <row r="47" spans="2:10">
      <c r="B47" s="93" t="s">
        <v>429</v>
      </c>
      <c r="C47" s="154"/>
      <c r="D47" s="96">
        <f t="shared" si="0"/>
        <v>0</v>
      </c>
      <c r="E47" s="154"/>
      <c r="F47" s="96">
        <f t="shared" si="1"/>
        <v>0</v>
      </c>
      <c r="G47" s="154">
        <v>40692845.799999997</v>
      </c>
      <c r="H47" s="96">
        <f t="shared" si="2"/>
        <v>1.1573102985242654</v>
      </c>
      <c r="I47" s="154">
        <f t="shared" si="5"/>
        <v>40692845.799999997</v>
      </c>
      <c r="J47" s="96" t="e">
        <f t="shared" si="4"/>
        <v>#DIV/0!</v>
      </c>
    </row>
    <row r="48" spans="2:10">
      <c r="B48" s="93" t="s">
        <v>430</v>
      </c>
      <c r="C48" s="154">
        <v>20416485.639999997</v>
      </c>
      <c r="D48" s="96">
        <f t="shared" si="0"/>
        <v>0.61202432175752564</v>
      </c>
      <c r="E48" s="154">
        <v>21655403.200000003</v>
      </c>
      <c r="F48" s="96">
        <f t="shared" si="1"/>
        <v>0.61588273440574504</v>
      </c>
      <c r="G48" s="154">
        <v>21655403.200000003</v>
      </c>
      <c r="H48" s="96">
        <f t="shared" si="2"/>
        <v>0.61588273440574504</v>
      </c>
      <c r="I48" s="154">
        <f t="shared" si="5"/>
        <v>0</v>
      </c>
      <c r="J48" s="96">
        <f t="shared" si="4"/>
        <v>0</v>
      </c>
    </row>
    <row r="49" spans="2:10">
      <c r="B49" s="93" t="s">
        <v>79</v>
      </c>
      <c r="C49" s="154">
        <v>67427730.789999992</v>
      </c>
      <c r="D49" s="96">
        <f t="shared" si="0"/>
        <v>2.0212788788462022</v>
      </c>
      <c r="E49" s="154">
        <v>73316123.120000005</v>
      </c>
      <c r="F49" s="96">
        <f t="shared" si="1"/>
        <v>2.0851209264565371</v>
      </c>
      <c r="G49" s="154">
        <v>73316123.120000005</v>
      </c>
      <c r="H49" s="96">
        <f t="shared" si="2"/>
        <v>2.0851209264565371</v>
      </c>
      <c r="I49" s="154">
        <f t="shared" si="5"/>
        <v>0</v>
      </c>
      <c r="J49" s="96">
        <f t="shared" si="4"/>
        <v>0</v>
      </c>
    </row>
    <row r="50" spans="2:10">
      <c r="B50" s="93" t="s">
        <v>81</v>
      </c>
      <c r="C50" s="154">
        <v>7928041.8100000005</v>
      </c>
      <c r="D50" s="96">
        <f t="shared" si="0"/>
        <v>0.23765864983757101</v>
      </c>
      <c r="E50" s="154">
        <v>8172802.1399999997</v>
      </c>
      <c r="F50" s="96">
        <f t="shared" si="1"/>
        <v>0.23243565050501225</v>
      </c>
      <c r="G50" s="154">
        <v>8172802.1399999997</v>
      </c>
      <c r="H50" s="96">
        <f t="shared" si="2"/>
        <v>0.23243565050501225</v>
      </c>
      <c r="I50" s="154">
        <f t="shared" si="5"/>
        <v>0</v>
      </c>
      <c r="J50" s="96">
        <f t="shared" si="4"/>
        <v>0</v>
      </c>
    </row>
    <row r="51" spans="2:10">
      <c r="B51" s="93" t="s">
        <v>83</v>
      </c>
      <c r="C51" s="154">
        <v>17426749.959999997</v>
      </c>
      <c r="D51" s="96">
        <f t="shared" si="0"/>
        <v>0.52240111313824467</v>
      </c>
      <c r="E51" s="154">
        <v>18874600</v>
      </c>
      <c r="F51" s="96">
        <f t="shared" si="1"/>
        <v>0.53679629750854385</v>
      </c>
      <c r="G51" s="154">
        <v>18874600</v>
      </c>
      <c r="H51" s="96">
        <f t="shared" si="2"/>
        <v>0.53679629750854385</v>
      </c>
      <c r="I51" s="154">
        <f t="shared" si="5"/>
        <v>0</v>
      </c>
      <c r="J51" s="96">
        <f t="shared" si="4"/>
        <v>0</v>
      </c>
    </row>
    <row r="52" spans="2:10">
      <c r="B52" s="93" t="s">
        <v>85</v>
      </c>
      <c r="C52" s="154">
        <v>6279093.0100000007</v>
      </c>
      <c r="D52" s="96">
        <f t="shared" si="0"/>
        <v>0.18822816563339112</v>
      </c>
      <c r="E52" s="154">
        <v>5827393.7300000023</v>
      </c>
      <c r="F52" s="96">
        <f t="shared" si="1"/>
        <v>0.16573190310727137</v>
      </c>
      <c r="G52" s="154">
        <v>25049575.370000001</v>
      </c>
      <c r="H52" s="96">
        <f t="shared" si="2"/>
        <v>0.71241347169090818</v>
      </c>
      <c r="I52" s="154">
        <f t="shared" si="5"/>
        <v>19222181.640000001</v>
      </c>
      <c r="J52" s="96">
        <f>+G52/E52*100-100</f>
        <v>329.85898208734892</v>
      </c>
    </row>
    <row r="53" spans="2:10">
      <c r="B53" s="93" t="s">
        <v>129</v>
      </c>
      <c r="C53" s="154">
        <v>12216538.75</v>
      </c>
      <c r="D53" s="160">
        <f t="shared" si="0"/>
        <v>0.36621478223679643</v>
      </c>
      <c r="E53" s="154"/>
      <c r="F53" s="160">
        <f t="shared" si="1"/>
        <v>0</v>
      </c>
      <c r="G53" s="154">
        <v>10502963.32</v>
      </c>
      <c r="H53" s="160">
        <f t="shared" si="2"/>
        <v>0.2987057645218465</v>
      </c>
      <c r="I53" s="154">
        <f t="shared" si="5"/>
        <v>10502963.32</v>
      </c>
      <c r="J53" s="160" t="e">
        <f t="shared" si="4"/>
        <v>#DIV/0!</v>
      </c>
    </row>
    <row r="54" spans="2:10">
      <c r="B54" s="93" t="s">
        <v>86</v>
      </c>
      <c r="C54" s="94">
        <f>+SUM(C55:C59)</f>
        <v>482967769.27999985</v>
      </c>
      <c r="D54" s="96">
        <f t="shared" si="0"/>
        <v>14.47790901119734</v>
      </c>
      <c r="E54" s="94">
        <f>+SUM(E55:E59)</f>
        <v>498223398.96999997</v>
      </c>
      <c r="F54" s="96">
        <f t="shared" si="1"/>
        <v>14.169544037977921</v>
      </c>
      <c r="G54" s="94">
        <f>+SUM(G55:G59)</f>
        <v>498223398.96999997</v>
      </c>
      <c r="H54" s="96">
        <f t="shared" si="2"/>
        <v>14.169544037977921</v>
      </c>
      <c r="I54" s="94">
        <f t="shared" si="5"/>
        <v>0</v>
      </c>
      <c r="J54" s="96">
        <f t="shared" si="4"/>
        <v>0</v>
      </c>
    </row>
    <row r="55" spans="2:10">
      <c r="B55" s="97" t="s">
        <v>88</v>
      </c>
      <c r="C55" s="156">
        <v>64036543.990000002</v>
      </c>
      <c r="D55" s="98">
        <f t="shared" si="0"/>
        <v>1.919621383142986</v>
      </c>
      <c r="E55" s="156">
        <v>58645000</v>
      </c>
      <c r="F55" s="98">
        <f t="shared" si="1"/>
        <v>1.6678721068202007</v>
      </c>
      <c r="G55" s="156">
        <v>58645000</v>
      </c>
      <c r="H55" s="98">
        <f t="shared" si="2"/>
        <v>1.6678721068202007</v>
      </c>
      <c r="I55" s="156">
        <f t="shared" si="5"/>
        <v>0</v>
      </c>
      <c r="J55" s="98">
        <f t="shared" si="4"/>
        <v>0</v>
      </c>
    </row>
    <row r="56" spans="2:10">
      <c r="B56" s="97" t="s">
        <v>90</v>
      </c>
      <c r="C56" s="156">
        <v>13086355.520000001</v>
      </c>
      <c r="D56" s="98">
        <f t="shared" si="0"/>
        <v>0.39228925108022916</v>
      </c>
      <c r="E56" s="156">
        <v>20758124</v>
      </c>
      <c r="F56" s="98">
        <f t="shared" si="1"/>
        <v>0.59036398686188019</v>
      </c>
      <c r="G56" s="156">
        <v>20758124</v>
      </c>
      <c r="H56" s="98">
        <f t="shared" si="2"/>
        <v>0.59036398686188019</v>
      </c>
      <c r="I56" s="156">
        <f t="shared" si="5"/>
        <v>0</v>
      </c>
      <c r="J56" s="98">
        <f t="shared" si="4"/>
        <v>0</v>
      </c>
    </row>
    <row r="57" spans="2:10">
      <c r="B57" s="97" t="s">
        <v>92</v>
      </c>
      <c r="C57" s="156">
        <v>383190248.31999987</v>
      </c>
      <c r="D57" s="98">
        <f t="shared" si="0"/>
        <v>11.486881531298929</v>
      </c>
      <c r="E57" s="156">
        <v>397320274.96999997</v>
      </c>
      <c r="F57" s="98">
        <f t="shared" si="1"/>
        <v>11.299844898910312</v>
      </c>
      <c r="G57" s="156">
        <v>397320274.96999997</v>
      </c>
      <c r="H57" s="98">
        <f t="shared" si="2"/>
        <v>11.299844898910312</v>
      </c>
      <c r="I57" s="156">
        <f t="shared" si="5"/>
        <v>0</v>
      </c>
      <c r="J57" s="98">
        <f t="shared" si="4"/>
        <v>0</v>
      </c>
    </row>
    <row r="58" spans="2:10">
      <c r="B58" s="97" t="s">
        <v>94</v>
      </c>
      <c r="C58" s="156">
        <v>14792096.089999998</v>
      </c>
      <c r="D58" s="98">
        <f t="shared" si="0"/>
        <v>0.44342218031478986</v>
      </c>
      <c r="E58" s="156">
        <v>14500000</v>
      </c>
      <c r="F58" s="98">
        <f t="shared" si="1"/>
        <v>0.4123820538646587</v>
      </c>
      <c r="G58" s="156">
        <v>14500000</v>
      </c>
      <c r="H58" s="98">
        <f t="shared" si="2"/>
        <v>0.4123820538646587</v>
      </c>
      <c r="I58" s="156">
        <f t="shared" si="5"/>
        <v>0</v>
      </c>
      <c r="J58" s="98">
        <f t="shared" si="4"/>
        <v>0</v>
      </c>
    </row>
    <row r="59" spans="2:10">
      <c r="B59" s="97" t="s">
        <v>431</v>
      </c>
      <c r="C59" s="156">
        <v>7862525.3600000013</v>
      </c>
      <c r="D59" s="98">
        <f t="shared" si="0"/>
        <v>0.23569466536040659</v>
      </c>
      <c r="E59" s="156">
        <v>7000000</v>
      </c>
      <c r="F59" s="98">
        <f t="shared" si="1"/>
        <v>0.19908099152086972</v>
      </c>
      <c r="G59" s="156">
        <v>7000000</v>
      </c>
      <c r="H59" s="98">
        <f t="shared" si="2"/>
        <v>0.19908099152086972</v>
      </c>
      <c r="I59" s="156">
        <f t="shared" si="5"/>
        <v>0</v>
      </c>
      <c r="J59" s="98">
        <f t="shared" si="4"/>
        <v>0</v>
      </c>
    </row>
    <row r="60" spans="2:10">
      <c r="B60" s="93" t="s">
        <v>432</v>
      </c>
      <c r="C60" s="94">
        <f>+SUM(C61:C62)</f>
        <v>94307106.209999993</v>
      </c>
      <c r="D60" s="96">
        <f t="shared" si="0"/>
        <v>2.8270410359953697</v>
      </c>
      <c r="E60" s="94">
        <f>+SUM(E61:E62)</f>
        <v>101040047.61999999</v>
      </c>
      <c r="F60" s="96">
        <f t="shared" si="1"/>
        <v>2.8735932662150696</v>
      </c>
      <c r="G60" s="94">
        <f>+SUM(G61:G62)</f>
        <v>101040047.61999999</v>
      </c>
      <c r="H60" s="96">
        <f t="shared" si="2"/>
        <v>2.8735932662150696</v>
      </c>
      <c r="I60" s="94">
        <f t="shared" si="5"/>
        <v>0</v>
      </c>
      <c r="J60" s="96">
        <f t="shared" si="4"/>
        <v>0</v>
      </c>
    </row>
    <row r="61" spans="2:10">
      <c r="B61" s="97" t="s">
        <v>432</v>
      </c>
      <c r="C61" s="156">
        <v>94307106.209999993</v>
      </c>
      <c r="D61" s="98">
        <f t="shared" si="0"/>
        <v>2.8270410359953697</v>
      </c>
      <c r="E61" s="156">
        <v>101040047.61999999</v>
      </c>
      <c r="F61" s="98">
        <f t="shared" si="1"/>
        <v>2.8735932662150696</v>
      </c>
      <c r="G61" s="156">
        <v>101040047.61999999</v>
      </c>
      <c r="H61" s="98">
        <f t="shared" si="2"/>
        <v>2.8735932662150696</v>
      </c>
      <c r="I61" s="156">
        <f t="shared" si="5"/>
        <v>0</v>
      </c>
      <c r="J61" s="98">
        <f t="shared" si="4"/>
        <v>0</v>
      </c>
    </row>
    <row r="62" spans="2:10" ht="13.5" thickBot="1">
      <c r="B62" s="97" t="s">
        <v>433</v>
      </c>
      <c r="C62" s="156"/>
      <c r="D62" s="98">
        <f t="shared" si="0"/>
        <v>0</v>
      </c>
      <c r="E62" s="156"/>
      <c r="F62" s="98">
        <f t="shared" si="1"/>
        <v>0</v>
      </c>
      <c r="G62" s="156"/>
      <c r="H62" s="98">
        <f t="shared" si="2"/>
        <v>0</v>
      </c>
      <c r="I62" s="156">
        <f t="shared" si="5"/>
        <v>0</v>
      </c>
      <c r="J62" s="98" t="e">
        <f t="shared" si="4"/>
        <v>#DIV/0!</v>
      </c>
    </row>
    <row r="63" spans="2:10" ht="14.25" thickTop="1" thickBot="1">
      <c r="B63" s="90" t="s">
        <v>130</v>
      </c>
      <c r="C63" s="162">
        <v>61785502.860000007</v>
      </c>
      <c r="D63" s="92">
        <f t="shared" si="0"/>
        <v>1.8521419968700925</v>
      </c>
      <c r="E63" s="162">
        <v>101820500</v>
      </c>
      <c r="F63" s="92">
        <f t="shared" si="1"/>
        <v>2.8957894424501021</v>
      </c>
      <c r="G63" s="162">
        <v>101820500</v>
      </c>
      <c r="H63" s="92">
        <f t="shared" si="2"/>
        <v>2.8957894424501021</v>
      </c>
      <c r="I63" s="162">
        <f t="shared" si="5"/>
        <v>0</v>
      </c>
      <c r="J63" s="92">
        <f t="shared" si="4"/>
        <v>0</v>
      </c>
    </row>
    <row r="64" spans="2:10" ht="13.5" thickTop="1">
      <c r="B64" s="93" t="s">
        <v>110</v>
      </c>
      <c r="C64" s="154">
        <v>2752781.9799999995</v>
      </c>
      <c r="D64" s="96">
        <f t="shared" si="0"/>
        <v>8.2520055310353516E-2</v>
      </c>
      <c r="E64" s="154">
        <v>2140000</v>
      </c>
      <c r="F64" s="96">
        <f t="shared" si="1"/>
        <v>6.0861903122094448E-2</v>
      </c>
      <c r="G64" s="154">
        <v>2140000</v>
      </c>
      <c r="H64" s="96">
        <f t="shared" si="2"/>
        <v>6.0861903122094448E-2</v>
      </c>
      <c r="I64" s="154">
        <f t="shared" si="5"/>
        <v>0</v>
      </c>
      <c r="J64" s="96">
        <f t="shared" si="4"/>
        <v>0</v>
      </c>
    </row>
    <row r="65" spans="2:10" ht="13.5" thickBot="1">
      <c r="B65" s="93" t="s">
        <v>117</v>
      </c>
      <c r="C65" s="154">
        <v>14126844.789999999</v>
      </c>
      <c r="D65" s="96">
        <f t="shared" si="0"/>
        <v>0.42347996386970665</v>
      </c>
      <c r="E65" s="154">
        <v>8854649.7699999996</v>
      </c>
      <c r="F65" s="96">
        <f t="shared" si="1"/>
        <v>0.25182749368309154</v>
      </c>
      <c r="G65" s="154">
        <v>8854649.7699999996</v>
      </c>
      <c r="H65" s="96">
        <f t="shared" si="2"/>
        <v>0.25182749368309154</v>
      </c>
      <c r="I65" s="154">
        <f t="shared" si="5"/>
        <v>0</v>
      </c>
      <c r="J65" s="96">
        <f t="shared" si="4"/>
        <v>0</v>
      </c>
    </row>
    <row r="66" spans="2:10" ht="14.25" thickTop="1" thickBot="1">
      <c r="B66" s="148" t="s">
        <v>112</v>
      </c>
      <c r="C66" s="163">
        <v>107239350.92999999</v>
      </c>
      <c r="D66" s="150">
        <f t="shared" si="0"/>
        <v>3.2147105126683559</v>
      </c>
      <c r="E66" s="163">
        <v>0</v>
      </c>
      <c r="F66" s="150">
        <f t="shared" si="1"/>
        <v>0</v>
      </c>
      <c r="G66" s="163">
        <v>5153201.26</v>
      </c>
      <c r="H66" s="150">
        <f t="shared" si="2"/>
        <v>0.14655777376391357</v>
      </c>
      <c r="I66" s="163">
        <f t="shared" si="5"/>
        <v>5153201.26</v>
      </c>
      <c r="J66" s="150" t="e">
        <f t="shared" si="4"/>
        <v>#DIV/0!</v>
      </c>
    </row>
    <row r="67" spans="2:10" ht="14.25" thickTop="1" thickBot="1">
      <c r="B67" s="183" t="s">
        <v>151</v>
      </c>
      <c r="C67" s="154">
        <v>0</v>
      </c>
      <c r="D67" s="96">
        <f t="shared" si="0"/>
        <v>0</v>
      </c>
      <c r="E67" s="154">
        <v>0</v>
      </c>
      <c r="F67" s="96">
        <f t="shared" si="1"/>
        <v>0</v>
      </c>
      <c r="G67" s="154">
        <v>0</v>
      </c>
      <c r="H67" s="96">
        <f t="shared" si="2"/>
        <v>0</v>
      </c>
      <c r="I67" s="154">
        <f t="shared" si="5"/>
        <v>0</v>
      </c>
      <c r="J67" s="96" t="e">
        <f t="shared" si="4"/>
        <v>#DIV/0!</v>
      </c>
    </row>
    <row r="68" spans="2:10" ht="14.25" thickTop="1" thickBot="1">
      <c r="B68" s="90" t="s">
        <v>131</v>
      </c>
      <c r="C68" s="91">
        <f>+C8-C41</f>
        <v>-128320624.58291769</v>
      </c>
      <c r="D68" s="92">
        <f t="shared" si="0"/>
        <v>-3.8466631629292634</v>
      </c>
      <c r="E68" s="91">
        <f>+E8-E41</f>
        <v>-51045707.052829504</v>
      </c>
      <c r="F68" s="92">
        <f t="shared" si="1"/>
        <v>-1.4517471389944498</v>
      </c>
      <c r="G68" s="91">
        <f>+G8-G41</f>
        <v>-26424601.993229389</v>
      </c>
      <c r="H68" s="92">
        <f t="shared" si="2"/>
        <v>-0.75151942362235102</v>
      </c>
      <c r="I68" s="91">
        <f t="shared" si="5"/>
        <v>24621105.059600115</v>
      </c>
      <c r="J68" s="92">
        <f t="shared" si="4"/>
        <v>-48.23344896392291</v>
      </c>
    </row>
    <row r="69" spans="2:10" ht="14.25" thickTop="1" thickBot="1">
      <c r="B69" s="90" t="s">
        <v>132</v>
      </c>
      <c r="C69" s="91">
        <f>+C68+C49</f>
        <v>-60892893.792917699</v>
      </c>
      <c r="D69" s="92">
        <f t="shared" si="0"/>
        <v>-1.8253842840830612</v>
      </c>
      <c r="E69" s="91">
        <f>+E68+E49</f>
        <v>22270416.067170501</v>
      </c>
      <c r="F69" s="92">
        <f t="shared" si="1"/>
        <v>0.63337378746208728</v>
      </c>
      <c r="G69" s="91">
        <f>+G68+G49</f>
        <v>46891521.126770616</v>
      </c>
      <c r="H69" s="92">
        <f t="shared" si="2"/>
        <v>1.3336015028341861</v>
      </c>
      <c r="I69" s="91">
        <f t="shared" si="5"/>
        <v>24621105.059600115</v>
      </c>
      <c r="J69" s="92">
        <f t="shared" si="4"/>
        <v>110.55520914086037</v>
      </c>
    </row>
    <row r="70" spans="2:10" ht="14.25" thickTop="1" thickBot="1">
      <c r="B70" s="90" t="s">
        <v>0</v>
      </c>
      <c r="C70" s="91">
        <f>+SUM(C71:C73)</f>
        <v>241777428.00999996</v>
      </c>
      <c r="D70" s="92">
        <f t="shared" si="0"/>
        <v>7.2477540455928944</v>
      </c>
      <c r="E70" s="91">
        <f>+SUM(E71:E73)</f>
        <v>171426905.49000001</v>
      </c>
      <c r="F70" s="92">
        <f t="shared" si="1"/>
        <v>4.875405474043375</v>
      </c>
      <c r="G70" s="91">
        <f>+SUM(G71:G73)</f>
        <v>171426905.49000001</v>
      </c>
      <c r="H70" s="92">
        <f t="shared" si="2"/>
        <v>4.875405474043375</v>
      </c>
      <c r="I70" s="91">
        <f t="shared" si="5"/>
        <v>0</v>
      </c>
      <c r="J70" s="92">
        <f t="shared" si="4"/>
        <v>0</v>
      </c>
    </row>
    <row r="71" spans="2:10" ht="13.5" thickTop="1">
      <c r="B71" s="97" t="s">
        <v>134</v>
      </c>
      <c r="C71" s="156">
        <v>112695950.91</v>
      </c>
      <c r="D71" s="98">
        <f t="shared" si="0"/>
        <v>3.3782828316632929</v>
      </c>
      <c r="E71" s="156">
        <v>30008345.27</v>
      </c>
      <c r="F71" s="98">
        <f t="shared" si="1"/>
        <v>0.8534415900360286</v>
      </c>
      <c r="G71" s="156">
        <v>30008345.27</v>
      </c>
      <c r="H71" s="98">
        <f t="shared" si="2"/>
        <v>0.8534415900360286</v>
      </c>
      <c r="I71" s="156">
        <f t="shared" si="5"/>
        <v>0</v>
      </c>
      <c r="J71" s="98">
        <f t="shared" si="4"/>
        <v>0</v>
      </c>
    </row>
    <row r="72" spans="2:10">
      <c r="B72" s="97" t="s">
        <v>136</v>
      </c>
      <c r="C72" s="156">
        <v>68802905.489999995</v>
      </c>
      <c r="D72" s="98">
        <f t="shared" si="0"/>
        <v>2.0625024458158605</v>
      </c>
      <c r="E72" s="156">
        <v>108080400.25</v>
      </c>
      <c r="F72" s="98">
        <f t="shared" si="1"/>
        <v>3.073821892248922</v>
      </c>
      <c r="G72" s="156">
        <v>108080400.25</v>
      </c>
      <c r="H72" s="98">
        <f t="shared" si="2"/>
        <v>3.073821892248922</v>
      </c>
      <c r="I72" s="156">
        <f t="shared" si="5"/>
        <v>0</v>
      </c>
      <c r="J72" s="98">
        <f t="shared" si="4"/>
        <v>0</v>
      </c>
    </row>
    <row r="73" spans="2:10" ht="13.5" thickBot="1">
      <c r="B73" s="97" t="s">
        <v>115</v>
      </c>
      <c r="C73" s="156">
        <v>60278571.609999992</v>
      </c>
      <c r="D73" s="98">
        <f t="shared" ref="D73:D79" si="6">C73/C$3*100</f>
        <v>1.8069687681137414</v>
      </c>
      <c r="E73" s="156">
        <v>33338159.969999999</v>
      </c>
      <c r="F73" s="98">
        <f t="shared" si="1"/>
        <v>0.94814199175842395</v>
      </c>
      <c r="G73" s="156">
        <v>33338159.969999999</v>
      </c>
      <c r="H73" s="98">
        <f t="shared" ref="H73:H79" si="7">G73/E$3*100</f>
        <v>0.94814199175842395</v>
      </c>
      <c r="I73" s="156">
        <f t="shared" si="5"/>
        <v>0</v>
      </c>
      <c r="J73" s="98">
        <f t="shared" si="4"/>
        <v>0</v>
      </c>
    </row>
    <row r="74" spans="2:10" ht="14.25" thickTop="1" thickBot="1">
      <c r="B74" s="90" t="s">
        <v>140</v>
      </c>
      <c r="C74" s="91">
        <f>+C68-C70</f>
        <v>-370098052.59291768</v>
      </c>
      <c r="D74" s="92">
        <f t="shared" si="6"/>
        <v>-11.09441720852216</v>
      </c>
      <c r="E74" s="91">
        <f>+E68-E70</f>
        <v>-222472612.54282951</v>
      </c>
      <c r="F74" s="92">
        <f t="shared" ref="F74:F79" si="8">E74/E$3*100</f>
        <v>-6.3271526130378248</v>
      </c>
      <c r="G74" s="91">
        <v>-205851507.4832294</v>
      </c>
      <c r="H74" s="92">
        <f t="shared" si="7"/>
        <v>-5.8544460308324338</v>
      </c>
      <c r="I74" s="91">
        <f t="shared" ref="I74:I79" si="9">+G74-E74</f>
        <v>16621105.059600115</v>
      </c>
      <c r="J74" s="92">
        <f t="shared" ref="J74:J79" si="10">+G74/E74*100-100</f>
        <v>-7.4710791902083145</v>
      </c>
    </row>
    <row r="75" spans="2:10" ht="14.25" thickTop="1" thickBot="1">
      <c r="B75" s="90" t="s">
        <v>120</v>
      </c>
      <c r="C75" s="91">
        <f>+SUM(C76:C80)</f>
        <v>370098052.59291768</v>
      </c>
      <c r="D75" s="92">
        <f t="shared" si="6"/>
        <v>11.09441720852216</v>
      </c>
      <c r="E75" s="91">
        <f>+SUM(E76:E79)</f>
        <v>222472612.54282951</v>
      </c>
      <c r="F75" s="92">
        <f t="shared" si="8"/>
        <v>6.3271526130378248</v>
      </c>
      <c r="G75" s="91">
        <f>+SUM(G76:G79)</f>
        <v>205851507.4832294</v>
      </c>
      <c r="H75" s="92">
        <f t="shared" si="7"/>
        <v>5.8544460308324338</v>
      </c>
      <c r="I75" s="91">
        <f t="shared" si="9"/>
        <v>-16621105.059600115</v>
      </c>
      <c r="J75" s="92">
        <f t="shared" si="10"/>
        <v>-7.4710791902083145</v>
      </c>
    </row>
    <row r="76" spans="2:10" ht="13.5" thickTop="1">
      <c r="B76" s="97" t="s">
        <v>143</v>
      </c>
      <c r="C76" s="156">
        <v>102834751.84999999</v>
      </c>
      <c r="D76" s="98">
        <f t="shared" si="6"/>
        <v>3.0826739902186082</v>
      </c>
      <c r="E76" s="156">
        <v>0</v>
      </c>
      <c r="F76" s="98">
        <f t="shared" si="8"/>
        <v>0</v>
      </c>
      <c r="G76" s="185">
        <v>0</v>
      </c>
      <c r="H76" s="186">
        <f t="shared" si="7"/>
        <v>0</v>
      </c>
      <c r="I76" s="156">
        <f t="shared" si="9"/>
        <v>0</v>
      </c>
      <c r="J76" s="98" t="e">
        <f t="shared" si="10"/>
        <v>#DIV/0!</v>
      </c>
    </row>
    <row r="77" spans="2:10">
      <c r="B77" s="97" t="s">
        <v>121</v>
      </c>
      <c r="C77" s="156">
        <v>230537476.81999999</v>
      </c>
      <c r="D77" s="98">
        <f t="shared" si="6"/>
        <v>6.910814396676539</v>
      </c>
      <c r="E77" s="156">
        <v>227975575.86282945</v>
      </c>
      <c r="F77" s="98">
        <f t="shared" si="8"/>
        <v>6.4836576693304764</v>
      </c>
      <c r="G77" s="185">
        <v>227975575.86282945</v>
      </c>
      <c r="H77" s="186">
        <f t="shared" si="7"/>
        <v>6.4836576693304764</v>
      </c>
      <c r="I77" s="156">
        <f t="shared" si="9"/>
        <v>0</v>
      </c>
      <c r="J77" s="98">
        <f t="shared" si="10"/>
        <v>0</v>
      </c>
    </row>
    <row r="78" spans="2:10" ht="13.5" thickBot="1">
      <c r="B78" s="103" t="s">
        <v>328</v>
      </c>
      <c r="C78" s="156">
        <v>11948846.35</v>
      </c>
      <c r="D78" s="104">
        <f t="shared" si="6"/>
        <v>0.35819017592410862</v>
      </c>
      <c r="E78" s="156">
        <v>5000000</v>
      </c>
      <c r="F78" s="104">
        <f t="shared" si="8"/>
        <v>0.14220070822919265</v>
      </c>
      <c r="G78" s="185">
        <v>5000000</v>
      </c>
      <c r="H78" s="186">
        <f t="shared" si="7"/>
        <v>0.14220070822919265</v>
      </c>
      <c r="I78" s="156">
        <f t="shared" si="9"/>
        <v>0</v>
      </c>
      <c r="J78" s="104">
        <f t="shared" si="10"/>
        <v>0</v>
      </c>
    </row>
    <row r="79" spans="2:10" ht="14.25" thickTop="1" thickBot="1">
      <c r="B79" s="148" t="s">
        <v>124</v>
      </c>
      <c r="C79" s="149">
        <f>-C74-SUM(C76:C78)</f>
        <v>24776977.5729177</v>
      </c>
      <c r="D79" s="150">
        <f t="shared" si="6"/>
        <v>0.74273864570290371</v>
      </c>
      <c r="E79" s="149">
        <f>-E74-SUM(E76:E78)</f>
        <v>-10502963.319999933</v>
      </c>
      <c r="F79" s="150">
        <f t="shared" si="8"/>
        <v>-0.29870576452184461</v>
      </c>
      <c r="G79" s="187">
        <f>-G74-SUM(G76:G78)</f>
        <v>-27124068.379600048</v>
      </c>
      <c r="H79" s="188">
        <f t="shared" si="7"/>
        <v>-0.77141234672723535</v>
      </c>
      <c r="I79" s="149">
        <f t="shared" si="9"/>
        <v>-16621105.059600115</v>
      </c>
      <c r="J79" s="150">
        <f t="shared" si="10"/>
        <v>158.25157675215246</v>
      </c>
    </row>
    <row r="80" spans="2:10" ht="13.5" thickTop="1"/>
  </sheetData>
  <mergeCells count="6">
    <mergeCell ref="I6:J6"/>
    <mergeCell ref="E3:H3"/>
    <mergeCell ref="C6:D6"/>
    <mergeCell ref="C3:D3"/>
    <mergeCell ref="E6:F6"/>
    <mergeCell ref="G6:H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C4:G6"/>
  <sheetViews>
    <sheetView workbookViewId="0">
      <selection activeCell="N16" sqref="N16"/>
    </sheetView>
  </sheetViews>
  <sheetFormatPr defaultRowHeight="12.75"/>
  <cols>
    <col min="3" max="3" width="27.85546875" bestFit="1" customWidth="1"/>
    <col min="4" max="4" width="15.140625" bestFit="1" customWidth="1"/>
    <col min="5" max="7" width="16.140625" bestFit="1" customWidth="1"/>
  </cols>
  <sheetData>
    <row r="4" spans="3:7">
      <c r="D4" t="s">
        <v>444</v>
      </c>
      <c r="E4">
        <v>2015</v>
      </c>
      <c r="F4">
        <v>2016</v>
      </c>
      <c r="G4">
        <v>2017</v>
      </c>
    </row>
    <row r="5" spans="3:7">
      <c r="C5" t="s">
        <v>442</v>
      </c>
      <c r="D5" s="182">
        <v>-26424601.993229389</v>
      </c>
      <c r="E5" s="182">
        <v>-24569497.372829676</v>
      </c>
      <c r="F5" s="182">
        <v>33498994.005818129</v>
      </c>
      <c r="G5" s="182">
        <v>103834080.12588143</v>
      </c>
    </row>
    <row r="6" spans="3:7">
      <c r="C6" t="s">
        <v>443</v>
      </c>
      <c r="D6" s="182">
        <v>-51424601.993229389</v>
      </c>
      <c r="E6" s="182">
        <v>-149569497.37282968</v>
      </c>
      <c r="F6" s="182">
        <v>-191501005.99418187</v>
      </c>
      <c r="G6" s="182">
        <v>-221165919.87411857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Central Budget</vt:lpstr>
      <vt:lpstr>Local Government</vt:lpstr>
      <vt:lpstr>Public Expenditure</vt:lpstr>
      <vt:lpstr>PRIMICI</vt:lpstr>
      <vt:lpstr>DEFICIT Tabela</vt:lpstr>
      <vt:lpstr>MasterSheet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branko.krvavac</cp:lastModifiedBy>
  <cp:lastPrinted>2016-06-30T08:34:04Z</cp:lastPrinted>
  <dcterms:created xsi:type="dcterms:W3CDTF">2008-03-17T08:49:23Z</dcterms:created>
  <dcterms:modified xsi:type="dcterms:W3CDTF">2018-02-20T09:28:03Z</dcterms:modified>
</cp:coreProperties>
</file>