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tjana.minic\Dropbox\MINISTARSTVO FINANSIJA\SEP\99_Arhiva\01_Analize\Bilten - 2017\Bilten - 2017 - I kvartal - Analiza\"/>
    </mc:Choice>
  </mc:AlternateContent>
  <bookViews>
    <workbookView xWindow="0" yWindow="0" windowWidth="16590" windowHeight="5985" tabRatio="817"/>
  </bookViews>
  <sheets>
    <sheet name="Cental Budget" sheetId="10" r:id="rId1"/>
    <sheet name="Local Government" sheetId="32" r:id="rId2"/>
    <sheet name="Public Expenditure" sheetId="33" r:id="rId3"/>
    <sheet name="PRIMICI" sheetId="29" state="hidden" r:id="rId4"/>
    <sheet name="DEFICIT Tabela" sheetId="30" state="hidden" r:id="rId5"/>
    <sheet name="MasterSheet" sheetId="13" state="hidden" r:id="rId6"/>
    <sheet name="Sheet1" sheetId="31" state="hidden" r:id="rId7"/>
    <sheet name="Sheet2" sheetId="36" state="hidden" r:id="rId8"/>
    <sheet name="Sheet3" sheetId="37" state="hidden" r:id="rId9"/>
  </sheets>
  <externalReferences>
    <externalReference r:id="rId10"/>
  </externalReferences>
  <definedNames>
    <definedName name="_Order1" hidden="1">0</definedName>
    <definedName name="_Order2" hidden="1">0</definedName>
    <definedName name="_Regression_Out" localSheetId="4" hidden="1">#REF!</definedName>
    <definedName name="_Regression_Out" localSheetId="1" hidden="1">#REF!</definedName>
    <definedName name="_Regression_Out" localSheetId="3" hidden="1">#REF!</definedName>
    <definedName name="_Regression_Out" localSheetId="2" hidden="1">#REF!</definedName>
    <definedName name="_Regression_Out" hidden="1">#REF!</definedName>
    <definedName name="_Regression_X" localSheetId="4" hidden="1">#REF!</definedName>
    <definedName name="_Regression_X" localSheetId="1" hidden="1">#REF!</definedName>
    <definedName name="_Regression_X" localSheetId="3" hidden="1">#REF!</definedName>
    <definedName name="_Regression_X" localSheetId="2" hidden="1">#REF!</definedName>
    <definedName name="_Regression_X" hidden="1">#REF!</definedName>
    <definedName name="_Regression_Y" localSheetId="1" hidden="1">#REF!</definedName>
    <definedName name="_Regression_Y" localSheetId="2" hidden="1">#REF!</definedName>
    <definedName name="_Regression_Y" hidden="1">#REF!</definedName>
    <definedName name="a" hidden="1">#REF!</definedName>
    <definedName name="Z_05AB59A7_9F04_4F70_A17E_8EF60EF35C7C_.wvu.PrintArea" localSheetId="0" hidden="1">'Cental Budget'!$B$13:$C$74</definedName>
    <definedName name="Z_05AB59A7_9F04_4F70_A17E_8EF60EF35C7C_.wvu.PrintArea" localSheetId="1" hidden="1">'Local Government'!$B$13:$M$75</definedName>
    <definedName name="Z_05AB59A7_9F04_4F70_A17E_8EF60EF35C7C_.wvu.PrintArea" localSheetId="2" hidden="1">'Public Expenditure'!$B$13:$M$76</definedName>
    <definedName name="Z_636A372C_EE02_4B23_8381_E3299ADF8816_.wvu.Cols" localSheetId="0" hidden="1">'Cental Budget'!#REF!</definedName>
    <definedName name="Z_636A372C_EE02_4B23_8381_E3299ADF8816_.wvu.Cols" localSheetId="1" hidden="1">'Local Government'!#REF!</definedName>
    <definedName name="Z_636A372C_EE02_4B23_8381_E3299ADF8816_.wvu.Cols" localSheetId="2" hidden="1">'Public Expenditure'!#REF!</definedName>
    <definedName name="Z_7AC1CC92_093E_4DA9_98F8_470D5521A68C_.wvu.Rows" localSheetId="0" hidden="1">'Cental Budget'!#REF!,'Cental Budget'!#REF!,'Cental Budget'!#REF!,'Cental Budget'!#REF!</definedName>
    <definedName name="Z_7AC1CC92_093E_4DA9_98F8_470D5521A68C_.wvu.Rows" localSheetId="1" hidden="1">'Local Government'!#REF!,'Local Government'!#REF!,'Local Government'!#REF!,'Local Government'!#REF!</definedName>
    <definedName name="Z_7AC1CC92_093E_4DA9_98F8_470D5521A68C_.wvu.Rows" localSheetId="2" hidden="1">'Public Expenditure'!#REF!,'Public Expenditure'!#REF!,'Public Expenditure'!#REF!,'Public Expenditure'!#REF!</definedName>
    <definedName name="Z_A32CDCC2_9D7B_41FA_91EC_562A88521235_.wvu.Cols" localSheetId="0" hidden="1">'Cental Budget'!#REF!,'Cental Budget'!#REF!</definedName>
    <definedName name="Z_A32CDCC2_9D7B_41FA_91EC_562A88521235_.wvu.Cols" localSheetId="1" hidden="1">'Local Government'!#REF!,'Local Government'!#REF!</definedName>
    <definedName name="Z_A32CDCC2_9D7B_41FA_91EC_562A88521235_.wvu.Cols" localSheetId="2" hidden="1">'Public Expenditure'!#REF!,'Public Expenditure'!#REF!</definedName>
    <definedName name="Z_F37FAB72_D883_4CEB_A5EC_0FA851AD2DC3_.wvu.Cols" localSheetId="0" hidden="1">'Cental Budget'!#REF!</definedName>
    <definedName name="Z_F37FAB72_D883_4CEB_A5EC_0FA851AD2DC3_.wvu.Cols" localSheetId="1" hidden="1">'Local Government'!#REF!</definedName>
    <definedName name="Z_F37FAB72_D883_4CEB_A5EC_0FA851AD2DC3_.wvu.Cols" localSheetId="2" hidden="1">'Public Expenditure'!#REF!</definedName>
  </definedNames>
  <calcPr calcId="162913"/>
  <customWorkbookViews>
    <customWorkbookView name="iva.vukovic - Personal View" guid="{E484E83A-8AE1-4ACE-A5D4-7D98A52A9B4B}" mergeInterval="0" personalView="1" maximized="1" windowWidth="1276" windowHeight="856" tabRatio="796" activeSheetId="3"/>
    <customWorkbookView name="pc - Personal View" guid="{5F444141-AB98-4370-9413-F1F0A45DC16B}" mergeInterval="0" personalView="1" maximized="1" windowWidth="1276" windowHeight="874" activeSheetId="5"/>
    <customWorkbookView name="RATKO - Personal View" guid="{A4D59F75-8091-4878-A19C-E6F7EFCC98D0}" mergeInterval="0" personalView="1" maximized="1" windowWidth="1276" windowHeight="850" activeSheetId="5"/>
  </customWorkbookViews>
  <fileRecoveryPr autoRecover="0"/>
</workbook>
</file>

<file path=xl/calcChain.xml><?xml version="1.0" encoding="utf-8"?>
<calcChain xmlns="http://schemas.openxmlformats.org/spreadsheetml/2006/main">
  <c r="J56" i="33" l="1"/>
  <c r="F56" i="33"/>
  <c r="D56" i="33"/>
  <c r="H75" i="33"/>
  <c r="J75" i="33"/>
  <c r="M75" i="33" s="1"/>
  <c r="F75" i="33"/>
  <c r="D75" i="33"/>
  <c r="L75" i="33" s="1"/>
  <c r="I75" i="33" l="1"/>
  <c r="M55" i="10"/>
  <c r="M56" i="10"/>
  <c r="L55" i="10"/>
  <c r="L56" i="10"/>
  <c r="I55" i="10"/>
  <c r="I56" i="10"/>
  <c r="H55" i="10"/>
  <c r="H56" i="10"/>
  <c r="G56" i="10"/>
  <c r="F54" i="10"/>
  <c r="G55" i="10"/>
  <c r="J54" i="10" l="1"/>
  <c r="K56" i="10"/>
  <c r="K55" i="10"/>
  <c r="D54" i="10"/>
  <c r="D54" i="33"/>
  <c r="D53" i="33"/>
  <c r="D52" i="33"/>
  <c r="D51" i="33"/>
  <c r="D50" i="33"/>
  <c r="D35" i="33"/>
  <c r="J71" i="32"/>
  <c r="J75" i="32"/>
  <c r="D64" i="32"/>
  <c r="D71" i="32"/>
  <c r="D75" i="32"/>
  <c r="D33" i="32"/>
  <c r="F65" i="10" l="1"/>
  <c r="L68" i="10"/>
  <c r="K68" i="10"/>
  <c r="I68" i="10"/>
  <c r="H68" i="10"/>
  <c r="M68" i="10" s="1"/>
  <c r="C33" i="10" l="1"/>
  <c r="F62" i="33" l="1"/>
  <c r="J35" i="33"/>
  <c r="F39" i="32"/>
  <c r="F35" i="33" s="1"/>
  <c r="I46" i="32"/>
  <c r="I38" i="32"/>
  <c r="H14" i="32" l="1"/>
  <c r="L14" i="32" s="1"/>
  <c r="D15" i="32"/>
  <c r="E15" i="32"/>
  <c r="F15" i="32"/>
  <c r="G15" i="32"/>
  <c r="H15" i="32"/>
  <c r="J15" i="32"/>
  <c r="K15" i="32"/>
  <c r="L15" i="32"/>
  <c r="C16" i="32"/>
  <c r="C17" i="32"/>
  <c r="D17" i="32"/>
  <c r="F17" i="32"/>
  <c r="J17" i="32"/>
  <c r="C18" i="32"/>
  <c r="H18" i="32"/>
  <c r="I18" i="32"/>
  <c r="L18" i="32"/>
  <c r="M18" i="32"/>
  <c r="C19" i="32"/>
  <c r="H19" i="32"/>
  <c r="I19" i="32"/>
  <c r="L19" i="32"/>
  <c r="M19" i="32"/>
  <c r="H20" i="32"/>
  <c r="I20" i="32"/>
  <c r="L20" i="32"/>
  <c r="M20" i="32"/>
  <c r="C21" i="32"/>
  <c r="D21" i="32"/>
  <c r="F21" i="32"/>
  <c r="J21" i="32"/>
  <c r="C22" i="32"/>
  <c r="H22" i="32"/>
  <c r="I22" i="32"/>
  <c r="L22" i="32"/>
  <c r="M22" i="32"/>
  <c r="C23" i="32"/>
  <c r="H23" i="32"/>
  <c r="I23" i="32"/>
  <c r="L23" i="32"/>
  <c r="M23" i="32"/>
  <c r="H24" i="32"/>
  <c r="I24" i="32"/>
  <c r="L24" i="32"/>
  <c r="M24" i="32"/>
  <c r="H25" i="32"/>
  <c r="I25" i="32"/>
  <c r="L25" i="32"/>
  <c r="M25" i="32"/>
  <c r="H26" i="32"/>
  <c r="I26" i="32"/>
  <c r="L26" i="32"/>
  <c r="M26" i="32"/>
  <c r="C27" i="32"/>
  <c r="D27" i="32"/>
  <c r="F27" i="32"/>
  <c r="J27" i="32"/>
  <c r="C28" i="32"/>
  <c r="H28" i="32"/>
  <c r="I28" i="32"/>
  <c r="L28" i="32"/>
  <c r="M28" i="32"/>
  <c r="C29" i="32"/>
  <c r="H29" i="32"/>
  <c r="I29" i="32"/>
  <c r="L29" i="32"/>
  <c r="M29" i="32"/>
  <c r="H30" i="32"/>
  <c r="I30" i="32"/>
  <c r="L30" i="32"/>
  <c r="M30" i="32"/>
  <c r="H31" i="32"/>
  <c r="I31" i="32"/>
  <c r="L31" i="32"/>
  <c r="M31" i="32"/>
  <c r="C32" i="32"/>
  <c r="H32" i="32"/>
  <c r="I32" i="32"/>
  <c r="L32" i="32"/>
  <c r="M32" i="32"/>
  <c r="C33" i="32"/>
  <c r="F33" i="32"/>
  <c r="J33" i="32"/>
  <c r="C34" i="32"/>
  <c r="H34" i="32"/>
  <c r="I34" i="32"/>
  <c r="L34" i="32"/>
  <c r="M34" i="32"/>
  <c r="C35" i="32"/>
  <c r="H35" i="32"/>
  <c r="I35" i="32"/>
  <c r="L35" i="32"/>
  <c r="M35" i="32"/>
  <c r="C36" i="32"/>
  <c r="H36" i="32"/>
  <c r="I36" i="32"/>
  <c r="L36" i="32"/>
  <c r="M36" i="32"/>
  <c r="C37" i="32"/>
  <c r="H37" i="32"/>
  <c r="I37" i="32"/>
  <c r="L37" i="32"/>
  <c r="M37" i="32"/>
  <c r="C38" i="32"/>
  <c r="H38" i="32"/>
  <c r="L38" i="32"/>
  <c r="M38" i="32"/>
  <c r="H39" i="32"/>
  <c r="I39" i="32"/>
  <c r="L39" i="32"/>
  <c r="M39" i="32"/>
  <c r="C40" i="32"/>
  <c r="C41" i="32"/>
  <c r="C42" i="32"/>
  <c r="D42" i="32"/>
  <c r="F42" i="32"/>
  <c r="J42" i="32"/>
  <c r="C43" i="32"/>
  <c r="H43" i="32"/>
  <c r="I43" i="32"/>
  <c r="L43" i="32"/>
  <c r="M43" i="32"/>
  <c r="C44" i="32"/>
  <c r="H44" i="32"/>
  <c r="I44" i="32"/>
  <c r="L44" i="32"/>
  <c r="M44" i="32"/>
  <c r="C45" i="32"/>
  <c r="H45" i="32"/>
  <c r="I45" i="32"/>
  <c r="L45" i="32"/>
  <c r="M45" i="32"/>
  <c r="C46" i="32"/>
  <c r="H46" i="32"/>
  <c r="L46" i="32"/>
  <c r="M46" i="32"/>
  <c r="C47" i="32"/>
  <c r="H47" i="32"/>
  <c r="I47" i="32"/>
  <c r="L47" i="32"/>
  <c r="M47" i="32"/>
  <c r="C48" i="32"/>
  <c r="H48" i="32"/>
  <c r="I48" i="32"/>
  <c r="L48" i="32"/>
  <c r="M48" i="32"/>
  <c r="C49" i="32"/>
  <c r="H49" i="32"/>
  <c r="I49" i="32"/>
  <c r="L49" i="32"/>
  <c r="M49" i="32"/>
  <c r="C50" i="32"/>
  <c r="H50" i="32"/>
  <c r="I50" i="32"/>
  <c r="L50" i="32"/>
  <c r="M50" i="32"/>
  <c r="C51" i="32"/>
  <c r="H51" i="32"/>
  <c r="I51" i="32"/>
  <c r="L51" i="32"/>
  <c r="M51" i="32"/>
  <c r="C52" i="32"/>
  <c r="D52" i="32"/>
  <c r="F52" i="32"/>
  <c r="J52" i="32"/>
  <c r="H53" i="32"/>
  <c r="I53" i="32"/>
  <c r="L53" i="32"/>
  <c r="M53" i="32"/>
  <c r="H54" i="32"/>
  <c r="I54" i="32"/>
  <c r="L54" i="32"/>
  <c r="M54" i="32"/>
  <c r="C55" i="32"/>
  <c r="D55" i="32"/>
  <c r="F55" i="32"/>
  <c r="J55" i="32"/>
  <c r="H56" i="32"/>
  <c r="I56" i="32"/>
  <c r="L56" i="32"/>
  <c r="M56" i="32"/>
  <c r="H57" i="32"/>
  <c r="I57" i="32"/>
  <c r="L57" i="32"/>
  <c r="M57" i="32"/>
  <c r="C58" i="32"/>
  <c r="H58" i="32"/>
  <c r="I58" i="32"/>
  <c r="L58" i="32"/>
  <c r="M58" i="32"/>
  <c r="C59" i="32"/>
  <c r="H59" i="32"/>
  <c r="I59" i="32"/>
  <c r="L59" i="32"/>
  <c r="M59" i="32"/>
  <c r="C60" i="32"/>
  <c r="H60" i="32"/>
  <c r="I60" i="32"/>
  <c r="L60" i="32"/>
  <c r="M60" i="32"/>
  <c r="H61" i="32"/>
  <c r="I61" i="32"/>
  <c r="L61" i="32"/>
  <c r="M61" i="32"/>
  <c r="H63" i="32"/>
  <c r="J63" i="32" s="1"/>
  <c r="L63" i="32" s="1"/>
  <c r="C64" i="32"/>
  <c r="C65" i="32"/>
  <c r="C66" i="32"/>
  <c r="D66" i="32"/>
  <c r="F66" i="32"/>
  <c r="J66" i="32"/>
  <c r="C67" i="32"/>
  <c r="H67" i="32"/>
  <c r="I67" i="32"/>
  <c r="L67" i="32"/>
  <c r="M67" i="32"/>
  <c r="C68" i="32"/>
  <c r="H68" i="32"/>
  <c r="I68" i="32"/>
  <c r="L68" i="32"/>
  <c r="M68" i="32"/>
  <c r="C69" i="32"/>
  <c r="H69" i="32"/>
  <c r="I69" i="32"/>
  <c r="L69" i="32"/>
  <c r="M69" i="32"/>
  <c r="C70" i="32"/>
  <c r="C71" i="32"/>
  <c r="C72" i="32"/>
  <c r="H72" i="32"/>
  <c r="I72" i="32"/>
  <c r="L72" i="32"/>
  <c r="M72" i="32"/>
  <c r="C73" i="32"/>
  <c r="H73" i="32"/>
  <c r="I73" i="32"/>
  <c r="L73" i="32"/>
  <c r="M73" i="32"/>
  <c r="C74" i="32"/>
  <c r="H74" i="32"/>
  <c r="I74" i="32"/>
  <c r="L74" i="32"/>
  <c r="M74" i="32"/>
  <c r="C75" i="32"/>
  <c r="H76" i="32"/>
  <c r="I76" i="32"/>
  <c r="L76" i="32"/>
  <c r="M76" i="32"/>
  <c r="H55" i="32" l="1"/>
  <c r="I33" i="32"/>
  <c r="H52" i="32"/>
  <c r="J16" i="32"/>
  <c r="H66" i="32"/>
  <c r="M33" i="32"/>
  <c r="L55" i="32"/>
  <c r="L52" i="32"/>
  <c r="H17" i="32"/>
  <c r="L66" i="32"/>
  <c r="F16" i="32"/>
  <c r="L17" i="32"/>
  <c r="D16" i="32"/>
  <c r="I52" i="32"/>
  <c r="M52" i="32"/>
  <c r="D40" i="32"/>
  <c r="M42" i="32"/>
  <c r="I42" i="32"/>
  <c r="L33" i="32"/>
  <c r="H33" i="32"/>
  <c r="M27" i="32"/>
  <c r="I27" i="32"/>
  <c r="M21" i="32"/>
  <c r="I21" i="32"/>
  <c r="M66" i="32"/>
  <c r="I66" i="32"/>
  <c r="M55" i="32"/>
  <c r="I55" i="32"/>
  <c r="L42" i="32"/>
  <c r="H42" i="32"/>
  <c r="J40" i="32"/>
  <c r="F40" i="32"/>
  <c r="L27" i="32"/>
  <c r="H27" i="32"/>
  <c r="L21" i="32"/>
  <c r="H21" i="32"/>
  <c r="M17" i="32"/>
  <c r="I17" i="32"/>
  <c r="J64" i="32" l="1"/>
  <c r="J70" i="32" s="1"/>
  <c r="F64" i="32"/>
  <c r="H16" i="32"/>
  <c r="D70" i="32"/>
  <c r="M16" i="32"/>
  <c r="I16" i="32"/>
  <c r="L16" i="32"/>
  <c r="I40" i="32"/>
  <c r="M40" i="32"/>
  <c r="L40" i="32"/>
  <c r="D41" i="32"/>
  <c r="H40" i="32"/>
  <c r="F41" i="32"/>
  <c r="J41" i="32"/>
  <c r="J65" i="32" l="1"/>
  <c r="D65" i="32"/>
  <c r="M64" i="32"/>
  <c r="I64" i="32"/>
  <c r="L64" i="32"/>
  <c r="M41" i="32"/>
  <c r="H41" i="32"/>
  <c r="L41" i="32"/>
  <c r="I41" i="32"/>
  <c r="L70" i="32"/>
  <c r="F70" i="32"/>
  <c r="F65" i="32"/>
  <c r="H64" i="32"/>
  <c r="D63" i="33"/>
  <c r="D47" i="33"/>
  <c r="D57" i="33"/>
  <c r="D55" i="33" s="1"/>
  <c r="E56" i="10"/>
  <c r="E55" i="10"/>
  <c r="J62" i="33"/>
  <c r="M65" i="32" l="1"/>
  <c r="L65" i="32"/>
  <c r="M70" i="32"/>
  <c r="H70" i="32"/>
  <c r="I65" i="32"/>
  <c r="I70" i="32"/>
  <c r="H65" i="32"/>
  <c r="F75" i="32"/>
  <c r="F71" i="32" s="1"/>
  <c r="M71" i="32" l="1"/>
  <c r="I75" i="32"/>
  <c r="L75" i="32"/>
  <c r="M75" i="32"/>
  <c r="H75" i="32"/>
  <c r="I71" i="32" l="1"/>
  <c r="L71" i="32"/>
  <c r="H71" i="32"/>
  <c r="J34" i="33" l="1"/>
  <c r="D74" i="33"/>
  <c r="D73" i="33"/>
  <c r="D72" i="33"/>
  <c r="D68" i="33"/>
  <c r="D67" i="33"/>
  <c r="D62" i="33"/>
  <c r="D61" i="33"/>
  <c r="D60" i="33"/>
  <c r="D59" i="33"/>
  <c r="D58" i="33"/>
  <c r="D48" i="33"/>
  <c r="D46" i="33"/>
  <c r="D45" i="33"/>
  <c r="D44" i="33"/>
  <c r="D43" i="33"/>
  <c r="D42" i="33"/>
  <c r="D41" i="33"/>
  <c r="D40" i="33"/>
  <c r="D39" i="33"/>
  <c r="D34" i="33"/>
  <c r="D33" i="33"/>
  <c r="D32" i="33"/>
  <c r="D31" i="33"/>
  <c r="D25" i="33"/>
  <c r="D24" i="33"/>
  <c r="D23" i="33"/>
  <c r="D22" i="33"/>
  <c r="D21" i="33"/>
  <c r="D20" i="33"/>
  <c r="D19" i="33"/>
  <c r="D18" i="33"/>
  <c r="L73" i="10" l="1"/>
  <c r="F31" i="33" l="1"/>
  <c r="D37" i="10"/>
  <c r="D48" i="10"/>
  <c r="D17" i="10"/>
  <c r="E17" i="10" s="1"/>
  <c r="D25" i="10"/>
  <c r="J65" i="10"/>
  <c r="G65" i="10"/>
  <c r="D65" i="10"/>
  <c r="J67" i="33"/>
  <c r="L67" i="33" s="1"/>
  <c r="J68" i="33"/>
  <c r="F67" i="33"/>
  <c r="F68" i="33"/>
  <c r="J17" i="10"/>
  <c r="J25" i="10"/>
  <c r="F32" i="33"/>
  <c r="J37" i="10"/>
  <c r="H73" i="10"/>
  <c r="M73" i="10" s="1"/>
  <c r="H72" i="10"/>
  <c r="M72" i="10" s="1"/>
  <c r="H71" i="10"/>
  <c r="M71" i="10" s="1"/>
  <c r="M59" i="10"/>
  <c r="M58" i="10"/>
  <c r="M57" i="10"/>
  <c r="M54" i="10"/>
  <c r="M53" i="10"/>
  <c r="M52" i="10"/>
  <c r="M51" i="10"/>
  <c r="M50" i="10"/>
  <c r="M49" i="10"/>
  <c r="M47" i="10"/>
  <c r="M46" i="10"/>
  <c r="M45" i="10"/>
  <c r="M44" i="10"/>
  <c r="M43" i="10"/>
  <c r="M42" i="10"/>
  <c r="M41" i="10"/>
  <c r="M40" i="10"/>
  <c r="M39" i="10"/>
  <c r="M38" i="10"/>
  <c r="M34" i="10"/>
  <c r="M33" i="10"/>
  <c r="M32" i="10"/>
  <c r="M31" i="10"/>
  <c r="M30" i="10"/>
  <c r="M29" i="10"/>
  <c r="M28" i="10"/>
  <c r="M27" i="10"/>
  <c r="M26" i="10"/>
  <c r="M24" i="10"/>
  <c r="M23" i="10"/>
  <c r="M22" i="10"/>
  <c r="M21" i="10"/>
  <c r="M20" i="10"/>
  <c r="M19" i="10"/>
  <c r="M18" i="10"/>
  <c r="L57" i="10"/>
  <c r="M60" i="10"/>
  <c r="F25" i="10"/>
  <c r="F17" i="10"/>
  <c r="G79" i="36"/>
  <c r="J78" i="36"/>
  <c r="I78" i="36"/>
  <c r="H78" i="36"/>
  <c r="F78" i="36"/>
  <c r="D78" i="36"/>
  <c r="J77" i="36"/>
  <c r="I77" i="36"/>
  <c r="H77" i="36"/>
  <c r="F77" i="36"/>
  <c r="D77" i="36"/>
  <c r="J76" i="36"/>
  <c r="I76" i="36"/>
  <c r="H76" i="36"/>
  <c r="F76" i="36"/>
  <c r="D76" i="36"/>
  <c r="H74" i="36"/>
  <c r="J73" i="36"/>
  <c r="I73" i="36"/>
  <c r="H73" i="36"/>
  <c r="F73" i="36"/>
  <c r="D73" i="36"/>
  <c r="J72" i="36"/>
  <c r="I72" i="36"/>
  <c r="H72" i="36"/>
  <c r="F72" i="36"/>
  <c r="D72" i="36"/>
  <c r="J71" i="36"/>
  <c r="I71" i="36"/>
  <c r="H71" i="36"/>
  <c r="F71" i="36"/>
  <c r="D71" i="36"/>
  <c r="H70" i="36"/>
  <c r="G70" i="36"/>
  <c r="E70" i="36"/>
  <c r="J70" i="36" s="1"/>
  <c r="D70" i="36"/>
  <c r="C70" i="36"/>
  <c r="J67" i="36"/>
  <c r="I67" i="36"/>
  <c r="H67" i="36"/>
  <c r="F67" i="36"/>
  <c r="D67" i="36"/>
  <c r="J66" i="36"/>
  <c r="I66" i="36"/>
  <c r="H66" i="36"/>
  <c r="F66" i="36"/>
  <c r="D66" i="36"/>
  <c r="J65" i="36"/>
  <c r="I65" i="36"/>
  <c r="H65" i="36"/>
  <c r="F65" i="36"/>
  <c r="D65" i="36"/>
  <c r="J64" i="36"/>
  <c r="I64" i="36"/>
  <c r="H64" i="36"/>
  <c r="F64" i="36"/>
  <c r="D64" i="36"/>
  <c r="J63" i="36"/>
  <c r="I63" i="36"/>
  <c r="H63" i="36"/>
  <c r="F63" i="36"/>
  <c r="D63" i="36"/>
  <c r="J62" i="36"/>
  <c r="I62" i="36"/>
  <c r="H62" i="36"/>
  <c r="F62" i="36"/>
  <c r="D62" i="36"/>
  <c r="J61" i="36"/>
  <c r="I61" i="36"/>
  <c r="H61" i="36"/>
  <c r="F61" i="36"/>
  <c r="D61" i="36"/>
  <c r="G60" i="36"/>
  <c r="E60" i="36"/>
  <c r="C60" i="36"/>
  <c r="D60" i="36" s="1"/>
  <c r="J59" i="36"/>
  <c r="I59" i="36"/>
  <c r="H59" i="36"/>
  <c r="F59" i="36"/>
  <c r="D59" i="36"/>
  <c r="J58" i="36"/>
  <c r="I58" i="36"/>
  <c r="H58" i="36"/>
  <c r="F58" i="36"/>
  <c r="D58" i="36"/>
  <c r="J57" i="36"/>
  <c r="I57" i="36"/>
  <c r="H57" i="36"/>
  <c r="F57" i="36"/>
  <c r="D57" i="36"/>
  <c r="J56" i="36"/>
  <c r="I56" i="36"/>
  <c r="H56" i="36"/>
  <c r="F56" i="36"/>
  <c r="D56" i="36"/>
  <c r="J55" i="36"/>
  <c r="I55" i="36"/>
  <c r="H55" i="36"/>
  <c r="F55" i="36"/>
  <c r="D55" i="36"/>
  <c r="G54" i="36"/>
  <c r="H54" i="36" s="1"/>
  <c r="E54" i="36"/>
  <c r="F54" i="36" s="1"/>
  <c r="C54" i="36"/>
  <c r="D54" i="36" s="1"/>
  <c r="J53" i="36"/>
  <c r="I53" i="36"/>
  <c r="H53" i="36"/>
  <c r="F53" i="36"/>
  <c r="D53" i="36"/>
  <c r="J52" i="36"/>
  <c r="I52" i="36"/>
  <c r="H52" i="36"/>
  <c r="F52" i="36"/>
  <c r="D52" i="36"/>
  <c r="J51" i="36"/>
  <c r="I51" i="36"/>
  <c r="H51" i="36"/>
  <c r="F51" i="36"/>
  <c r="D51" i="36"/>
  <c r="J50" i="36"/>
  <c r="I50" i="36"/>
  <c r="H50" i="36"/>
  <c r="F50" i="36"/>
  <c r="D50" i="36"/>
  <c r="J49" i="36"/>
  <c r="I49" i="36"/>
  <c r="H49" i="36"/>
  <c r="F49" i="36"/>
  <c r="D49" i="36"/>
  <c r="J48" i="36"/>
  <c r="I48" i="36"/>
  <c r="H48" i="36"/>
  <c r="F48" i="36"/>
  <c r="D48" i="36"/>
  <c r="J47" i="36"/>
  <c r="I47" i="36"/>
  <c r="H47" i="36"/>
  <c r="F47" i="36"/>
  <c r="D47" i="36"/>
  <c r="J46" i="36"/>
  <c r="I46" i="36"/>
  <c r="H46" i="36"/>
  <c r="F46" i="36"/>
  <c r="D46" i="36"/>
  <c r="J45" i="36"/>
  <c r="I45" i="36"/>
  <c r="H45" i="36"/>
  <c r="F45" i="36"/>
  <c r="D45" i="36"/>
  <c r="J44" i="36"/>
  <c r="I44" i="36"/>
  <c r="H44" i="36"/>
  <c r="F44" i="36"/>
  <c r="D44" i="36"/>
  <c r="G43" i="36"/>
  <c r="E43" i="36"/>
  <c r="F43" i="36" s="1"/>
  <c r="C43" i="36"/>
  <c r="D43" i="36" s="1"/>
  <c r="J40" i="36"/>
  <c r="I40" i="36"/>
  <c r="H40" i="36"/>
  <c r="F40" i="36"/>
  <c r="D40" i="36"/>
  <c r="J39" i="36"/>
  <c r="I39" i="36"/>
  <c r="H39" i="36"/>
  <c r="F39" i="36"/>
  <c r="D39" i="36"/>
  <c r="J38" i="36"/>
  <c r="I38" i="36"/>
  <c r="H38" i="36"/>
  <c r="F38" i="36"/>
  <c r="D38" i="36"/>
  <c r="J37" i="36"/>
  <c r="I37" i="36"/>
  <c r="H37" i="36"/>
  <c r="F37" i="36"/>
  <c r="D37" i="36"/>
  <c r="J36" i="36"/>
  <c r="I36" i="36"/>
  <c r="H36" i="36"/>
  <c r="F36" i="36"/>
  <c r="D36" i="36"/>
  <c r="J35" i="36"/>
  <c r="I35" i="36"/>
  <c r="H35" i="36"/>
  <c r="F35" i="36"/>
  <c r="D35" i="36"/>
  <c r="G34" i="36"/>
  <c r="H34" i="36" s="1"/>
  <c r="E34" i="36"/>
  <c r="F34" i="36" s="1"/>
  <c r="D34" i="36"/>
  <c r="C34" i="36"/>
  <c r="J33" i="36"/>
  <c r="I33" i="36"/>
  <c r="H33" i="36"/>
  <c r="F33" i="36"/>
  <c r="D33" i="36"/>
  <c r="J32" i="36"/>
  <c r="I32" i="36"/>
  <c r="H32" i="36"/>
  <c r="F32" i="36"/>
  <c r="D32" i="36"/>
  <c r="J31" i="36"/>
  <c r="I31" i="36"/>
  <c r="H31" i="36"/>
  <c r="F31" i="36"/>
  <c r="D31" i="36"/>
  <c r="J30" i="36"/>
  <c r="I30" i="36"/>
  <c r="H30" i="36"/>
  <c r="F30" i="36"/>
  <c r="D30" i="36"/>
  <c r="J29" i="36"/>
  <c r="I29" i="36"/>
  <c r="H29" i="36"/>
  <c r="F29" i="36"/>
  <c r="D29" i="36"/>
  <c r="J28" i="36"/>
  <c r="I28" i="36"/>
  <c r="H28" i="36"/>
  <c r="F28" i="36"/>
  <c r="D28" i="36"/>
  <c r="G27" i="36"/>
  <c r="H27" i="36" s="1"/>
  <c r="E27" i="36"/>
  <c r="F27" i="36" s="1"/>
  <c r="C27" i="36"/>
  <c r="D27" i="36" s="1"/>
  <c r="J26" i="36"/>
  <c r="I26" i="36"/>
  <c r="H26" i="36"/>
  <c r="F26" i="36"/>
  <c r="D26" i="36"/>
  <c r="J25" i="36"/>
  <c r="I25" i="36"/>
  <c r="H25" i="36"/>
  <c r="F25" i="36"/>
  <c r="D25" i="36"/>
  <c r="J24" i="36"/>
  <c r="I24" i="36"/>
  <c r="H24" i="36"/>
  <c r="F24" i="36"/>
  <c r="D24" i="36"/>
  <c r="J23" i="36"/>
  <c r="I23" i="36"/>
  <c r="H23" i="36"/>
  <c r="F23" i="36"/>
  <c r="D23" i="36"/>
  <c r="G22" i="36"/>
  <c r="H22" i="36" s="1"/>
  <c r="F22" i="36"/>
  <c r="E22" i="36"/>
  <c r="C22" i="36"/>
  <c r="D22" i="36" s="1"/>
  <c r="J21" i="36"/>
  <c r="I21" i="36"/>
  <c r="H21" i="36"/>
  <c r="F21" i="36"/>
  <c r="D21" i="36"/>
  <c r="J20" i="36"/>
  <c r="I20" i="36"/>
  <c r="H20" i="36"/>
  <c r="F20" i="36"/>
  <c r="D20" i="36"/>
  <c r="J19" i="36"/>
  <c r="I19" i="36"/>
  <c r="H19" i="36"/>
  <c r="F19" i="36"/>
  <c r="D19" i="36"/>
  <c r="L18" i="36"/>
  <c r="J18" i="36"/>
  <c r="I18" i="36"/>
  <c r="H18" i="36"/>
  <c r="F18" i="36"/>
  <c r="D18" i="36"/>
  <c r="G17" i="36"/>
  <c r="H17" i="36" s="1"/>
  <c r="E17" i="36"/>
  <c r="F17" i="36" s="1"/>
  <c r="C17" i="36"/>
  <c r="D17" i="36" s="1"/>
  <c r="J16" i="36"/>
  <c r="I16" i="36"/>
  <c r="H16" i="36"/>
  <c r="F16" i="36"/>
  <c r="D16" i="36"/>
  <c r="J15" i="36"/>
  <c r="I15" i="36"/>
  <c r="H15" i="36"/>
  <c r="F15" i="36"/>
  <c r="D15" i="36"/>
  <c r="J14" i="36"/>
  <c r="I14" i="36"/>
  <c r="H14" i="36"/>
  <c r="F14" i="36"/>
  <c r="D14" i="36"/>
  <c r="M13" i="36"/>
  <c r="L13" i="36"/>
  <c r="J13" i="36"/>
  <c r="I13" i="36"/>
  <c r="H13" i="36"/>
  <c r="F13" i="36"/>
  <c r="D13" i="36"/>
  <c r="J12" i="36"/>
  <c r="I12" i="36"/>
  <c r="H12" i="36"/>
  <c r="F12" i="36"/>
  <c r="D12" i="36"/>
  <c r="J11" i="36"/>
  <c r="I11" i="36"/>
  <c r="H11" i="36"/>
  <c r="F11" i="36"/>
  <c r="D11" i="36"/>
  <c r="J10" i="36"/>
  <c r="I10" i="36"/>
  <c r="H10" i="36"/>
  <c r="F10" i="36"/>
  <c r="D10" i="36"/>
  <c r="G9" i="36"/>
  <c r="G8" i="36" s="1"/>
  <c r="L16" i="36" s="1"/>
  <c r="E9" i="36"/>
  <c r="F9" i="36" s="1"/>
  <c r="C9" i="36"/>
  <c r="C8" i="36" s="1"/>
  <c r="D7" i="36"/>
  <c r="C7" i="36"/>
  <c r="P7" i="31"/>
  <c r="P6" i="31"/>
  <c r="P5" i="31"/>
  <c r="E22" i="30"/>
  <c r="E21" i="30"/>
  <c r="E20" i="30"/>
  <c r="E19" i="30"/>
  <c r="E18" i="30" s="1"/>
  <c r="G18" i="30" s="1"/>
  <c r="E15" i="30"/>
  <c r="E14" i="30"/>
  <c r="E13" i="30"/>
  <c r="E12" i="30" s="1"/>
  <c r="G12" i="30" s="1"/>
  <c r="E11" i="30"/>
  <c r="E9" i="30"/>
  <c r="E7" i="30"/>
  <c r="G7" i="30" s="1"/>
  <c r="E8" i="30"/>
  <c r="D58" i="29"/>
  <c r="D57" i="29"/>
  <c r="D56" i="29" s="1"/>
  <c r="D55" i="29" s="1"/>
  <c r="D53" i="29"/>
  <c r="D52" i="29" s="1"/>
  <c r="D45" i="29"/>
  <c r="D44" i="29"/>
  <c r="D37" i="29"/>
  <c r="D36" i="29" s="1"/>
  <c r="D35" i="29"/>
  <c r="D34" i="29"/>
  <c r="D33" i="29"/>
  <c r="D32" i="29"/>
  <c r="D31" i="29" s="1"/>
  <c r="D30" i="29"/>
  <c r="D29" i="29"/>
  <c r="D28" i="29"/>
  <c r="D27" i="29"/>
  <c r="D26" i="29"/>
  <c r="D25" i="29"/>
  <c r="D24" i="29" s="1"/>
  <c r="D23" i="29"/>
  <c r="D22" i="29"/>
  <c r="D21" i="29"/>
  <c r="D20" i="29"/>
  <c r="D19" i="29"/>
  <c r="D18" i="29"/>
  <c r="D17" i="29"/>
  <c r="D16" i="29"/>
  <c r="D15" i="29"/>
  <c r="D14" i="29" s="1"/>
  <c r="D13" i="29"/>
  <c r="D12" i="29"/>
  <c r="D11" i="29"/>
  <c r="D10" i="29"/>
  <c r="D9" i="29"/>
  <c r="D8" i="29"/>
  <c r="D7" i="29"/>
  <c r="D6" i="29" s="1"/>
  <c r="F4" i="29"/>
  <c r="C77" i="33"/>
  <c r="J74" i="33"/>
  <c r="F74" i="33"/>
  <c r="J73" i="33"/>
  <c r="F73" i="33"/>
  <c r="J72" i="33"/>
  <c r="F72" i="33"/>
  <c r="J69" i="33"/>
  <c r="F69" i="33"/>
  <c r="D69" i="33"/>
  <c r="J63" i="33"/>
  <c r="F63" i="33"/>
  <c r="I62" i="33"/>
  <c r="J61" i="33"/>
  <c r="F61" i="33"/>
  <c r="J60" i="33"/>
  <c r="F60" i="33"/>
  <c r="J59" i="33"/>
  <c r="F59" i="33"/>
  <c r="J58" i="33"/>
  <c r="F58" i="33"/>
  <c r="J57" i="33"/>
  <c r="F57" i="33"/>
  <c r="I57" i="33" s="1"/>
  <c r="J54" i="33"/>
  <c r="F54" i="33"/>
  <c r="J53" i="33"/>
  <c r="F53" i="33"/>
  <c r="J52" i="33"/>
  <c r="F52" i="33"/>
  <c r="J51" i="33"/>
  <c r="F51" i="33"/>
  <c r="J50" i="33"/>
  <c r="F50" i="33"/>
  <c r="J48" i="10"/>
  <c r="J49" i="33" s="1"/>
  <c r="F48" i="10"/>
  <c r="F49" i="33" s="1"/>
  <c r="J48" i="33"/>
  <c r="F48" i="33"/>
  <c r="J47" i="33"/>
  <c r="F47" i="33"/>
  <c r="J46" i="33"/>
  <c r="F46" i="33"/>
  <c r="J45" i="33"/>
  <c r="F45" i="33"/>
  <c r="J44" i="33"/>
  <c r="F44" i="33"/>
  <c r="J43" i="33"/>
  <c r="F43" i="33"/>
  <c r="J42" i="33"/>
  <c r="F42" i="33"/>
  <c r="J41" i="33"/>
  <c r="F41" i="33"/>
  <c r="J40" i="33"/>
  <c r="F40" i="33"/>
  <c r="J39" i="33"/>
  <c r="F39" i="33"/>
  <c r="F34" i="33"/>
  <c r="C34" i="33"/>
  <c r="J33" i="33"/>
  <c r="F33" i="33"/>
  <c r="C33" i="33"/>
  <c r="J32" i="33"/>
  <c r="C32" i="33"/>
  <c r="J31" i="33"/>
  <c r="C31" i="33"/>
  <c r="J30" i="33"/>
  <c r="F30" i="33"/>
  <c r="D30" i="33"/>
  <c r="C30" i="33"/>
  <c r="J29" i="33"/>
  <c r="F29" i="33"/>
  <c r="D29" i="33"/>
  <c r="C29" i="33"/>
  <c r="J28" i="33"/>
  <c r="F28" i="33"/>
  <c r="D28" i="33"/>
  <c r="C28" i="33"/>
  <c r="J27" i="33"/>
  <c r="F27" i="33"/>
  <c r="D27" i="33"/>
  <c r="C27" i="33"/>
  <c r="C26" i="33"/>
  <c r="J25" i="33"/>
  <c r="F25" i="33"/>
  <c r="J24" i="33"/>
  <c r="F24" i="33"/>
  <c r="J23" i="33"/>
  <c r="F23" i="33"/>
  <c r="C23" i="33"/>
  <c r="J22" i="33"/>
  <c r="F22" i="33"/>
  <c r="C22" i="33"/>
  <c r="J21" i="33"/>
  <c r="F21" i="33"/>
  <c r="C21" i="33"/>
  <c r="J20" i="33"/>
  <c r="F20" i="33"/>
  <c r="C20" i="33"/>
  <c r="J19" i="33"/>
  <c r="F19" i="33"/>
  <c r="C19" i="33"/>
  <c r="J18" i="33"/>
  <c r="F18" i="33"/>
  <c r="C18" i="33"/>
  <c r="C17" i="33"/>
  <c r="C16" i="33"/>
  <c r="L15" i="33"/>
  <c r="K15" i="33"/>
  <c r="J15" i="33"/>
  <c r="H15" i="33"/>
  <c r="G15" i="33"/>
  <c r="F15" i="33"/>
  <c r="E15" i="33"/>
  <c r="D15" i="33"/>
  <c r="C15" i="33"/>
  <c r="H14" i="33"/>
  <c r="L14" i="33" s="1"/>
  <c r="J11" i="33"/>
  <c r="D11" i="33"/>
  <c r="C11" i="33"/>
  <c r="C77" i="32"/>
  <c r="K11" i="32"/>
  <c r="J11" i="32"/>
  <c r="D11" i="32"/>
  <c r="C75" i="10"/>
  <c r="K17" i="10"/>
  <c r="K25" i="10"/>
  <c r="F37" i="10"/>
  <c r="F35" i="10" s="1"/>
  <c r="K73" i="10"/>
  <c r="I73" i="10"/>
  <c r="G73" i="10"/>
  <c r="E73" i="10"/>
  <c r="L72" i="10"/>
  <c r="K72" i="10"/>
  <c r="I72" i="10"/>
  <c r="G72" i="10"/>
  <c r="E72" i="10"/>
  <c r="L71" i="10"/>
  <c r="K71" i="10"/>
  <c r="I71" i="10"/>
  <c r="G71" i="10"/>
  <c r="E71" i="10"/>
  <c r="G68" i="10"/>
  <c r="E68" i="10"/>
  <c r="L67" i="10"/>
  <c r="K67" i="10"/>
  <c r="I67" i="10"/>
  <c r="H67" i="10"/>
  <c r="M67" i="10" s="1"/>
  <c r="G67" i="10"/>
  <c r="E67" i="10"/>
  <c r="L66" i="10"/>
  <c r="K66" i="10"/>
  <c r="I66" i="10"/>
  <c r="H66" i="10"/>
  <c r="M66" i="10" s="1"/>
  <c r="G66" i="10"/>
  <c r="E66" i="10"/>
  <c r="K65" i="10"/>
  <c r="L62" i="10"/>
  <c r="K62" i="10"/>
  <c r="I62" i="10"/>
  <c r="H62" i="10"/>
  <c r="M62" i="10" s="1"/>
  <c r="G62" i="10"/>
  <c r="E62" i="10"/>
  <c r="L61" i="10"/>
  <c r="K61" i="10"/>
  <c r="I61" i="10"/>
  <c r="H61" i="10"/>
  <c r="M61" i="10" s="1"/>
  <c r="G61" i="10"/>
  <c r="E61" i="10"/>
  <c r="L60" i="10"/>
  <c r="K60" i="10"/>
  <c r="I60" i="10"/>
  <c r="H60" i="10"/>
  <c r="G60" i="10"/>
  <c r="E60" i="10"/>
  <c r="L59" i="10"/>
  <c r="K59" i="10"/>
  <c r="I59" i="10"/>
  <c r="H59" i="10"/>
  <c r="G59" i="10"/>
  <c r="E59" i="10"/>
  <c r="L58" i="10"/>
  <c r="K58" i="10"/>
  <c r="I58" i="10"/>
  <c r="H58" i="10"/>
  <c r="G58" i="10"/>
  <c r="E58" i="10"/>
  <c r="K57" i="10"/>
  <c r="I57" i="10"/>
  <c r="H57" i="10"/>
  <c r="G57" i="10"/>
  <c r="E57" i="10"/>
  <c r="L54" i="10"/>
  <c r="K54" i="10"/>
  <c r="I54" i="10"/>
  <c r="H54" i="10"/>
  <c r="G54" i="10"/>
  <c r="E54" i="10"/>
  <c r="L53" i="10"/>
  <c r="K53" i="10"/>
  <c r="I53" i="10"/>
  <c r="H53" i="10"/>
  <c r="G53" i="10"/>
  <c r="E53" i="10"/>
  <c r="L52" i="10"/>
  <c r="K52" i="10"/>
  <c r="I52" i="10"/>
  <c r="H52" i="10"/>
  <c r="G52" i="10"/>
  <c r="E52" i="10"/>
  <c r="L51" i="10"/>
  <c r="K51" i="10"/>
  <c r="I51" i="10"/>
  <c r="H51" i="10"/>
  <c r="G51" i="10"/>
  <c r="E51" i="10"/>
  <c r="L50" i="10"/>
  <c r="K50" i="10"/>
  <c r="I50" i="10"/>
  <c r="H50" i="10"/>
  <c r="G50" i="10"/>
  <c r="E50" i="10"/>
  <c r="L49" i="10"/>
  <c r="K49" i="10"/>
  <c r="I49" i="10"/>
  <c r="H49" i="10"/>
  <c r="G49" i="10"/>
  <c r="E49" i="10"/>
  <c r="L47" i="10"/>
  <c r="K47" i="10"/>
  <c r="I47" i="10"/>
  <c r="H47" i="10"/>
  <c r="G47" i="10"/>
  <c r="E47" i="10"/>
  <c r="L46" i="10"/>
  <c r="K46" i="10"/>
  <c r="I46" i="10"/>
  <c r="H46" i="10"/>
  <c r="G46" i="10"/>
  <c r="E46" i="10"/>
  <c r="L45" i="10"/>
  <c r="K45" i="10"/>
  <c r="I45" i="10"/>
  <c r="H45" i="10"/>
  <c r="G45" i="10"/>
  <c r="E45" i="10"/>
  <c r="L44" i="10"/>
  <c r="K44" i="10"/>
  <c r="I44" i="10"/>
  <c r="H44" i="10"/>
  <c r="G44" i="10"/>
  <c r="E44" i="10"/>
  <c r="L43" i="10"/>
  <c r="K43" i="10"/>
  <c r="I43" i="10"/>
  <c r="H43" i="10"/>
  <c r="G43" i="10"/>
  <c r="E43" i="10"/>
  <c r="L42" i="10"/>
  <c r="K42" i="10"/>
  <c r="I42" i="10"/>
  <c r="H42" i="10"/>
  <c r="G42" i="10"/>
  <c r="E42" i="10"/>
  <c r="L41" i="10"/>
  <c r="K41" i="10"/>
  <c r="I41" i="10"/>
  <c r="H41" i="10"/>
  <c r="G41" i="10"/>
  <c r="E41" i="10"/>
  <c r="L40" i="10"/>
  <c r="K40" i="10"/>
  <c r="I40" i="10"/>
  <c r="H40" i="10"/>
  <c r="G40" i="10"/>
  <c r="E40" i="10"/>
  <c r="L39" i="10"/>
  <c r="K39" i="10"/>
  <c r="I39" i="10"/>
  <c r="H39" i="10"/>
  <c r="G39" i="10"/>
  <c r="E39" i="10"/>
  <c r="L38" i="10"/>
  <c r="K38" i="10"/>
  <c r="I38" i="10"/>
  <c r="H38" i="10"/>
  <c r="G38" i="10"/>
  <c r="E38" i="10"/>
  <c r="L34" i="10"/>
  <c r="K34" i="10"/>
  <c r="I34" i="10"/>
  <c r="H34" i="10"/>
  <c r="G34" i="10"/>
  <c r="E34" i="10"/>
  <c r="L33" i="10"/>
  <c r="K33" i="10"/>
  <c r="I33" i="10"/>
  <c r="H33" i="10"/>
  <c r="G33" i="10"/>
  <c r="E33" i="10"/>
  <c r="L32" i="10"/>
  <c r="K32" i="10"/>
  <c r="I32" i="10"/>
  <c r="H32" i="10"/>
  <c r="G32" i="10"/>
  <c r="E32" i="10"/>
  <c r="C32" i="10"/>
  <c r="L31" i="10"/>
  <c r="K31" i="10"/>
  <c r="I31" i="10"/>
  <c r="H31" i="10"/>
  <c r="G31" i="10"/>
  <c r="E31" i="10"/>
  <c r="C31" i="10"/>
  <c r="L30" i="10"/>
  <c r="K30" i="10"/>
  <c r="I30" i="10"/>
  <c r="H30" i="10"/>
  <c r="G30" i="10"/>
  <c r="E30" i="10"/>
  <c r="C30" i="10"/>
  <c r="L29" i="10"/>
  <c r="K29" i="10"/>
  <c r="I29" i="10"/>
  <c r="H29" i="10"/>
  <c r="G29" i="10"/>
  <c r="E29" i="10"/>
  <c r="C29" i="10"/>
  <c r="L28" i="10"/>
  <c r="K28" i="10"/>
  <c r="I28" i="10"/>
  <c r="H28" i="10"/>
  <c r="G28" i="10"/>
  <c r="E28" i="10"/>
  <c r="C28" i="10"/>
  <c r="L27" i="10"/>
  <c r="K27" i="10"/>
  <c r="I27" i="10"/>
  <c r="H27" i="10"/>
  <c r="G27" i="10"/>
  <c r="E27" i="10"/>
  <c r="C27" i="10"/>
  <c r="L26" i="10"/>
  <c r="K26" i="10"/>
  <c r="I26" i="10"/>
  <c r="H26" i="10"/>
  <c r="G26" i="10"/>
  <c r="E26" i="10"/>
  <c r="C26" i="10"/>
  <c r="I25" i="10"/>
  <c r="G25" i="10"/>
  <c r="C25" i="10"/>
  <c r="L24" i="10"/>
  <c r="K24" i="10"/>
  <c r="I24" i="10"/>
  <c r="H24" i="10"/>
  <c r="G24" i="10"/>
  <c r="E24" i="10"/>
  <c r="L23" i="10"/>
  <c r="K23" i="10"/>
  <c r="I23" i="10"/>
  <c r="H23" i="10"/>
  <c r="G23" i="10"/>
  <c r="E23" i="10"/>
  <c r="C23" i="10"/>
  <c r="L22" i="10"/>
  <c r="K22" i="10"/>
  <c r="I22" i="10"/>
  <c r="H22" i="10"/>
  <c r="G22" i="10"/>
  <c r="E22" i="10"/>
  <c r="C22" i="10"/>
  <c r="L21" i="10"/>
  <c r="K21" i="10"/>
  <c r="I21" i="10"/>
  <c r="H21" i="10"/>
  <c r="G21" i="10"/>
  <c r="E21" i="10"/>
  <c r="C21" i="10"/>
  <c r="L20" i="10"/>
  <c r="K20" i="10"/>
  <c r="I20" i="10"/>
  <c r="H20" i="10"/>
  <c r="G20" i="10"/>
  <c r="E20" i="10"/>
  <c r="C20" i="10"/>
  <c r="L19" i="10"/>
  <c r="K19" i="10"/>
  <c r="I19" i="10"/>
  <c r="H19" i="10"/>
  <c r="G19" i="10"/>
  <c r="E19" i="10"/>
  <c r="C19" i="10"/>
  <c r="L18" i="10"/>
  <c r="K18" i="10"/>
  <c r="I18" i="10"/>
  <c r="H18" i="10"/>
  <c r="G18" i="10"/>
  <c r="E18" i="10"/>
  <c r="C18" i="10"/>
  <c r="C17" i="10"/>
  <c r="C16" i="10"/>
  <c r="E15" i="10"/>
  <c r="D15" i="10"/>
  <c r="C15" i="10"/>
  <c r="L14" i="10"/>
  <c r="C14" i="10"/>
  <c r="C11" i="10"/>
  <c r="C11" i="32" s="1"/>
  <c r="J9" i="10"/>
  <c r="J8" i="10"/>
  <c r="E25" i="10"/>
  <c r="H25" i="10"/>
  <c r="J27" i="36"/>
  <c r="I22" i="36"/>
  <c r="J22" i="36"/>
  <c r="J34" i="36"/>
  <c r="H43" i="36"/>
  <c r="I54" i="36"/>
  <c r="J54" i="36"/>
  <c r="I70" i="36"/>
  <c r="E48" i="10"/>
  <c r="L25" i="10"/>
  <c r="I17" i="36"/>
  <c r="J60" i="36"/>
  <c r="H60" i="36"/>
  <c r="G41" i="36"/>
  <c r="H79" i="36"/>
  <c r="G75" i="36"/>
  <c r="M25" i="10"/>
  <c r="J17" i="36"/>
  <c r="F60" i="36"/>
  <c r="I60" i="36"/>
  <c r="G42" i="36"/>
  <c r="H41" i="36"/>
  <c r="H75" i="36"/>
  <c r="K62" i="33" l="1"/>
  <c r="K75" i="33"/>
  <c r="K48" i="10"/>
  <c r="E25" i="33"/>
  <c r="G75" i="33"/>
  <c r="E75" i="33"/>
  <c r="K37" i="10"/>
  <c r="J35" i="10"/>
  <c r="F88" i="33"/>
  <c r="G48" i="10"/>
  <c r="G37" i="10"/>
  <c r="H48" i="10"/>
  <c r="L48" i="10"/>
  <c r="M48" i="10"/>
  <c r="I48" i="10"/>
  <c r="J16" i="10"/>
  <c r="J83" i="33" s="1"/>
  <c r="I17" i="10"/>
  <c r="D16" i="10"/>
  <c r="E41" i="36"/>
  <c r="F41" i="36" s="1"/>
  <c r="I9" i="36"/>
  <c r="H9" i="36"/>
  <c r="M17" i="10"/>
  <c r="I27" i="36"/>
  <c r="E6" i="30"/>
  <c r="J43" i="36"/>
  <c r="D35" i="10"/>
  <c r="L65" i="10"/>
  <c r="I43" i="36"/>
  <c r="D26" i="33"/>
  <c r="E33" i="33"/>
  <c r="E5" i="30"/>
  <c r="E4" i="30" s="1"/>
  <c r="D5" i="29"/>
  <c r="D4" i="29" s="1"/>
  <c r="G4" i="29" s="1"/>
  <c r="D8" i="36"/>
  <c r="H42" i="36"/>
  <c r="J41" i="36"/>
  <c r="E42" i="36"/>
  <c r="E8" i="36"/>
  <c r="I8" i="36" s="1"/>
  <c r="C41" i="36"/>
  <c r="C68" i="36" s="1"/>
  <c r="J9" i="36"/>
  <c r="H65" i="10"/>
  <c r="M65" i="10" s="1"/>
  <c r="I34" i="36"/>
  <c r="F16" i="10"/>
  <c r="F63" i="10" s="1"/>
  <c r="G17" i="10"/>
  <c r="D9" i="36"/>
  <c r="F70" i="36"/>
  <c r="D49" i="33"/>
  <c r="H8" i="36"/>
  <c r="I65" i="10"/>
  <c r="G68" i="36"/>
  <c r="E65" i="10"/>
  <c r="H17" i="10"/>
  <c r="L17" i="10"/>
  <c r="E10" i="30"/>
  <c r="G4" i="30"/>
  <c r="K21" i="33"/>
  <c r="E41" i="32"/>
  <c r="E70" i="32"/>
  <c r="G64" i="32"/>
  <c r="E65" i="32"/>
  <c r="G41" i="32"/>
  <c r="G65" i="32"/>
  <c r="G70" i="32"/>
  <c r="E75" i="32"/>
  <c r="E71" i="32"/>
  <c r="G75" i="32"/>
  <c r="G71" i="32"/>
  <c r="K41" i="32"/>
  <c r="K65" i="32"/>
  <c r="K70" i="32"/>
  <c r="K75" i="32"/>
  <c r="K71" i="32"/>
  <c r="E22" i="32"/>
  <c r="E23" i="32"/>
  <c r="G24" i="32"/>
  <c r="E28" i="32"/>
  <c r="E29" i="32"/>
  <c r="G30" i="32"/>
  <c r="G39" i="32"/>
  <c r="E43" i="32"/>
  <c r="E44" i="32"/>
  <c r="E45" i="32"/>
  <c r="E46" i="32"/>
  <c r="G47" i="32"/>
  <c r="G48" i="32"/>
  <c r="G49" i="32"/>
  <c r="G50" i="32"/>
  <c r="G51" i="32"/>
  <c r="E54" i="32"/>
  <c r="E61" i="32"/>
  <c r="G63" i="32"/>
  <c r="G67" i="32"/>
  <c r="G68" i="32"/>
  <c r="G69" i="32"/>
  <c r="G76" i="32"/>
  <c r="E39" i="32"/>
  <c r="E48" i="32"/>
  <c r="E20" i="32"/>
  <c r="G22" i="32"/>
  <c r="G23" i="32"/>
  <c r="E26" i="32"/>
  <c r="G28" i="32"/>
  <c r="G29" i="32"/>
  <c r="E34" i="32"/>
  <c r="E35" i="32"/>
  <c r="E36" i="32"/>
  <c r="E37" i="32"/>
  <c r="E38" i="32"/>
  <c r="G43" i="32"/>
  <c r="G44" i="32"/>
  <c r="G45" i="32"/>
  <c r="G46" i="32"/>
  <c r="E53" i="32"/>
  <c r="G54" i="32"/>
  <c r="E57" i="32"/>
  <c r="E58" i="32"/>
  <c r="E59" i="32"/>
  <c r="E60" i="32"/>
  <c r="G61" i="32"/>
  <c r="E72" i="32"/>
  <c r="E73" i="32"/>
  <c r="E74" i="32"/>
  <c r="E24" i="32"/>
  <c r="G25" i="32"/>
  <c r="E30" i="32"/>
  <c r="E49" i="32"/>
  <c r="E18" i="32"/>
  <c r="E19" i="32"/>
  <c r="G20" i="32"/>
  <c r="E25" i="32"/>
  <c r="G26" i="32"/>
  <c r="E31" i="32"/>
  <c r="E32" i="32"/>
  <c r="G34" i="32"/>
  <c r="G35" i="32"/>
  <c r="G36" i="32"/>
  <c r="G37" i="32"/>
  <c r="G38" i="32"/>
  <c r="G52" i="32"/>
  <c r="G53" i="32"/>
  <c r="E56" i="32"/>
  <c r="G57" i="32"/>
  <c r="G58" i="32"/>
  <c r="G59" i="32"/>
  <c r="G60" i="32"/>
  <c r="G72" i="32"/>
  <c r="G73" i="32"/>
  <c r="G74" i="32"/>
  <c r="G18" i="32"/>
  <c r="G19" i="32"/>
  <c r="G31" i="32"/>
  <c r="G32" i="32"/>
  <c r="E33" i="32"/>
  <c r="E47" i="32"/>
  <c r="E50" i="32"/>
  <c r="G55" i="32"/>
  <c r="G66" i="32"/>
  <c r="E69" i="32"/>
  <c r="E76" i="32"/>
  <c r="E51" i="32"/>
  <c r="G56" i="32"/>
  <c r="E63" i="32"/>
  <c r="E68" i="32"/>
  <c r="E67" i="32"/>
  <c r="G27" i="32"/>
  <c r="E55" i="32"/>
  <c r="E16" i="32"/>
  <c r="E17" i="32"/>
  <c r="G42" i="32"/>
  <c r="G16" i="32"/>
  <c r="E21" i="32"/>
  <c r="G17" i="32"/>
  <c r="G33" i="32"/>
  <c r="E42" i="32"/>
  <c r="E52" i="32"/>
  <c r="E66" i="32"/>
  <c r="E27" i="32"/>
  <c r="G21" i="32"/>
  <c r="E64" i="32"/>
  <c r="G40" i="32"/>
  <c r="E40" i="32"/>
  <c r="K22" i="32"/>
  <c r="K23" i="32"/>
  <c r="K28" i="32"/>
  <c r="K29" i="32"/>
  <c r="K38" i="32"/>
  <c r="K43" i="32"/>
  <c r="K44" i="32"/>
  <c r="K45" i="32"/>
  <c r="K54" i="32"/>
  <c r="K61" i="32"/>
  <c r="K46" i="32"/>
  <c r="K49" i="32"/>
  <c r="K20" i="32"/>
  <c r="K26" i="32"/>
  <c r="K34" i="32"/>
  <c r="K35" i="32"/>
  <c r="K36" i="32"/>
  <c r="K37" i="32"/>
  <c r="K53" i="32"/>
  <c r="K57" i="32"/>
  <c r="K58" i="32"/>
  <c r="K59" i="32"/>
  <c r="K60" i="32"/>
  <c r="K72" i="32"/>
  <c r="K73" i="32"/>
  <c r="K74" i="32"/>
  <c r="K30" i="32"/>
  <c r="K47" i="32"/>
  <c r="K18" i="32"/>
  <c r="K19" i="32"/>
  <c r="K25" i="32"/>
  <c r="K31" i="32"/>
  <c r="K32" i="32"/>
  <c r="K52" i="32"/>
  <c r="K56" i="32"/>
  <c r="K24" i="32"/>
  <c r="K39" i="32"/>
  <c r="K48" i="32"/>
  <c r="K51" i="32"/>
  <c r="K63" i="32"/>
  <c r="K68" i="32"/>
  <c r="K69" i="32"/>
  <c r="K76" i="32"/>
  <c r="K50" i="32"/>
  <c r="K67" i="32"/>
  <c r="K55" i="32"/>
  <c r="K66" i="32"/>
  <c r="K21" i="32"/>
  <c r="K27" i="32"/>
  <c r="K17" i="32"/>
  <c r="K42" i="32"/>
  <c r="K16" i="32"/>
  <c r="K33" i="32"/>
  <c r="K64" i="32"/>
  <c r="K40" i="32"/>
  <c r="J26" i="33"/>
  <c r="K26" i="33" s="1"/>
  <c r="H37" i="10"/>
  <c r="L37" i="10"/>
  <c r="M37" i="10"/>
  <c r="I37" i="10"/>
  <c r="E37" i="10"/>
  <c r="K28" i="33"/>
  <c r="K30" i="33"/>
  <c r="K73" i="33"/>
  <c r="K20" i="33"/>
  <c r="K48" i="33"/>
  <c r="K53" i="33"/>
  <c r="K59" i="33"/>
  <c r="K63" i="33"/>
  <c r="K68" i="33"/>
  <c r="K24" i="33"/>
  <c r="K29" i="33"/>
  <c r="K19" i="33"/>
  <c r="K23" i="33"/>
  <c r="K31" i="33"/>
  <c r="K34" i="33"/>
  <c r="K41" i="33"/>
  <c r="K52" i="33"/>
  <c r="K56" i="33"/>
  <c r="K32" i="33"/>
  <c r="G49" i="33"/>
  <c r="K18" i="33"/>
  <c r="K22" i="33"/>
  <c r="G35" i="33"/>
  <c r="G42" i="33"/>
  <c r="K47" i="33"/>
  <c r="K58" i="33"/>
  <c r="K60" i="33"/>
  <c r="G60" i="33"/>
  <c r="K40" i="33"/>
  <c r="K42" i="33"/>
  <c r="K44" i="33"/>
  <c r="K49" i="33"/>
  <c r="F36" i="10"/>
  <c r="G35" i="10"/>
  <c r="E24" i="33"/>
  <c r="G25" i="33"/>
  <c r="E28" i="33"/>
  <c r="E29" i="33"/>
  <c r="E30" i="33"/>
  <c r="G33" i="33"/>
  <c r="G34" i="33"/>
  <c r="G41" i="33"/>
  <c r="E44" i="33"/>
  <c r="G45" i="33"/>
  <c r="E48" i="33"/>
  <c r="G50" i="33"/>
  <c r="E53" i="33"/>
  <c r="G54" i="33"/>
  <c r="G59" i="33"/>
  <c r="G63" i="33"/>
  <c r="G74" i="33"/>
  <c r="G32" i="33"/>
  <c r="G68" i="33"/>
  <c r="G31" i="33"/>
  <c r="E20" i="33"/>
  <c r="E22" i="33"/>
  <c r="G24" i="33"/>
  <c r="G27" i="33"/>
  <c r="G30" i="33"/>
  <c r="E39" i="33"/>
  <c r="G40" i="33"/>
  <c r="G44" i="33"/>
  <c r="E52" i="33"/>
  <c r="G53" i="33"/>
  <c r="G58" i="33"/>
  <c r="G62" i="33"/>
  <c r="G67" i="33"/>
  <c r="G18" i="33"/>
  <c r="G19" i="33"/>
  <c r="G20" i="33"/>
  <c r="G21" i="33"/>
  <c r="G22" i="33"/>
  <c r="G23" i="33"/>
  <c r="E35" i="33"/>
  <c r="G39" i="33"/>
  <c r="E42" i="33"/>
  <c r="G43" i="33"/>
  <c r="E46" i="33"/>
  <c r="G47" i="33"/>
  <c r="E51" i="33"/>
  <c r="G52" i="33"/>
  <c r="E56" i="33"/>
  <c r="G57" i="33"/>
  <c r="E60" i="33"/>
  <c r="G61" i="33"/>
  <c r="E69" i="33"/>
  <c r="G72" i="33"/>
  <c r="E68" i="33"/>
  <c r="I61" i="33"/>
  <c r="E63" i="33"/>
  <c r="I63" i="33"/>
  <c r="H72" i="33"/>
  <c r="E55" i="33"/>
  <c r="H19" i="33"/>
  <c r="H23" i="33"/>
  <c r="H34" i="33"/>
  <c r="I50" i="33"/>
  <c r="H54" i="33"/>
  <c r="H74" i="33"/>
  <c r="E67" i="33"/>
  <c r="H57" i="33"/>
  <c r="H44" i="33"/>
  <c r="I59" i="33"/>
  <c r="I52" i="33"/>
  <c r="M21" i="33"/>
  <c r="I29" i="33"/>
  <c r="M45" i="33"/>
  <c r="L61" i="33"/>
  <c r="I69" i="33"/>
  <c r="M72" i="33"/>
  <c r="J66" i="33"/>
  <c r="K66" i="33" s="1"/>
  <c r="I32" i="33"/>
  <c r="L25" i="33"/>
  <c r="H28" i="33"/>
  <c r="J38" i="33"/>
  <c r="M41" i="33"/>
  <c r="M43" i="33"/>
  <c r="H46" i="33"/>
  <c r="I51" i="33"/>
  <c r="I56" i="33"/>
  <c r="L57" i="33"/>
  <c r="I31" i="33"/>
  <c r="M28" i="33"/>
  <c r="M35" i="33"/>
  <c r="H40" i="33"/>
  <c r="L46" i="33"/>
  <c r="M51" i="33"/>
  <c r="L56" i="33"/>
  <c r="H58" i="33"/>
  <c r="L62" i="33"/>
  <c r="M69" i="33"/>
  <c r="M73" i="33"/>
  <c r="F66" i="33"/>
  <c r="G66" i="33" s="1"/>
  <c r="I33" i="33"/>
  <c r="K67" i="33"/>
  <c r="L28" i="33"/>
  <c r="L48" i="33"/>
  <c r="H33" i="33"/>
  <c r="I67" i="33"/>
  <c r="K46" i="33"/>
  <c r="M62" i="33"/>
  <c r="M33" i="33"/>
  <c r="M56" i="33"/>
  <c r="E58" i="33"/>
  <c r="L31" i="33"/>
  <c r="H29" i="33"/>
  <c r="M44" i="33"/>
  <c r="M29" i="33"/>
  <c r="K69" i="33"/>
  <c r="H25" i="33"/>
  <c r="K35" i="33"/>
  <c r="M48" i="33"/>
  <c r="E40" i="33"/>
  <c r="H63" i="33"/>
  <c r="L44" i="33"/>
  <c r="K51" i="33"/>
  <c r="L30" i="33"/>
  <c r="L29" i="33"/>
  <c r="I40" i="33"/>
  <c r="M46" i="33"/>
  <c r="L42" i="33"/>
  <c r="L58" i="33"/>
  <c r="L51" i="33"/>
  <c r="M20" i="33"/>
  <c r="D17" i="33"/>
  <c r="I30" i="33"/>
  <c r="I18" i="33"/>
  <c r="F55" i="33"/>
  <c r="G55" i="33" s="1"/>
  <c r="K72" i="33"/>
  <c r="M40" i="33"/>
  <c r="I34" i="33"/>
  <c r="M30" i="33"/>
  <c r="H68" i="33"/>
  <c r="M58" i="33"/>
  <c r="L69" i="33"/>
  <c r="L53" i="33"/>
  <c r="K27" i="33"/>
  <c r="E73" i="33"/>
  <c r="M22" i="33"/>
  <c r="H30" i="33"/>
  <c r="L60" i="33"/>
  <c r="L35" i="33"/>
  <c r="M42" i="33"/>
  <c r="E62" i="33"/>
  <c r="G29" i="33"/>
  <c r="L74" i="33"/>
  <c r="H48" i="33"/>
  <c r="H73" i="33"/>
  <c r="G46" i="33"/>
  <c r="I46" i="33"/>
  <c r="L40" i="33"/>
  <c r="H59" i="33"/>
  <c r="I45" i="33"/>
  <c r="L22" i="33"/>
  <c r="M18" i="33"/>
  <c r="I54" i="33"/>
  <c r="L73" i="33"/>
  <c r="M23" i="33"/>
  <c r="M53" i="33"/>
  <c r="H21" i="33"/>
  <c r="M60" i="33"/>
  <c r="G56" i="33"/>
  <c r="E19" i="33"/>
  <c r="L24" i="33"/>
  <c r="M27" i="33"/>
  <c r="H31" i="33"/>
  <c r="K61" i="33"/>
  <c r="L23" i="33"/>
  <c r="I35" i="33"/>
  <c r="E59" i="33"/>
  <c r="H50" i="33"/>
  <c r="H56" i="33"/>
  <c r="H35" i="33"/>
  <c r="H27" i="33"/>
  <c r="H22" i="33"/>
  <c r="L20" i="33"/>
  <c r="J55" i="33"/>
  <c r="E21" i="33"/>
  <c r="L19" i="33"/>
  <c r="I74" i="33"/>
  <c r="M19" i="33"/>
  <c r="H69" i="33"/>
  <c r="H42" i="33"/>
  <c r="L54" i="33"/>
  <c r="E54" i="33"/>
  <c r="E18" i="33"/>
  <c r="E45" i="33"/>
  <c r="G28" i="33"/>
  <c r="G69" i="33"/>
  <c r="L68" i="33"/>
  <c r="F26" i="33"/>
  <c r="G26" i="33" s="1"/>
  <c r="D66" i="33"/>
  <c r="E74" i="33"/>
  <c r="I20" i="33"/>
  <c r="K57" i="33"/>
  <c r="H20" i="33"/>
  <c r="H45" i="33"/>
  <c r="H60" i="33"/>
  <c r="E50" i="33"/>
  <c r="I19" i="33"/>
  <c r="L21" i="33"/>
  <c r="J17" i="33"/>
  <c r="H18" i="33"/>
  <c r="H51" i="33"/>
  <c r="H41" i="33"/>
  <c r="I24" i="33"/>
  <c r="F38" i="33"/>
  <c r="I28" i="33"/>
  <c r="I41" i="33"/>
  <c r="I27" i="33"/>
  <c r="I68" i="33"/>
  <c r="M68" i="33"/>
  <c r="G51" i="33"/>
  <c r="E34" i="33"/>
  <c r="K25" i="33"/>
  <c r="L33" i="33"/>
  <c r="L34" i="33"/>
  <c r="H39" i="33"/>
  <c r="L43" i="33"/>
  <c r="L45" i="33"/>
  <c r="H47" i="33"/>
  <c r="M50" i="33"/>
  <c r="L52" i="33"/>
  <c r="M54" i="33"/>
  <c r="M57" i="33"/>
  <c r="I58" i="33"/>
  <c r="M59" i="33"/>
  <c r="M61" i="33"/>
  <c r="M74" i="33"/>
  <c r="K43" i="33"/>
  <c r="L18" i="33"/>
  <c r="I21" i="33"/>
  <c r="I23" i="33"/>
  <c r="I60" i="33"/>
  <c r="I22" i="33"/>
  <c r="I42" i="33"/>
  <c r="K39" i="33"/>
  <c r="E41" i="33"/>
  <c r="E23" i="33"/>
  <c r="M25" i="33"/>
  <c r="E31" i="33"/>
  <c r="E32" i="33"/>
  <c r="M32" i="33"/>
  <c r="K33" i="33"/>
  <c r="K54" i="33"/>
  <c r="K74" i="33"/>
  <c r="F17" i="33"/>
  <c r="E72" i="33"/>
  <c r="E61" i="33"/>
  <c r="L59" i="33"/>
  <c r="E57" i="33"/>
  <c r="H52" i="33"/>
  <c r="M39" i="33"/>
  <c r="M34" i="33"/>
  <c r="E27" i="33"/>
  <c r="E43" i="33"/>
  <c r="E47" i="33"/>
  <c r="L41" i="33"/>
  <c r="I39" i="33"/>
  <c r="I25" i="33"/>
  <c r="L72" i="33"/>
  <c r="H32" i="33"/>
  <c r="I72" i="33"/>
  <c r="H61" i="33"/>
  <c r="I53" i="33"/>
  <c r="M52" i="33"/>
  <c r="L50" i="33"/>
  <c r="I48" i="33"/>
  <c r="I47" i="33"/>
  <c r="I43" i="33"/>
  <c r="L27" i="33"/>
  <c r="L47" i="33"/>
  <c r="I73" i="33"/>
  <c r="L39" i="33"/>
  <c r="H67" i="33"/>
  <c r="H24" i="33"/>
  <c r="H62" i="33"/>
  <c r="G48" i="33"/>
  <c r="M24" i="33"/>
  <c r="M47" i="33"/>
  <c r="M67" i="33"/>
  <c r="K50" i="33"/>
  <c r="L32" i="33"/>
  <c r="M31" i="33"/>
  <c r="G73" i="33"/>
  <c r="K45" i="33"/>
  <c r="H53" i="33"/>
  <c r="I44" i="33"/>
  <c r="H43" i="33"/>
  <c r="D38" i="33"/>
  <c r="M63" i="33"/>
  <c r="L63" i="33"/>
  <c r="M35" i="10" l="1"/>
  <c r="D88" i="33"/>
  <c r="E35" i="10"/>
  <c r="K16" i="10"/>
  <c r="K83" i="33" s="1"/>
  <c r="G9" i="10"/>
  <c r="M16" i="10"/>
  <c r="I35" i="10"/>
  <c r="D36" i="10"/>
  <c r="H35" i="10"/>
  <c r="D63" i="10"/>
  <c r="D69" i="10" s="1"/>
  <c r="L16" i="10"/>
  <c r="J88" i="33"/>
  <c r="J36" i="10"/>
  <c r="K36" i="10" s="1"/>
  <c r="E49" i="33"/>
  <c r="J63" i="10"/>
  <c r="K63" i="10" s="1"/>
  <c r="K94" i="33" s="1"/>
  <c r="L35" i="10"/>
  <c r="E88" i="33"/>
  <c r="K35" i="10"/>
  <c r="K88" i="33" s="1"/>
  <c r="H16" i="10"/>
  <c r="H83" i="33" s="1"/>
  <c r="I16" i="10"/>
  <c r="G8" i="10"/>
  <c r="I41" i="36"/>
  <c r="D83" i="33"/>
  <c r="E16" i="10"/>
  <c r="E83" i="33" s="1"/>
  <c r="M49" i="33"/>
  <c r="H49" i="33"/>
  <c r="D16" i="33"/>
  <c r="L49" i="33"/>
  <c r="D36" i="33"/>
  <c r="D89" i="33" s="1"/>
  <c r="D90" i="33" s="1"/>
  <c r="I49" i="33"/>
  <c r="C69" i="36"/>
  <c r="D69" i="36" s="1"/>
  <c r="C74" i="36"/>
  <c r="D68" i="36"/>
  <c r="J42" i="36"/>
  <c r="F42" i="36"/>
  <c r="G69" i="36"/>
  <c r="H68" i="36"/>
  <c r="F83" i="33"/>
  <c r="G16" i="10"/>
  <c r="G83" i="33" s="1"/>
  <c r="C42" i="36"/>
  <c r="D42" i="36" s="1"/>
  <c r="D41" i="36"/>
  <c r="G88" i="33"/>
  <c r="E68" i="36"/>
  <c r="J68" i="36" s="1"/>
  <c r="F8" i="36"/>
  <c r="J8" i="36"/>
  <c r="I42" i="36"/>
  <c r="G10" i="30"/>
  <c r="E17" i="30"/>
  <c r="E36" i="10"/>
  <c r="F94" i="33"/>
  <c r="F69" i="10"/>
  <c r="F64" i="10"/>
  <c r="G64" i="10" s="1"/>
  <c r="G63" i="10"/>
  <c r="J36" i="33"/>
  <c r="I36" i="10"/>
  <c r="H36" i="10"/>
  <c r="G36" i="10"/>
  <c r="K38" i="33"/>
  <c r="G38" i="33"/>
  <c r="F36" i="33"/>
  <c r="I55" i="33"/>
  <c r="L55" i="33"/>
  <c r="H66" i="33"/>
  <c r="I66" i="33"/>
  <c r="H17" i="33"/>
  <c r="H55" i="33"/>
  <c r="M17" i="33"/>
  <c r="E17" i="33"/>
  <c r="L66" i="33"/>
  <c r="E66" i="33"/>
  <c r="M66" i="33"/>
  <c r="K55" i="33"/>
  <c r="M55" i="33"/>
  <c r="J16" i="33"/>
  <c r="J84" i="33" s="1"/>
  <c r="J85" i="33" s="1"/>
  <c r="K17" i="33"/>
  <c r="L17" i="33"/>
  <c r="M26" i="33"/>
  <c r="E26" i="33"/>
  <c r="L26" i="33"/>
  <c r="H26" i="33"/>
  <c r="I26" i="33"/>
  <c r="I38" i="33"/>
  <c r="H38" i="33"/>
  <c r="L38" i="33"/>
  <c r="E38" i="33"/>
  <c r="M38" i="33"/>
  <c r="F16" i="33"/>
  <c r="F84" i="33" s="1"/>
  <c r="G17" i="33"/>
  <c r="I17" i="33"/>
  <c r="J64" i="10" l="1"/>
  <c r="K64" i="10" s="1"/>
  <c r="G69" i="10"/>
  <c r="F74" i="10"/>
  <c r="I63" i="10"/>
  <c r="D74" i="10"/>
  <c r="F85" i="33"/>
  <c r="D64" i="10"/>
  <c r="L36" i="10"/>
  <c r="L63" i="10"/>
  <c r="L94" i="33" s="1"/>
  <c r="E63" i="10"/>
  <c r="E94" i="33" s="1"/>
  <c r="H63" i="10"/>
  <c r="M63" i="10" s="1"/>
  <c r="D93" i="33"/>
  <c r="D64" i="33"/>
  <c r="J69" i="10"/>
  <c r="J94" i="33"/>
  <c r="M36" i="10"/>
  <c r="D84" i="33"/>
  <c r="D85" i="33" s="1"/>
  <c r="E69" i="36"/>
  <c r="F69" i="36" s="1"/>
  <c r="F68" i="36"/>
  <c r="E74" i="36"/>
  <c r="D74" i="36"/>
  <c r="C79" i="36"/>
  <c r="H69" i="36"/>
  <c r="I68" i="36"/>
  <c r="E23" i="30"/>
  <c r="G23" i="30" s="1"/>
  <c r="G17" i="30"/>
  <c r="I69" i="10"/>
  <c r="H69" i="10"/>
  <c r="L69" i="10"/>
  <c r="E69" i="10"/>
  <c r="I64" i="10"/>
  <c r="F37" i="33"/>
  <c r="G37" i="33" s="1"/>
  <c r="F89" i="33"/>
  <c r="F90" i="33" s="1"/>
  <c r="J37" i="33"/>
  <c r="K37" i="33" s="1"/>
  <c r="J89" i="33"/>
  <c r="J90" i="33" s="1"/>
  <c r="G36" i="33"/>
  <c r="G89" i="33" s="1"/>
  <c r="G90" i="33" s="1"/>
  <c r="G94" i="33"/>
  <c r="H16" i="33"/>
  <c r="H84" i="33" s="1"/>
  <c r="H85" i="33" s="1"/>
  <c r="E16" i="33"/>
  <c r="E84" i="33" s="1"/>
  <c r="E85" i="33" s="1"/>
  <c r="L16" i="33"/>
  <c r="K36" i="33"/>
  <c r="K89" i="33" s="1"/>
  <c r="J64" i="33"/>
  <c r="J93" i="33" s="1"/>
  <c r="K16" i="33"/>
  <c r="K84" i="33" s="1"/>
  <c r="K85" i="33" s="1"/>
  <c r="M16" i="33"/>
  <c r="I16" i="33"/>
  <c r="F64" i="33"/>
  <c r="G16" i="33"/>
  <c r="G84" i="33" s="1"/>
  <c r="G85" i="33" s="1"/>
  <c r="E36" i="33"/>
  <c r="E89" i="33" s="1"/>
  <c r="H36" i="33"/>
  <c r="L36" i="33"/>
  <c r="M36" i="33"/>
  <c r="I36" i="33"/>
  <c r="D37" i="33"/>
  <c r="K69" i="10" l="1"/>
  <c r="J74" i="10"/>
  <c r="F70" i="10"/>
  <c r="G70" i="10" s="1"/>
  <c r="G74" i="10"/>
  <c r="H64" i="33"/>
  <c r="D94" i="33"/>
  <c r="D95" i="33" s="1"/>
  <c r="M69" i="10"/>
  <c r="L64" i="10"/>
  <c r="J95" i="33"/>
  <c r="H64" i="10"/>
  <c r="M64" i="10" s="1"/>
  <c r="I74" i="10"/>
  <c r="D70" i="10"/>
  <c r="H74" i="10"/>
  <c r="E74" i="10"/>
  <c r="E64" i="10"/>
  <c r="I69" i="36"/>
  <c r="J69" i="36"/>
  <c r="C75" i="36"/>
  <c r="D75" i="36" s="1"/>
  <c r="D79" i="36"/>
  <c r="I74" i="36"/>
  <c r="F74" i="36"/>
  <c r="J74" i="36"/>
  <c r="E79" i="36"/>
  <c r="F93" i="33"/>
  <c r="F95" i="33" s="1"/>
  <c r="D65" i="33"/>
  <c r="L64" i="33"/>
  <c r="L93" i="33" s="1"/>
  <c r="L95" i="33" s="1"/>
  <c r="D70" i="33"/>
  <c r="E64" i="33"/>
  <c r="E93" i="33" s="1"/>
  <c r="E95" i="33" s="1"/>
  <c r="M64" i="33"/>
  <c r="J70" i="33"/>
  <c r="J76" i="33" s="1"/>
  <c r="J65" i="33"/>
  <c r="K65" i="33" s="1"/>
  <c r="K64" i="33"/>
  <c r="K93" i="33" s="1"/>
  <c r="K95" i="33" s="1"/>
  <c r="M37" i="33"/>
  <c r="L37" i="33"/>
  <c r="E37" i="33"/>
  <c r="H37" i="33"/>
  <c r="I37" i="33"/>
  <c r="F65" i="33"/>
  <c r="G65" i="33" s="1"/>
  <c r="F70" i="33"/>
  <c r="F76" i="33" s="1"/>
  <c r="G64" i="33"/>
  <c r="G93" i="33" s="1"/>
  <c r="G95" i="33" s="1"/>
  <c r="I64" i="33"/>
  <c r="D76" i="33" l="1"/>
  <c r="K74" i="10"/>
  <c r="J70" i="10"/>
  <c r="K70" i="10" s="1"/>
  <c r="L74" i="10"/>
  <c r="L70" i="10" s="1"/>
  <c r="M74" i="10"/>
  <c r="H70" i="10"/>
  <c r="M70" i="10" s="1"/>
  <c r="E70" i="10"/>
  <c r="I70" i="10"/>
  <c r="I79" i="36"/>
  <c r="F79" i="36"/>
  <c r="J79" i="36"/>
  <c r="E75" i="36"/>
  <c r="E65" i="33"/>
  <c r="E70" i="33"/>
  <c r="L70" i="33"/>
  <c r="M70" i="33"/>
  <c r="I70" i="33"/>
  <c r="H65" i="33"/>
  <c r="I65" i="33"/>
  <c r="L65" i="33"/>
  <c r="M65" i="33"/>
  <c r="H70" i="33"/>
  <c r="K70" i="33"/>
  <c r="G70" i="33"/>
  <c r="F75" i="36" l="1"/>
  <c r="J75" i="36"/>
  <c r="I75" i="36"/>
  <c r="D71" i="33"/>
  <c r="E76" i="33"/>
  <c r="I76" i="33"/>
  <c r="M76" i="33"/>
  <c r="L76" i="33"/>
  <c r="J71" i="33"/>
  <c r="K71" i="33" s="1"/>
  <c r="K76" i="33"/>
  <c r="G76" i="33"/>
  <c r="F71" i="33"/>
  <c r="G71" i="33" s="1"/>
  <c r="H76" i="33"/>
  <c r="E71" i="33" l="1"/>
  <c r="I71" i="33"/>
  <c r="M71" i="33"/>
  <c r="L71" i="33"/>
  <c r="H71" i="33"/>
</calcChain>
</file>

<file path=xl/sharedStrings.xml><?xml version="1.0" encoding="utf-8"?>
<sst xmlns="http://schemas.openxmlformats.org/spreadsheetml/2006/main" count="1252" uniqueCount="471">
  <si>
    <t>Otplata duga</t>
  </si>
  <si>
    <t>Current revenues</t>
  </si>
  <si>
    <t>Porezi</t>
  </si>
  <si>
    <t>Porez na dohodak fizičkih lica</t>
  </si>
  <si>
    <t>Personal Income Tax</t>
  </si>
  <si>
    <t>Porez na dobit pravnih lica</t>
  </si>
  <si>
    <t>Tax on Profits of Legal Persons</t>
  </si>
  <si>
    <t>Porez na promet nepokretnosti</t>
  </si>
  <si>
    <t xml:space="preserve">Taxes on Property </t>
  </si>
  <si>
    <t>Porez na dodatu vrijednost</t>
  </si>
  <si>
    <t>Value Added Tax</t>
  </si>
  <si>
    <t>Lokalni porezi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</si>
  <si>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</si>
  <si>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</si>
  <si>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</si>
  <si>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</si>
  <si>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</si>
  <si>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Ostali republički prihodi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</si>
  <si>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</si>
  <si>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</si>
  <si>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</si>
  <si>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</si>
  <si>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</si>
  <si>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</si>
  <si>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</si>
  <si>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</si>
  <si>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Insurance from Unemployment</t>
  </si>
  <si>
    <t>Ostali doprinosi</t>
  </si>
  <si>
    <t>Other contributions</t>
  </si>
  <si>
    <t>Takse</t>
  </si>
  <si>
    <t>Duties</t>
  </si>
  <si>
    <t>Administrativne takse</t>
  </si>
  <si>
    <t>Sudske takse</t>
  </si>
  <si>
    <t>Court duties</t>
  </si>
  <si>
    <t>Boravišne takse</t>
  </si>
  <si>
    <t>Residential duty</t>
  </si>
  <si>
    <t>Lokalne komunalne takse</t>
  </si>
  <si>
    <t>Ostale takse</t>
  </si>
  <si>
    <t>Other duties</t>
  </si>
  <si>
    <t>Naknade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</si>
  <si>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</si>
  <si>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</si>
  <si>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</si>
  <si>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</si>
  <si>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Naknade za korišćenje građevinskog zemljišta</t>
  </si>
  <si>
    <t>Ekološke naknade</t>
  </si>
  <si>
    <t>Ecological fees</t>
  </si>
  <si>
    <t>Naknade za priređivanje igara na sreću</t>
  </si>
  <si>
    <t>Fee for organizing games of chance</t>
  </si>
  <si>
    <t>Naknade za lokalne puteve</t>
  </si>
  <si>
    <t>Naknada za puteve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</si>
  <si>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</si>
  <si>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</si>
  <si>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</si>
  <si>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</si>
  <si>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</si>
  <si>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</si>
  <si>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</si>
  <si>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</si>
  <si>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</si>
  <si>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own activities of government bodies</t>
  </si>
  <si>
    <t>Izdaci</t>
  </si>
  <si>
    <t>Tekući izdaci</t>
  </si>
  <si>
    <t>Bruto zarade i doprinosi na teret poslodavca</t>
  </si>
  <si>
    <t>Gross salaries and contributions charged to employer</t>
  </si>
  <si>
    <t>Neto zarade</t>
  </si>
  <si>
    <t>Net salaries</t>
  </si>
  <si>
    <t>Porez na zarade</t>
  </si>
  <si>
    <t>Personal income tax</t>
  </si>
  <si>
    <t>Doprinosi na teret zaposlenog</t>
  </si>
  <si>
    <t>Contributions charged to employee</t>
  </si>
  <si>
    <t>Doprinosi na teret poslodavca</t>
  </si>
  <si>
    <t>Contributions charged to employer</t>
  </si>
  <si>
    <t>Prirez na porez</t>
  </si>
  <si>
    <t>Ostala lična primanja</t>
  </si>
  <si>
    <t>Other personal income</t>
  </si>
  <si>
    <t>Rashodi za materijal i usluge</t>
  </si>
  <si>
    <t>Expenditures for supplies and services</t>
  </si>
  <si>
    <t>Tekuće održavanje</t>
  </si>
  <si>
    <t>Kamate</t>
  </si>
  <si>
    <t>Interests</t>
  </si>
  <si>
    <t>Renta</t>
  </si>
  <si>
    <t>Rent</t>
  </si>
  <si>
    <t>Subvencije</t>
  </si>
  <si>
    <t>Subsidies</t>
  </si>
  <si>
    <t>Ostali izdaci</t>
  </si>
  <si>
    <t>Transferi za socijalnu zaštitu</t>
  </si>
  <si>
    <t>Social security transfers</t>
  </si>
  <si>
    <t>Prava iz oblasti socijalne zaštite</t>
  </si>
  <si>
    <t>Social security related rights</t>
  </si>
  <si>
    <t>Sredstva za tehnološke viškove</t>
  </si>
  <si>
    <t>Funds for redundant labor</t>
  </si>
  <si>
    <t>Prava iz oblasti penzijskog i invalidskog osiguranja</t>
  </si>
  <si>
    <t>Pension and disability insurance rights</t>
  </si>
  <si>
    <t>Ostala prava iz oblasti zdravstvene zaštite</t>
  </si>
  <si>
    <t>Other rights related to health care</t>
  </si>
  <si>
    <t>Ostala prava iz oblasti zdravstvenog osiguranja</t>
  </si>
  <si>
    <t>Other rights related to health care insurance</t>
  </si>
  <si>
    <t>Transferi inst. pojedinicima NVO i javnom sektoru</t>
  </si>
  <si>
    <t>Transferi institucijama pojedinicima nevladinom i javnom sektoru</t>
  </si>
  <si>
    <t xml:space="preserve">Transfers to institutions, individuals, NGO and public sector </t>
  </si>
  <si>
    <t>Transferi javnim institucijama</t>
  </si>
  <si>
    <t>Transfers to public institutions</t>
  </si>
  <si>
    <t>Transferi nevladinim organizacijama</t>
  </si>
  <si>
    <t>Transfers to NGOs</t>
  </si>
  <si>
    <t>Transferi pojedincima</t>
  </si>
  <si>
    <t>Transfers to individuals</t>
  </si>
  <si>
    <t>Transferi opštinama</t>
  </si>
  <si>
    <t>Transferi javnim preduzećima</t>
  </si>
  <si>
    <t>Kapitalni budžet CG</t>
  </si>
  <si>
    <t>Pozajmice i krediti</t>
  </si>
  <si>
    <t>Loans and credits</t>
  </si>
  <si>
    <t>Otplata garancija</t>
  </si>
  <si>
    <t>Repayment of guarantees</t>
  </si>
  <si>
    <t>Otplata neizmirenih obaveza iz prethodnog perioda</t>
  </si>
  <si>
    <t>Otplata obaveza iz prethodnog perioda</t>
  </si>
  <si>
    <t>Repayment of liabilities from previous years</t>
  </si>
  <si>
    <t>Rezerve</t>
  </si>
  <si>
    <t>Reserves</t>
  </si>
  <si>
    <t>Deficit</t>
  </si>
  <si>
    <t>Finansiranje</t>
  </si>
  <si>
    <t>Pozajmice i krediti iz inostranih izvora</t>
  </si>
  <si>
    <t>Donacije</t>
  </si>
  <si>
    <t>Prihodi od privatizacije i prodaje imovine</t>
  </si>
  <si>
    <t>Povećanje/smanjenje depozita</t>
  </si>
  <si>
    <t>Tekuća budžetska potrošnja</t>
  </si>
  <si>
    <t>Budžet Crne Gore</t>
  </si>
  <si>
    <t>Izvorni prihodi</t>
  </si>
  <si>
    <t>Prirez na porez na dohodak</t>
  </si>
  <si>
    <t>Kapitalni izdaci u tekućem budžetu</t>
  </si>
  <si>
    <t>Kapitalni budžet</t>
  </si>
  <si>
    <t>Suficit/ Deficit</t>
  </si>
  <si>
    <t>Primarni deficit</t>
  </si>
  <si>
    <t>Repayment of debt</t>
  </si>
  <si>
    <t>Otplata duga rezidentima</t>
  </si>
  <si>
    <t>Repayment of principal to residents</t>
  </si>
  <si>
    <t>Otplata duga nerezidentima</t>
  </si>
  <si>
    <t>Repayment of principal to nonresidents</t>
  </si>
  <si>
    <t>Repayment of Arrears</t>
  </si>
  <si>
    <t>Repayment of Garantees</t>
  </si>
  <si>
    <t>Nedostajuća sredstva</t>
  </si>
  <si>
    <t>Financing needs</t>
  </si>
  <si>
    <t xml:space="preserve">Financing </t>
  </si>
  <si>
    <t>Pozajmice i krediti iz domaćih izvora</t>
  </si>
  <si>
    <t>Borrowings and credits from domestic sources</t>
  </si>
  <si>
    <t>Borrowings and credits from foreign sources</t>
  </si>
  <si>
    <t>Grants</t>
  </si>
  <si>
    <t>Privatisation revenues</t>
  </si>
  <si>
    <t>Increase/Decrease of deposits</t>
  </si>
  <si>
    <t>% BDP</t>
  </si>
  <si>
    <t>Current maintenace</t>
  </si>
  <si>
    <t>Neto povećanje obaveza</t>
  </si>
  <si>
    <t xml:space="preserve"> % BDP</t>
  </si>
  <si>
    <t>Opštinski prirez</t>
  </si>
  <si>
    <t>Kapitalni izdaci Tekućeg budžeta i Državnih fondova</t>
  </si>
  <si>
    <t>Transferi instit. pojed. NVO i javnom sektoru</t>
  </si>
  <si>
    <t>Kapitalni budžet lokalne samouprave</t>
  </si>
  <si>
    <t>Otplata glavnice rezidentima</t>
  </si>
  <si>
    <t>Otplata glavnice nerezidentima</t>
  </si>
  <si>
    <t>Otplata  obaveza iz prethodnog perioda</t>
  </si>
  <si>
    <t>Korišćenje depozita države</t>
  </si>
  <si>
    <t>Naknade za komunalno opremanje građevinskog zemljišta</t>
  </si>
  <si>
    <t>Kapitalni budzet lokalne samouprave</t>
  </si>
  <si>
    <t>Korišćenje depozita lokalne samouprave</t>
  </si>
  <si>
    <t>Transferi iz budžeta CG</t>
  </si>
  <si>
    <t>% GDP</t>
  </si>
  <si>
    <t>Taxes</t>
  </si>
  <si>
    <t>Fees</t>
  </si>
  <si>
    <t xml:space="preserve">Road fees </t>
  </si>
  <si>
    <t>Current budget expenditures</t>
  </si>
  <si>
    <t>Crnogorski</t>
  </si>
  <si>
    <t>English</t>
  </si>
  <si>
    <t>Transfers to municipalities</t>
  </si>
  <si>
    <t>Transfers to public enterprises</t>
  </si>
  <si>
    <t>Administrative duties</t>
  </si>
  <si>
    <t>Capital budget of Montenegro</t>
  </si>
  <si>
    <t xml:space="preserve">Net increse of liabilities </t>
  </si>
  <si>
    <t>Primary deficit</t>
  </si>
  <si>
    <t>Surtax on PIT</t>
  </si>
  <si>
    <t>Capital outlows of current budget</t>
  </si>
  <si>
    <t>Macroeconomic indicators</t>
  </si>
  <si>
    <t>GDP nominal growth</t>
  </si>
  <si>
    <t>GDP real growth</t>
  </si>
  <si>
    <t>Inflation</t>
  </si>
  <si>
    <t>Import</t>
  </si>
  <si>
    <t>Export</t>
  </si>
  <si>
    <t>Other</t>
  </si>
  <si>
    <t>Current account deficit</t>
  </si>
  <si>
    <t>Domestic loans</t>
  </si>
  <si>
    <t>Fiscal indicators</t>
  </si>
  <si>
    <t>Current public revenues</t>
  </si>
  <si>
    <t>Public expenditure</t>
  </si>
  <si>
    <t>Interest</t>
  </si>
  <si>
    <t>Primary deficit/surplus</t>
  </si>
  <si>
    <t>Government debt</t>
  </si>
  <si>
    <t>Welcome tab</t>
  </si>
  <si>
    <t>MONTENEGRO</t>
  </si>
  <si>
    <t>MINISTRY OF FINANCE</t>
  </si>
  <si>
    <t>CRNA GORA</t>
  </si>
  <si>
    <t>MINISTARSTVO FINANSIJA</t>
  </si>
  <si>
    <t xml:space="preserve">   Javni dug (% BDP)</t>
  </si>
  <si>
    <t xml:space="preserve">   Public debt (% GDP)</t>
  </si>
  <si>
    <t xml:space="preserve">   Javna potrošnja (% BDP)</t>
  </si>
  <si>
    <t>Ažurirano:</t>
  </si>
  <si>
    <t>Updated:</t>
  </si>
  <si>
    <t>Broj stanovnika (Popis 2011)</t>
  </si>
  <si>
    <t>Population (Census 2011)</t>
  </si>
  <si>
    <t>Površina (km²)</t>
  </si>
  <si>
    <t xml:space="preserve">   Inflacija (%)</t>
  </si>
  <si>
    <t xml:space="preserve">   Inflation (%)</t>
  </si>
  <si>
    <t>BDP (mil. €)*</t>
  </si>
  <si>
    <t>Royal Capital</t>
  </si>
  <si>
    <t>Glavni grad</t>
  </si>
  <si>
    <t>Prijestonica</t>
  </si>
  <si>
    <t>Capital</t>
  </si>
  <si>
    <t>Valuta</t>
  </si>
  <si>
    <t>Currency</t>
  </si>
  <si>
    <t>Notice: The information is provided in English and in Montenegrin language</t>
  </si>
  <si>
    <t>Napomena: Informacija je urađena je na engleskom i crnogorskom jeziku</t>
  </si>
  <si>
    <t>*data represent Ministry of Finance forecast</t>
  </si>
  <si>
    <t>Izvor: ZZZ, Monstat, Ministarstvo finansija</t>
  </si>
  <si>
    <t>Source: Employment Office, Monstat, Ministry of Finance</t>
  </si>
  <si>
    <t>Makroekonomski pokazatelji</t>
  </si>
  <si>
    <t>Nominalni rast BDP-a</t>
  </si>
  <si>
    <t>Realni rast BDP-a</t>
  </si>
  <si>
    <t>Inflacija</t>
  </si>
  <si>
    <t xml:space="preserve">Uvoz </t>
  </si>
  <si>
    <t>Izvoz</t>
  </si>
  <si>
    <t>Ostalo</t>
  </si>
  <si>
    <t>Deficit tekućeg računa</t>
  </si>
  <si>
    <t>Neto strane direktne investicije</t>
  </si>
  <si>
    <t>Domaći krediti</t>
  </si>
  <si>
    <t>Fiskalni pokazatelji</t>
  </si>
  <si>
    <t>Izvorni javni prihodi</t>
  </si>
  <si>
    <t>Javna potrošnja</t>
  </si>
  <si>
    <t>Deficit/Suficit</t>
  </si>
  <si>
    <t>Primarni deficit/suficit</t>
  </si>
  <si>
    <t>Državni dug</t>
  </si>
  <si>
    <t>Makroekonomski i fiskalni okvir  (u % BDP-a)</t>
  </si>
  <si>
    <t>Ostvarenje</t>
  </si>
  <si>
    <t>Procjena</t>
  </si>
  <si>
    <t>Osnovni scenario</t>
  </si>
  <si>
    <t>Scenario nižeg rasta</t>
  </si>
  <si>
    <t>Core data tab</t>
  </si>
  <si>
    <t>Macroeconomic and Fiscal Framework (in %GDP)</t>
  </si>
  <si>
    <t>Net foreign investments</t>
  </si>
  <si>
    <t>Actual data</t>
  </si>
  <si>
    <t>Estimate</t>
  </si>
  <si>
    <t>Base scenario</t>
  </si>
  <si>
    <t>Low-growth scenario</t>
  </si>
  <si>
    <t>1 - engleski</t>
  </si>
  <si>
    <t>Central budget tab</t>
  </si>
  <si>
    <t>Central Budget of Montenegro</t>
  </si>
  <si>
    <t>Tax on Profits of Legal Person</t>
  </si>
  <si>
    <t>Primici od otplate kredita i sredstva prenijeta iz prethodne godine</t>
  </si>
  <si>
    <t>Local Government tab</t>
  </si>
  <si>
    <t xml:space="preserve"> % GDP</t>
  </si>
  <si>
    <t>Local Government</t>
  </si>
  <si>
    <t>Lokalna samouprava</t>
  </si>
  <si>
    <t>Current revenues and grants</t>
  </si>
  <si>
    <t>Izvorni prihodi i donacije</t>
  </si>
  <si>
    <t>Tekuća potrošnja lokalne samouprave</t>
  </si>
  <si>
    <t>mil. €</t>
  </si>
  <si>
    <t>Local Taxes</t>
  </si>
  <si>
    <t>Suficit/deficit</t>
  </si>
  <si>
    <t>Izvor: Ministarstvo finansija Crne Gore</t>
  </si>
  <si>
    <t>Source: Ministry of Finance of Montenegro</t>
  </si>
  <si>
    <t>Residential duties</t>
  </si>
  <si>
    <t>Local road fees</t>
  </si>
  <si>
    <t>Current local government expenditure</t>
  </si>
  <si>
    <t>Surtaxe on PIT</t>
  </si>
  <si>
    <t>Current maintenance</t>
  </si>
  <si>
    <t>Lolacl utility duties</t>
  </si>
  <si>
    <t>Sourse: Ministry of Finance of Montenegro</t>
  </si>
  <si>
    <t>Deposits of local government</t>
  </si>
  <si>
    <t>Transfers from the Central Budget</t>
  </si>
  <si>
    <t>Fees for usage of construction land</t>
  </si>
  <si>
    <t>Fees for municipal residental land</t>
  </si>
  <si>
    <t>Public expenditure tab</t>
  </si>
  <si>
    <t>Tekuća javna potrošnja</t>
  </si>
  <si>
    <t>Kapitalni izdaci</t>
  </si>
  <si>
    <t>Local taxes</t>
  </si>
  <si>
    <t>Public expenditures</t>
  </si>
  <si>
    <t>Current public expenditures</t>
  </si>
  <si>
    <t>Capital Budget of Montenegro</t>
  </si>
  <si>
    <t>Capital Budget of Local Government</t>
  </si>
  <si>
    <t>Surplus/deficit</t>
  </si>
  <si>
    <t>Financing</t>
  </si>
  <si>
    <t>Privatisation revenues or selling property</t>
  </si>
  <si>
    <t xml:space="preserve">   Public expenditure (% GDP)</t>
  </si>
  <si>
    <t>Stopa nezaposlenosti (%)</t>
  </si>
  <si>
    <t>Unemployment rate (%)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</si>
  <si>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</si>
  <si>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</si>
  <si>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</si>
  <si>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</si>
  <si>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</si>
  <si>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</si>
  <si>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</si>
  <si>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</si>
  <si>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</si>
  <si>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</si>
  <si>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</si>
  <si>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</si>
  <si>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Porez na imovinu</t>
  </si>
  <si>
    <t xml:space="preserve">Akcize </t>
  </si>
  <si>
    <t>Porez na međ. trgov. i transakcije</t>
  </si>
  <si>
    <t>Doprinosi za PIO</t>
  </si>
  <si>
    <t>Doprinosi za zdravstvo</t>
  </si>
  <si>
    <t>Doprinosi za nezaposlene</t>
  </si>
  <si>
    <t>Naknada za kor. prirodnih dobara</t>
  </si>
  <si>
    <t>Naknade za priređ.  igara na sreću</t>
  </si>
  <si>
    <t>Naknade za puteve</t>
  </si>
  <si>
    <t>Prihodi koje organi ostvaruju vršenjem svoje djel.</t>
  </si>
  <si>
    <t>Monthly plan tab</t>
  </si>
  <si>
    <t>January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</si>
  <si>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</si>
  <si>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</si>
  <si>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</si>
  <si>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</si>
  <si>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</si>
  <si>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</si>
  <si>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</si>
  <si>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</si>
  <si>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</si>
  <si>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</si>
  <si>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Izvršenje budžeta, po mjesecima</t>
  </si>
  <si>
    <t>Nakn. za koriš. dob. od opš. int.</t>
  </si>
  <si>
    <t>Prihodi od privatizacije</t>
  </si>
  <si>
    <t>Analitics tab</t>
  </si>
  <si>
    <t>*podaci su procjena Ministarstva finansija</t>
  </si>
  <si>
    <t>Source: Ministry of Finance, Central Bank, Monstat</t>
  </si>
  <si>
    <t>Izvor: Ministarstvo finansija, Centralna banka, Monstat</t>
  </si>
  <si>
    <t>Budget execution, by months</t>
  </si>
  <si>
    <t>Analitika ostvarenja</t>
  </si>
  <si>
    <t>Execution analitics</t>
  </si>
  <si>
    <t>preliminarni podaci</t>
  </si>
  <si>
    <t>preliminary data</t>
  </si>
  <si>
    <t>Execution</t>
  </si>
  <si>
    <t>Expenditures</t>
  </si>
  <si>
    <t>Current expenditures</t>
  </si>
  <si>
    <t>Other expenditures</t>
  </si>
  <si>
    <t>Capital expenditures</t>
  </si>
  <si>
    <t>Capital expenditures of Current Budget and State Funds</t>
  </si>
  <si>
    <t>Public debt</t>
  </si>
  <si>
    <t>Ukupno javni dug</t>
  </si>
  <si>
    <t>Dug prema rezidentima</t>
  </si>
  <si>
    <t>Dug prema nerezidentima</t>
  </si>
  <si>
    <t>I kvartal</t>
  </si>
  <si>
    <t>II kvartal</t>
  </si>
  <si>
    <t>III kvartal</t>
  </si>
  <si>
    <t>IV kvartal</t>
  </si>
  <si>
    <t>Stanje javnog duga, na kraju perioda</t>
  </si>
  <si>
    <t>Public debt, at the end of the period</t>
  </si>
  <si>
    <t>Debt to residents</t>
  </si>
  <si>
    <t>Debt to nonresidents</t>
  </si>
  <si>
    <t>Stanje javnog duga, kvartalno</t>
  </si>
  <si>
    <t xml:space="preserve">Public debt, quaterly </t>
  </si>
  <si>
    <t>I quater</t>
  </si>
  <si>
    <t>II quater</t>
  </si>
  <si>
    <t>III quater</t>
  </si>
  <si>
    <t>IV quater</t>
  </si>
  <si>
    <t>Stanje javnog duga, po mjesecima</t>
  </si>
  <si>
    <t>Public debt, monthly</t>
  </si>
  <si>
    <t>Area (km²)</t>
  </si>
  <si>
    <t>GDP (mil. €)*</t>
  </si>
  <si>
    <r>
      <t xml:space="preserve">BDP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</si>
  <si>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r>
      <t xml:space="preserve">GDP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</si>
  <si>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t>Prosječna neto zarada (€)</t>
  </si>
  <si>
    <t>Average net wage (€)</t>
  </si>
  <si>
    <t>BDP (u mil. €)</t>
  </si>
  <si>
    <t>GDP (mil. €)</t>
  </si>
  <si>
    <t>Capital ouflows and capital budget</t>
  </si>
  <si>
    <t>Deficit/Surplus</t>
  </si>
  <si>
    <t>Deficit/Suficit (bez garancija)</t>
  </si>
  <si>
    <t>Primarni deficit/suficit (bez garancija)</t>
  </si>
  <si>
    <t>Deficit/Surplus (without Guarantees)</t>
  </si>
  <si>
    <t>Primary deficit/surplus (without Guarantees)</t>
  </si>
  <si>
    <t>Bankarski depoziti (domaći)</t>
  </si>
  <si>
    <t>Bank deposits (domestic)</t>
  </si>
  <si>
    <t>Plan according to Budget Law for 2013</t>
  </si>
  <si>
    <t>Plan prema Zakonu o Budžetu za 2013. godinu</t>
  </si>
  <si>
    <t>Plan for 2013</t>
  </si>
  <si>
    <t>Plan 2013</t>
  </si>
  <si>
    <t>Mjesečni plan za 2013. godinu</t>
  </si>
  <si>
    <t>Plan for 2013, by months</t>
  </si>
  <si>
    <t>Execution for 2013</t>
  </si>
  <si>
    <t>Jan - Dec 2013</t>
  </si>
  <si>
    <t>Jan - Feb 2013</t>
  </si>
  <si>
    <t>April 2013</t>
  </si>
  <si>
    <t>Maj 2013</t>
  </si>
  <si>
    <t>Maj 2014</t>
  </si>
  <si>
    <t>Plan 2014</t>
  </si>
  <si>
    <t>Ekonomska klasifikacija</t>
  </si>
  <si>
    <t>O   P   I   S</t>
  </si>
  <si>
    <t>Iznos u €</t>
  </si>
  <si>
    <t>Ako je 0 sve je OK!</t>
  </si>
  <si>
    <t>PRIMICI</t>
  </si>
  <si>
    <t>Tekući prihodi</t>
  </si>
  <si>
    <t>Naknada za korišćenje prirodnih dobara</t>
  </si>
  <si>
    <t>Primici od prodaje  imovine</t>
  </si>
  <si>
    <t>Primici od prodaje imovine</t>
  </si>
  <si>
    <t>Primici od prodaje nefinansijske imovine</t>
  </si>
  <si>
    <t>Primici od prodaje nepokretnosti</t>
  </si>
  <si>
    <t>Primici od prodaje zaliha</t>
  </si>
  <si>
    <t>Primici od prodaje finansijske imovine</t>
  </si>
  <si>
    <t>Prodaja akcija</t>
  </si>
  <si>
    <t>Prodaja ostalih HOV</t>
  </si>
  <si>
    <t xml:space="preserve">Primici od otplate kredita </t>
  </si>
  <si>
    <t>Primici od otplate kredita datih drugim nivoima vlasti</t>
  </si>
  <si>
    <t>Primici od otplate kredita datih javnim preduzećima</t>
  </si>
  <si>
    <t>Primici od otplate kredita datih drugim institucijama</t>
  </si>
  <si>
    <t>Primici od otplate kredita datih fizičkim licima</t>
  </si>
  <si>
    <t xml:space="preserve"> Sredstva prenesena iz prethodne godine</t>
  </si>
  <si>
    <t>Sredstva prenesena iz prethodne godine</t>
  </si>
  <si>
    <t>Donacije i transferi</t>
  </si>
  <si>
    <t>Tekuće donacije</t>
  </si>
  <si>
    <t>IZVORNI PRIHODI</t>
  </si>
  <si>
    <t>Porezi i doprinosi</t>
  </si>
  <si>
    <t xml:space="preserve"> IZDACI</t>
  </si>
  <si>
    <t xml:space="preserve"> Kapitalni budžet CG</t>
  </si>
  <si>
    <t xml:space="preserve"> SUFICIT / DEFICIT</t>
  </si>
  <si>
    <t>PRIMARNI SUFICIT</t>
  </si>
  <si>
    <t>OTPLATA DUGA</t>
  </si>
  <si>
    <t>NEDOSTAJUĆA SREDSTVA</t>
  </si>
  <si>
    <t>FINANSIRANJE</t>
  </si>
  <si>
    <t>Procjena 2014</t>
  </si>
  <si>
    <t xml:space="preserve"> </t>
  </si>
  <si>
    <t>Rashodi za materijal</t>
  </si>
  <si>
    <t>Rashodi za usluge</t>
  </si>
  <si>
    <t>Rashodi za tekuće održavanje</t>
  </si>
  <si>
    <t>Ostala prava iz zdravstvenog osiguranja</t>
  </si>
  <si>
    <t xml:space="preserve">Transferi institucijama, pojedincima, nevladinom i javnom sektoru </t>
  </si>
  <si>
    <t xml:space="preserve">Ostali transferi </t>
  </si>
  <si>
    <t>Registracione takse</t>
  </si>
  <si>
    <t xml:space="preserve">Naknade za izgradnju i održavanje lokalnih puteva i drugih javnih objekata od opštinskog značaja </t>
  </si>
  <si>
    <t>PLAN 2015</t>
  </si>
  <si>
    <t>Mjesečni plan prihoda 2014</t>
  </si>
  <si>
    <t>Mjesečna procjena prihoda 2014</t>
  </si>
  <si>
    <t>Ostvarenje prihoda 2013</t>
  </si>
  <si>
    <t>Razlike</t>
  </si>
  <si>
    <t>%</t>
  </si>
  <si>
    <t>Deficit - osnovni scenario</t>
  </si>
  <si>
    <t>Deficit - scenario sa auto putem</t>
  </si>
  <si>
    <t>2014 - procjena</t>
  </si>
  <si>
    <t>Naknada za komunalno opremanje građevinskog zemljišta</t>
  </si>
  <si>
    <t>Suficit / deficit</t>
  </si>
  <si>
    <t>Odstupanje</t>
  </si>
  <si>
    <t>Tekući budžetski izdaci</t>
  </si>
  <si>
    <t>Otplata obaveza iz prethodnih godina</t>
  </si>
  <si>
    <t>4630a</t>
  </si>
  <si>
    <t>4630b</t>
  </si>
  <si>
    <t>Primarni bilans</t>
  </si>
  <si>
    <t>Otplata dugova</t>
  </si>
  <si>
    <t>Otplata hartija od vrijednosti i kredita rezidentima</t>
  </si>
  <si>
    <t>Otplata hartija od vrijednosti i kredita nerezidentima</t>
  </si>
  <si>
    <t>Pozajmice i krediti od domaćih izvora</t>
  </si>
  <si>
    <t>Pozajmice i krediti od inostranih izvora</t>
  </si>
  <si>
    <t>Povećanje / smanjenje depozita</t>
  </si>
  <si>
    <t>Transferi iz Centralnog budžeta</t>
  </si>
  <si>
    <t>Budžetski izdaci</t>
  </si>
  <si>
    <t>Ostali državni prihodi</t>
  </si>
  <si>
    <t>Other State revenues</t>
  </si>
  <si>
    <t>Ostali transferi</t>
  </si>
  <si>
    <t>Ostvarenje 2016</t>
  </si>
  <si>
    <t xml:space="preserve">Receipts from repayment of loans </t>
  </si>
  <si>
    <t>Receipts from repayment of loans</t>
  </si>
  <si>
    <t>Primici od otplate kredita</t>
  </si>
  <si>
    <t>Ostvarenje 2017</t>
  </si>
  <si>
    <t>Plan 2017</t>
  </si>
  <si>
    <t>Transferi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</si>
</sst>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5" formatCode="0.00,,"/>
    <numFmt numFmtId="166" formatCode="0.0,,"/>
    <numFmt numFmtId="167" formatCode="#,##0.0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,,"/>
    <numFmt numFmtId="176" formatCode="0.0000"/>
  </numFmts>
  <fonts count="4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9"/>
      <name val="Century Gothic"/>
      <family val="2"/>
    </font>
    <font>
      <sz val="11"/>
      <color rgb="FFFF0000"/>
      <name val="Calibri"/>
      <family val="2"/>
      <scheme val="minor"/>
    </font>
    <font>
      <sz val="8"/>
      <name val="Century Gothic"/>
      <family val="2"/>
    </font>
    <font>
      <b/>
      <sz val="11"/>
      <color rgb="FFFF0000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1"/>
      <name val="Century Gothic"/>
      <family val="2"/>
    </font>
    <font>
      <b/>
      <sz val="9"/>
      <name val="Century Gothic"/>
      <family val="2"/>
    </font>
    <font>
      <b/>
      <sz val="8"/>
      <name val="Century Gothic"/>
      <family val="2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i/>
      <sz val="10"/>
      <name val="Calibri"/>
      <family val="2"/>
      <scheme val="minor"/>
    </font>
    <font>
      <sz val="10"/>
      <color indexed="18"/>
      <name val="Calibri"/>
      <family val="2"/>
      <scheme val="minor"/>
    </font>
    <font>
      <i/>
      <sz val="10"/>
      <color indexed="18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Arial"/>
      <family val="2"/>
      <charset val="238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i/>
      <sz val="9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10"/>
      <color indexed="18"/>
      <name val="Calibri"/>
      <family val="2"/>
      <charset val="238"/>
      <scheme val="minor"/>
    </font>
    <font>
      <sz val="10"/>
      <color theme="3" tint="0.39997558519241921"/>
      <name val="Calibri"/>
      <family val="2"/>
      <scheme val="minor"/>
    </font>
    <font>
      <sz val="1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5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40">
    <xf numFmtId="0" fontId="0" fillId="0" borderId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8" fillId="0" borderId="0" applyProtection="0"/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2" fontId="8" fillId="0" borderId="0" applyProtection="0"/>
    <xf numFmtId="0" fontId="8" fillId="0" borderId="0" applyNumberFormat="0" applyFont="0" applyFill="0" applyBorder="0" applyAlignment="0" applyProtection="0"/>
    <xf numFmtId="0" fontId="11" fillId="0" borderId="0" applyProtection="0"/>
    <xf numFmtId="172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7" fontId="12" fillId="0" borderId="0"/>
    <xf numFmtId="0" fontId="13" fillId="0" borderId="0"/>
    <xf numFmtId="0" fontId="14" fillId="0" borderId="0"/>
    <xf numFmtId="0" fontId="14" fillId="0" borderId="0"/>
    <xf numFmtId="0" fontId="7" fillId="0" borderId="0"/>
    <xf numFmtId="0" fontId="6" fillId="0" borderId="0"/>
    <xf numFmtId="174" fontId="7" fillId="0" borderId="0" applyFont="0" applyFill="0" applyBorder="0" applyAlignment="0" applyProtection="0"/>
    <xf numFmtId="0" fontId="15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2" fillId="0" borderId="0"/>
    <xf numFmtId="9" fontId="35" fillId="0" borderId="0" applyFont="0" applyFill="0" applyBorder="0" applyAlignment="0" applyProtection="0"/>
    <xf numFmtId="0" fontId="6" fillId="0" borderId="0"/>
  </cellStyleXfs>
  <cellXfs count="357">
    <xf numFmtId="0" fontId="0" fillId="0" borderId="0" xfId="0"/>
    <xf numFmtId="0" fontId="6" fillId="0" borderId="0" xfId="0" applyFont="1"/>
    <xf numFmtId="0" fontId="16" fillId="0" borderId="0" xfId="0" applyFont="1" applyFill="1" applyAlignment="1">
      <alignment horizontal="center" vertical="center"/>
    </xf>
    <xf numFmtId="0" fontId="6" fillId="0" borderId="0" xfId="22" applyFont="1" applyFill="1" applyBorder="1" applyAlignment="1">
      <alignment horizontal="center" vertical="center" wrapText="1"/>
    </xf>
    <xf numFmtId="0" fontId="16" fillId="0" borderId="0" xfId="22" applyFont="1" applyFill="1" applyBorder="1" applyAlignment="1">
      <alignment vertical="center"/>
    </xf>
    <xf numFmtId="0" fontId="16" fillId="0" borderId="0" xfId="22" applyFont="1" applyFill="1" applyAlignment="1">
      <alignment vertical="center"/>
    </xf>
    <xf numFmtId="0" fontId="16" fillId="0" borderId="0" xfId="22" applyFont="1" applyFill="1" applyBorder="1" applyAlignment="1">
      <alignment horizontal="center" vertical="center"/>
    </xf>
    <xf numFmtId="2" fontId="16" fillId="0" borderId="0" xfId="22" applyNumberFormat="1" applyFont="1" applyFill="1" applyBorder="1" applyAlignment="1">
      <alignment vertical="center"/>
    </xf>
    <xf numFmtId="2" fontId="16" fillId="0" borderId="0" xfId="22" applyNumberFormat="1" applyFont="1" applyFill="1" applyBorder="1" applyAlignment="1">
      <alignment horizontal="left" vertical="center"/>
    </xf>
    <xf numFmtId="49" fontId="16" fillId="0" borderId="0" xfId="22" applyNumberFormat="1" applyFont="1" applyFill="1" applyBorder="1" applyAlignment="1">
      <alignment vertical="center"/>
    </xf>
    <xf numFmtId="0" fontId="16" fillId="3" borderId="0" xfId="0" applyFont="1" applyFill="1" applyAlignment="1" applyProtection="1">
      <alignment vertical="center"/>
      <protection locked="0"/>
    </xf>
    <xf numFmtId="0" fontId="16" fillId="0" borderId="0" xfId="0" applyFont="1" applyAlignment="1">
      <alignment vertical="center"/>
    </xf>
    <xf numFmtId="0" fontId="16" fillId="0" borderId="0" xfId="22" applyFont="1" applyAlignment="1">
      <alignment vertical="center"/>
    </xf>
    <xf numFmtId="1" fontId="16" fillId="0" borderId="0" xfId="0" applyNumberFormat="1" applyFont="1" applyFill="1" applyBorder="1" applyAlignment="1">
      <alignment horizontal="center" vertical="center"/>
    </xf>
    <xf numFmtId="1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16" fontId="16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vertical="center"/>
    </xf>
    <xf numFmtId="16" fontId="16" fillId="0" borderId="0" xfId="0" applyNumberFormat="1" applyFont="1" applyFill="1" applyBorder="1" applyAlignment="1">
      <alignment horizontal="left" vertical="center"/>
    </xf>
    <xf numFmtId="17" fontId="16" fillId="0" borderId="0" xfId="0" applyNumberFormat="1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17" fontId="16" fillId="0" borderId="0" xfId="0" applyNumberFormat="1" applyFont="1" applyFill="1" applyAlignment="1">
      <alignment vertical="center"/>
    </xf>
    <xf numFmtId="4" fontId="16" fillId="0" borderId="0" xfId="22" applyNumberFormat="1" applyFont="1" applyFill="1" applyBorder="1" applyAlignment="1">
      <alignment vertical="center"/>
    </xf>
    <xf numFmtId="165" fontId="16" fillId="0" borderId="0" xfId="22" applyNumberFormat="1" applyFont="1" applyFill="1" applyBorder="1" applyAlignment="1">
      <alignment vertical="center"/>
    </xf>
    <xf numFmtId="4" fontId="17" fillId="0" borderId="0" xfId="22" applyNumberFormat="1" applyFont="1" applyFill="1" applyBorder="1" applyAlignment="1">
      <alignment vertical="center"/>
    </xf>
    <xf numFmtId="165" fontId="17" fillId="0" borderId="0" xfId="22" applyNumberFormat="1" applyFont="1" applyFill="1" applyBorder="1" applyAlignment="1">
      <alignment vertical="center"/>
    </xf>
    <xf numFmtId="49" fontId="16" fillId="0" borderId="0" xfId="22" applyNumberFormat="1" applyFont="1" applyAlignment="1">
      <alignment vertical="center"/>
    </xf>
    <xf numFmtId="49" fontId="16" fillId="0" borderId="0" xfId="0" applyNumberFormat="1" applyFont="1" applyAlignment="1">
      <alignment vertical="center"/>
    </xf>
    <xf numFmtId="17" fontId="6" fillId="0" borderId="0" xfId="0" applyNumberFormat="1" applyFont="1"/>
    <xf numFmtId="0" fontId="2" fillId="0" borderId="0" xfId="37"/>
    <xf numFmtId="0" fontId="21" fillId="0" borderId="5" xfId="37" applyFont="1" applyBorder="1" applyAlignment="1">
      <alignment horizontal="center" vertical="center" wrapText="1"/>
    </xf>
    <xf numFmtId="0" fontId="5" fillId="0" borderId="38" xfId="37" applyFont="1" applyBorder="1" applyAlignment="1">
      <alignment horizontal="center" vertical="center" wrapText="1"/>
    </xf>
    <xf numFmtId="0" fontId="5" fillId="0" borderId="10" xfId="37" applyFont="1" applyBorder="1" applyAlignment="1">
      <alignment horizontal="center" vertical="center" wrapText="1"/>
    </xf>
    <xf numFmtId="0" fontId="4" fillId="0" borderId="5" xfId="37" applyFont="1" applyBorder="1" applyAlignment="1">
      <alignment horizontal="left"/>
    </xf>
    <xf numFmtId="0" fontId="4" fillId="0" borderId="38" xfId="37" applyFont="1" applyBorder="1" applyAlignment="1">
      <alignment wrapText="1"/>
    </xf>
    <xf numFmtId="4" fontId="4" fillId="0" borderId="10" xfId="37" applyNumberFormat="1" applyFont="1" applyBorder="1"/>
    <xf numFmtId="4" fontId="23" fillId="3" borderId="0" xfId="37" applyNumberFormat="1" applyFont="1" applyFill="1"/>
    <xf numFmtId="0" fontId="4" fillId="0" borderId="15" xfId="37" applyFont="1" applyBorder="1" applyAlignment="1">
      <alignment horizontal="left"/>
    </xf>
    <xf numFmtId="0" fontId="4" fillId="0" borderId="31" xfId="37" applyFont="1" applyBorder="1" applyAlignment="1">
      <alignment wrapText="1"/>
    </xf>
    <xf numFmtId="4" fontId="4" fillId="0" borderId="7" xfId="37" applyNumberFormat="1" applyFont="1" applyBorder="1"/>
    <xf numFmtId="4" fontId="2" fillId="0" borderId="0" xfId="37" applyNumberFormat="1"/>
    <xf numFmtId="0" fontId="4" fillId="0" borderId="44" xfId="37" applyFont="1" applyBorder="1" applyAlignment="1">
      <alignment horizontal="center"/>
    </xf>
    <xf numFmtId="0" fontId="4" fillId="0" borderId="3" xfId="37" applyFont="1" applyBorder="1" applyAlignment="1">
      <alignment vertical="center" wrapText="1"/>
    </xf>
    <xf numFmtId="4" fontId="4" fillId="0" borderId="8" xfId="37" applyNumberFormat="1" applyFont="1" applyBorder="1"/>
    <xf numFmtId="0" fontId="5" fillId="0" borderId="44" xfId="37" applyFont="1" applyBorder="1"/>
    <xf numFmtId="0" fontId="5" fillId="0" borderId="3" xfId="37" applyFont="1" applyBorder="1" applyAlignment="1">
      <alignment vertical="center" wrapText="1"/>
    </xf>
    <xf numFmtId="4" fontId="5" fillId="0" borderId="8" xfId="37" applyNumberFormat="1" applyFont="1" applyBorder="1"/>
    <xf numFmtId="0" fontId="5" fillId="0" borderId="3" xfId="37" applyFont="1" applyBorder="1" applyAlignment="1">
      <alignment horizontal="left" wrapText="1"/>
    </xf>
    <xf numFmtId="0" fontId="5" fillId="0" borderId="3" xfId="37" applyFont="1" applyBorder="1" applyAlignment="1">
      <alignment wrapText="1"/>
    </xf>
    <xf numFmtId="0" fontId="4" fillId="0" borderId="44" xfId="37" applyFont="1" applyBorder="1" applyAlignment="1">
      <alignment horizontal="left"/>
    </xf>
    <xf numFmtId="0" fontId="4" fillId="0" borderId="3" xfId="37" applyFont="1" applyBorder="1" applyAlignment="1">
      <alignment wrapText="1"/>
    </xf>
    <xf numFmtId="0" fontId="5" fillId="0" borderId="44" xfId="37" applyFont="1" applyBorder="1" applyAlignment="1">
      <alignment horizontal="right"/>
    </xf>
    <xf numFmtId="0" fontId="5" fillId="0" borderId="44" xfId="37" applyFont="1" applyBorder="1" applyAlignment="1">
      <alignment horizontal="center"/>
    </xf>
    <xf numFmtId="0" fontId="5" fillId="0" borderId="45" xfId="37" applyFont="1" applyBorder="1" applyAlignment="1">
      <alignment horizontal="center"/>
    </xf>
    <xf numFmtId="0" fontId="5" fillId="0" borderId="39" xfId="37" applyFont="1" applyBorder="1" applyAlignment="1">
      <alignment wrapText="1"/>
    </xf>
    <xf numFmtId="4" fontId="5" fillId="0" borderId="9" xfId="37" applyNumberFormat="1" applyFont="1" applyBorder="1"/>
    <xf numFmtId="0" fontId="5" fillId="0" borderId="1" xfId="37" applyFont="1" applyBorder="1"/>
    <xf numFmtId="0" fontId="5" fillId="0" borderId="41" xfId="37" applyFont="1" applyBorder="1" applyAlignment="1">
      <alignment wrapText="1"/>
    </xf>
    <xf numFmtId="4" fontId="5" fillId="0" borderId="40" xfId="37" applyNumberFormat="1" applyFont="1" applyBorder="1"/>
    <xf numFmtId="0" fontId="24" fillId="0" borderId="10" xfId="37" applyFont="1" applyBorder="1" applyAlignment="1">
      <alignment horizontal="center"/>
    </xf>
    <xf numFmtId="4" fontId="4" fillId="0" borderId="24" xfId="37" applyNumberFormat="1" applyFont="1" applyBorder="1" applyAlignment="1">
      <alignment horizontal="center" wrapText="1"/>
    </xf>
    <xf numFmtId="0" fontId="25" fillId="0" borderId="17" xfId="37" applyFont="1" applyBorder="1" applyAlignment="1">
      <alignment wrapText="1"/>
    </xf>
    <xf numFmtId="4" fontId="4" fillId="0" borderId="19" xfId="37" applyNumberFormat="1" applyFont="1" applyBorder="1" applyAlignment="1">
      <alignment horizontal="right"/>
    </xf>
    <xf numFmtId="4" fontId="20" fillId="0" borderId="0" xfId="37" applyNumberFormat="1" applyFont="1"/>
    <xf numFmtId="4" fontId="5" fillId="0" borderId="47" xfId="37" applyNumberFormat="1" applyFont="1" applyBorder="1" applyAlignment="1">
      <alignment horizontal="right"/>
    </xf>
    <xf numFmtId="0" fontId="20" fillId="0" borderId="0" xfId="37" applyFont="1"/>
    <xf numFmtId="0" fontId="25" fillId="0" borderId="17" xfId="37" applyFont="1" applyBorder="1"/>
    <xf numFmtId="0" fontId="26" fillId="0" borderId="17" xfId="37" applyFont="1" applyBorder="1" applyAlignment="1">
      <alignment wrapText="1"/>
    </xf>
    <xf numFmtId="0" fontId="5" fillId="0" borderId="46" xfId="37" applyFont="1" applyBorder="1" applyAlignment="1">
      <alignment wrapText="1"/>
    </xf>
    <xf numFmtId="165" fontId="20" fillId="0" borderId="0" xfId="37" applyNumberFormat="1" applyFont="1"/>
    <xf numFmtId="4" fontId="22" fillId="10" borderId="0" xfId="37" applyNumberFormat="1" applyFont="1" applyFill="1"/>
    <xf numFmtId="0" fontId="19" fillId="0" borderId="43" xfId="37" applyFont="1" applyBorder="1" applyAlignment="1">
      <alignment wrapText="1"/>
    </xf>
    <xf numFmtId="4" fontId="5" fillId="0" borderId="42" xfId="37" applyNumberFormat="1" applyFont="1" applyBorder="1" applyAlignment="1">
      <alignment horizontal="right"/>
    </xf>
    <xf numFmtId="0" fontId="19" fillId="0" borderId="40" xfId="37" applyFont="1" applyBorder="1" applyAlignment="1">
      <alignment wrapText="1"/>
    </xf>
    <xf numFmtId="4" fontId="5" fillId="0" borderId="25" xfId="37" applyNumberFormat="1" applyFont="1" applyBorder="1" applyAlignment="1">
      <alignment horizontal="right"/>
    </xf>
    <xf numFmtId="0" fontId="19" fillId="0" borderId="43" xfId="37" applyFont="1" applyBorder="1"/>
    <xf numFmtId="0" fontId="5" fillId="0" borderId="43" xfId="37" applyFont="1" applyBorder="1" applyAlignment="1">
      <alignment wrapText="1"/>
    </xf>
    <xf numFmtId="0" fontId="5" fillId="0" borderId="8" xfId="37" applyFont="1" applyBorder="1" applyAlignment="1">
      <alignment wrapText="1"/>
    </xf>
    <xf numFmtId="0" fontId="5" fillId="0" borderId="40" xfId="37" applyFont="1" applyBorder="1" applyAlignment="1">
      <alignment wrapText="1"/>
    </xf>
    <xf numFmtId="4" fontId="5" fillId="0" borderId="40" xfId="37" applyNumberFormat="1" applyFont="1" applyBorder="1" applyAlignment="1">
      <alignment horizontal="right"/>
    </xf>
    <xf numFmtId="0" fontId="27" fillId="2" borderId="0" xfId="22" applyFont="1" applyFill="1"/>
    <xf numFmtId="0" fontId="27" fillId="2" borderId="0" xfId="22" applyFont="1" applyFill="1" applyBorder="1"/>
    <xf numFmtId="166" fontId="27" fillId="2" borderId="0" xfId="0" applyNumberFormat="1" applyFont="1" applyFill="1" applyBorder="1" applyAlignment="1" applyProtection="1">
      <protection hidden="1"/>
    </xf>
    <xf numFmtId="166" fontId="27" fillId="2" borderId="21" xfId="0" applyNumberFormat="1" applyFont="1" applyFill="1" applyBorder="1" applyAlignment="1" applyProtection="1">
      <protection hidden="1"/>
    </xf>
    <xf numFmtId="0" fontId="27" fillId="2" borderId="0" xfId="36" applyFont="1" applyFill="1" applyBorder="1"/>
    <xf numFmtId="0" fontId="27" fillId="2" borderId="0" xfId="22" applyFont="1" applyFill="1" applyProtection="1"/>
    <xf numFmtId="0" fontId="27" fillId="2" borderId="0" xfId="22" applyFont="1" applyFill="1" applyBorder="1" applyAlignment="1">
      <alignment vertical="center"/>
    </xf>
    <xf numFmtId="0" fontId="27" fillId="2" borderId="0" xfId="22" applyFont="1" applyFill="1" applyProtection="1">
      <protection locked="0"/>
    </xf>
    <xf numFmtId="0" fontId="29" fillId="5" borderId="33" xfId="36" applyFont="1" applyFill="1" applyBorder="1" applyAlignment="1">
      <alignment horizontal="center" vertical="center" wrapText="1"/>
    </xf>
    <xf numFmtId="0" fontId="29" fillId="5" borderId="19" xfId="36" applyFont="1" applyFill="1" applyBorder="1" applyAlignment="1">
      <alignment horizontal="center" vertical="center" wrapText="1"/>
    </xf>
    <xf numFmtId="2" fontId="29" fillId="5" borderId="6" xfId="22" applyNumberFormat="1" applyFont="1" applyFill="1" applyBorder="1" applyAlignment="1">
      <alignment vertical="center"/>
    </xf>
    <xf numFmtId="165" fontId="29" fillId="5" borderId="5" xfId="22" applyNumberFormat="1" applyFont="1" applyFill="1" applyBorder="1" applyAlignment="1">
      <alignment vertical="center"/>
    </xf>
    <xf numFmtId="4" fontId="29" fillId="5" borderId="24" xfId="22" applyNumberFormat="1" applyFont="1" applyFill="1" applyBorder="1" applyAlignment="1">
      <alignment vertical="center"/>
    </xf>
    <xf numFmtId="2" fontId="29" fillId="2" borderId="16" xfId="22" applyNumberFormat="1" applyFont="1" applyFill="1" applyBorder="1" applyAlignment="1">
      <alignment vertical="center"/>
    </xf>
    <xf numFmtId="165" fontId="29" fillId="2" borderId="30" xfId="22" applyNumberFormat="1" applyFont="1" applyFill="1" applyBorder="1" applyAlignment="1">
      <alignment vertical="center"/>
    </xf>
    <xf numFmtId="4" fontId="29" fillId="2" borderId="0" xfId="22" applyNumberFormat="1" applyFont="1" applyFill="1" applyBorder="1" applyAlignment="1">
      <alignment vertical="center"/>
    </xf>
    <xf numFmtId="4" fontId="29" fillId="2" borderId="14" xfId="22" applyNumberFormat="1" applyFont="1" applyFill="1" applyBorder="1" applyAlignment="1">
      <alignment vertical="center"/>
    </xf>
    <xf numFmtId="2" fontId="27" fillId="2" borderId="16" xfId="22" applyNumberFormat="1" applyFont="1" applyFill="1" applyBorder="1" applyAlignment="1">
      <alignment vertical="center"/>
    </xf>
    <xf numFmtId="4" fontId="27" fillId="2" borderId="14" xfId="22" applyNumberFormat="1" applyFont="1" applyFill="1" applyBorder="1" applyAlignment="1">
      <alignment vertical="center"/>
    </xf>
    <xf numFmtId="4" fontId="27" fillId="2" borderId="0" xfId="22" applyNumberFormat="1" applyFont="1" applyFill="1" applyBorder="1"/>
    <xf numFmtId="4" fontId="27" fillId="2" borderId="0" xfId="22" applyNumberFormat="1" applyFont="1" applyFill="1"/>
    <xf numFmtId="2" fontId="29" fillId="2" borderId="16" xfId="22" applyNumberFormat="1" applyFont="1" applyFill="1" applyBorder="1" applyAlignment="1">
      <alignment vertical="center" wrapText="1"/>
    </xf>
    <xf numFmtId="165" fontId="27" fillId="2" borderId="0" xfId="22" applyNumberFormat="1" applyFont="1" applyFill="1"/>
    <xf numFmtId="2" fontId="27" fillId="0" borderId="16" xfId="22" applyNumberFormat="1" applyFont="1" applyFill="1" applyBorder="1" applyAlignment="1">
      <alignment vertical="center"/>
    </xf>
    <xf numFmtId="4" fontId="27" fillId="0" borderId="14" xfId="22" applyNumberFormat="1" applyFont="1" applyFill="1" applyBorder="1" applyAlignment="1">
      <alignment vertical="center"/>
    </xf>
    <xf numFmtId="49" fontId="27" fillId="2" borderId="0" xfId="22" applyNumberFormat="1" applyFont="1" applyFill="1" applyBorder="1" applyAlignment="1">
      <alignment wrapText="1"/>
    </xf>
    <xf numFmtId="2" fontId="34" fillId="2" borderId="0" xfId="22" applyNumberFormat="1" applyFont="1" applyFill="1" applyBorder="1" applyAlignment="1">
      <alignment vertical="center"/>
    </xf>
    <xf numFmtId="2" fontId="27" fillId="2" borderId="0" xfId="22" applyNumberFormat="1" applyFont="1" applyFill="1" applyBorder="1" applyAlignment="1">
      <alignment wrapText="1"/>
    </xf>
    <xf numFmtId="0" fontId="27" fillId="2" borderId="0" xfId="0" applyNumberFormat="1" applyFont="1" applyFill="1" applyBorder="1" applyAlignment="1" applyProtection="1">
      <protection hidden="1"/>
    </xf>
    <xf numFmtId="166" fontId="27" fillId="11" borderId="48" xfId="0" applyNumberFormat="1" applyFont="1" applyFill="1" applyBorder="1" applyAlignment="1" applyProtection="1">
      <protection hidden="1"/>
    </xf>
    <xf numFmtId="2" fontId="27" fillId="11" borderId="0" xfId="0" applyNumberFormat="1" applyFont="1" applyFill="1" applyBorder="1" applyAlignment="1" applyProtection="1">
      <alignment horizontal="center" vertical="center"/>
      <protection hidden="1"/>
    </xf>
    <xf numFmtId="2" fontId="27" fillId="11" borderId="28" xfId="0" applyNumberFormat="1" applyFont="1" applyFill="1" applyBorder="1" applyAlignment="1" applyProtection="1">
      <alignment horizontal="center" vertical="center"/>
      <protection hidden="1"/>
    </xf>
    <xf numFmtId="0" fontId="27" fillId="11" borderId="0" xfId="0" applyNumberFormat="1" applyFont="1" applyFill="1" applyBorder="1" applyAlignment="1" applyProtection="1">
      <alignment horizontal="left" vertical="center"/>
      <protection hidden="1"/>
    </xf>
    <xf numFmtId="166" fontId="27" fillId="11" borderId="0" xfId="0" applyNumberFormat="1" applyFont="1" applyFill="1" applyBorder="1" applyAlignment="1" applyProtection="1">
      <protection hidden="1"/>
    </xf>
    <xf numFmtId="0" fontId="27" fillId="11" borderId="28" xfId="22" applyFont="1" applyFill="1" applyBorder="1"/>
    <xf numFmtId="166" fontId="27" fillId="11" borderId="50" xfId="0" applyNumberFormat="1" applyFont="1" applyFill="1" applyBorder="1" applyAlignment="1" applyProtection="1">
      <protection hidden="1"/>
    </xf>
    <xf numFmtId="0" fontId="27" fillId="11" borderId="48" xfId="0" applyNumberFormat="1" applyFont="1" applyFill="1" applyBorder="1" applyAlignment="1" applyProtection="1">
      <protection hidden="1"/>
    </xf>
    <xf numFmtId="0" fontId="27" fillId="11" borderId="48" xfId="0" applyNumberFormat="1" applyFont="1" applyFill="1" applyBorder="1" applyAlignment="1" applyProtection="1">
      <alignment vertical="center"/>
      <protection hidden="1"/>
    </xf>
    <xf numFmtId="2" fontId="27" fillId="11" borderId="48" xfId="0" applyNumberFormat="1" applyFont="1" applyFill="1" applyBorder="1" applyAlignment="1" applyProtection="1">
      <alignment horizontal="center" vertical="center"/>
      <protection hidden="1"/>
    </xf>
    <xf numFmtId="2" fontId="27" fillId="11" borderId="49" xfId="0" applyNumberFormat="1" applyFont="1" applyFill="1" applyBorder="1" applyAlignment="1" applyProtection="1">
      <alignment horizontal="center" vertical="center"/>
      <protection hidden="1"/>
    </xf>
    <xf numFmtId="0" fontId="27" fillId="11" borderId="50" xfId="0" applyNumberFormat="1" applyFont="1" applyFill="1" applyBorder="1" applyAlignment="1" applyProtection="1">
      <alignment horizontal="left" vertical="center"/>
      <protection hidden="1"/>
    </xf>
    <xf numFmtId="2" fontId="27" fillId="11" borderId="50" xfId="0" applyNumberFormat="1" applyFont="1" applyFill="1" applyBorder="1" applyAlignment="1" applyProtection="1">
      <alignment horizontal="center" vertical="center"/>
      <protection hidden="1"/>
    </xf>
    <xf numFmtId="166" fontId="27" fillId="11" borderId="4" xfId="0" applyNumberFormat="1" applyFont="1" applyFill="1" applyBorder="1" applyAlignment="1" applyProtection="1">
      <protection hidden="1"/>
    </xf>
    <xf numFmtId="0" fontId="29" fillId="11" borderId="48" xfId="0" applyNumberFormat="1" applyFont="1" applyFill="1" applyBorder="1" applyAlignment="1" applyProtection="1">
      <alignment horizontal="center"/>
      <protection hidden="1"/>
    </xf>
    <xf numFmtId="0" fontId="29" fillId="11" borderId="49" xfId="22" applyNumberFormat="1" applyFont="1" applyFill="1" applyBorder="1" applyAlignment="1">
      <alignment horizontal="center"/>
    </xf>
    <xf numFmtId="2" fontId="27" fillId="11" borderId="48" xfId="0" applyNumberFormat="1" applyFont="1" applyFill="1" applyBorder="1" applyAlignment="1" applyProtection="1">
      <protection hidden="1"/>
    </xf>
    <xf numFmtId="2" fontId="27" fillId="11" borderId="50" xfId="0" applyNumberFormat="1" applyFont="1" applyFill="1" applyBorder="1" applyAlignment="1" applyProtection="1">
      <protection hidden="1"/>
    </xf>
    <xf numFmtId="2" fontId="27" fillId="11" borderId="49" xfId="0" applyNumberFormat="1" applyFont="1" applyFill="1" applyBorder="1" applyAlignment="1" applyProtection="1">
      <protection hidden="1"/>
    </xf>
    <xf numFmtId="2" fontId="27" fillId="11" borderId="32" xfId="0" applyNumberFormat="1" applyFont="1" applyFill="1" applyBorder="1" applyAlignment="1" applyProtection="1">
      <protection hidden="1"/>
    </xf>
    <xf numFmtId="0" fontId="29" fillId="5" borderId="36" xfId="36" applyFont="1" applyFill="1" applyBorder="1" applyAlignment="1">
      <alignment horizontal="center" vertical="center" wrapText="1"/>
    </xf>
    <xf numFmtId="10" fontId="27" fillId="2" borderId="2" xfId="38" applyNumberFormat="1" applyFont="1" applyFill="1" applyBorder="1" applyAlignment="1" applyProtection="1">
      <alignment vertical="center"/>
      <protection hidden="1"/>
    </xf>
    <xf numFmtId="2" fontId="27" fillId="11" borderId="32" xfId="22" applyNumberFormat="1" applyFont="1" applyFill="1" applyBorder="1" applyAlignment="1">
      <alignment horizontal="center" vertical="center"/>
    </xf>
    <xf numFmtId="0" fontId="27" fillId="2" borderId="0" xfId="22" applyNumberFormat="1" applyFont="1" applyFill="1" applyBorder="1"/>
    <xf numFmtId="49" fontId="27" fillId="2" borderId="0" xfId="22" applyNumberFormat="1" applyFont="1" applyFill="1" applyAlignment="1"/>
    <xf numFmtId="49" fontId="27" fillId="2" borderId="0" xfId="22" applyNumberFormat="1" applyFont="1" applyFill="1" applyAlignment="1">
      <alignment wrapText="1"/>
    </xf>
    <xf numFmtId="0" fontId="27" fillId="2" borderId="0" xfId="22" applyNumberFormat="1" applyFont="1" applyFill="1"/>
    <xf numFmtId="0" fontId="27" fillId="2" borderId="0" xfId="22" applyFont="1" applyFill="1" applyBorder="1" applyAlignment="1">
      <alignment wrapText="1"/>
    </xf>
    <xf numFmtId="0" fontId="27" fillId="2" borderId="0" xfId="22" applyFont="1" applyFill="1" applyBorder="1" applyAlignment="1">
      <alignment horizontal="center" wrapText="1"/>
    </xf>
    <xf numFmtId="0" fontId="27" fillId="2" borderId="0" xfId="22" applyFont="1" applyFill="1" applyBorder="1" applyAlignment="1">
      <alignment horizontal="right"/>
    </xf>
    <xf numFmtId="0" fontId="32" fillId="2" borderId="0" xfId="22" applyFont="1" applyFill="1" applyBorder="1" applyAlignment="1"/>
    <xf numFmtId="0" fontId="27" fillId="2" borderId="0" xfId="22" applyFont="1" applyFill="1" applyAlignment="1">
      <alignment wrapText="1"/>
    </xf>
    <xf numFmtId="0" fontId="32" fillId="2" borderId="0" xfId="22" applyFont="1" applyFill="1" applyBorder="1" applyAlignment="1">
      <alignment horizontal="center" wrapText="1"/>
    </xf>
    <xf numFmtId="0" fontId="32" fillId="2" borderId="0" xfId="22" applyFont="1" applyFill="1" applyBorder="1" applyAlignment="1">
      <alignment horizontal="center"/>
    </xf>
    <xf numFmtId="2" fontId="27" fillId="2" borderId="0" xfId="22" applyNumberFormat="1" applyFont="1" applyFill="1" applyBorder="1" applyAlignment="1">
      <alignment horizontal="right"/>
    </xf>
    <xf numFmtId="0" fontId="33" fillId="2" borderId="0" xfId="22" applyFont="1" applyFill="1" applyBorder="1"/>
    <xf numFmtId="0" fontId="27" fillId="2" borderId="35" xfId="22" applyFont="1" applyFill="1" applyBorder="1"/>
    <xf numFmtId="2" fontId="29" fillId="2" borderId="6" xfId="22" applyNumberFormat="1" applyFont="1" applyFill="1" applyBorder="1" applyAlignment="1">
      <alignment vertical="center"/>
    </xf>
    <xf numFmtId="165" fontId="29" fillId="2" borderId="5" xfId="22" applyNumberFormat="1" applyFont="1" applyFill="1" applyBorder="1" applyAlignment="1">
      <alignment vertical="center"/>
    </xf>
    <xf numFmtId="4" fontId="29" fillId="2" borderId="24" xfId="22" applyNumberFormat="1" applyFont="1" applyFill="1" applyBorder="1" applyAlignment="1">
      <alignment vertical="center"/>
    </xf>
    <xf numFmtId="0" fontId="28" fillId="12" borderId="6" xfId="22" applyFont="1" applyFill="1" applyBorder="1" applyAlignment="1">
      <alignment vertical="center"/>
    </xf>
    <xf numFmtId="0" fontId="29" fillId="8" borderId="33" xfId="22" applyFont="1" applyFill="1" applyBorder="1" applyAlignment="1">
      <alignment horizontal="center" vertical="center" wrapText="1"/>
    </xf>
    <xf numFmtId="2" fontId="29" fillId="8" borderId="6" xfId="22" applyNumberFormat="1" applyFont="1" applyFill="1" applyBorder="1" applyAlignment="1">
      <alignment vertical="center"/>
    </xf>
    <xf numFmtId="165" fontId="29" fillId="2" borderId="30" xfId="36" applyNumberFormat="1" applyFont="1" applyFill="1" applyBorder="1" applyAlignment="1">
      <alignment vertical="center"/>
    </xf>
    <xf numFmtId="165" fontId="27" fillId="0" borderId="30" xfId="36" applyNumberFormat="1" applyFont="1" applyFill="1" applyBorder="1" applyAlignment="1">
      <alignment vertical="center"/>
    </xf>
    <xf numFmtId="165" fontId="27" fillId="2" borderId="30" xfId="36" applyNumberFormat="1" applyFont="1" applyFill="1" applyBorder="1" applyAlignment="1">
      <alignment vertical="center"/>
    </xf>
    <xf numFmtId="2" fontId="27" fillId="2" borderId="16" xfId="22" applyNumberFormat="1" applyFont="1" applyFill="1" applyBorder="1" applyAlignment="1">
      <alignment vertical="center" wrapText="1"/>
    </xf>
    <xf numFmtId="0" fontId="27" fillId="2" borderId="0" xfId="22" applyFont="1" applyFill="1" applyAlignment="1">
      <alignment vertical="center"/>
    </xf>
    <xf numFmtId="0" fontId="29" fillId="8" borderId="36" xfId="22" applyFont="1" applyFill="1" applyBorder="1" applyAlignment="1">
      <alignment horizontal="center" vertical="center" wrapText="1"/>
    </xf>
    <xf numFmtId="4" fontId="29" fillId="2" borderId="14" xfId="36" applyNumberFormat="1" applyFont="1" applyFill="1" applyBorder="1" applyAlignment="1">
      <alignment vertical="center"/>
    </xf>
    <xf numFmtId="0" fontId="31" fillId="2" borderId="0" xfId="22" applyFont="1" applyFill="1" applyBorder="1"/>
    <xf numFmtId="165" fontId="29" fillId="5" borderId="5" xfId="36" applyNumberFormat="1" applyFont="1" applyFill="1" applyBorder="1" applyAlignment="1">
      <alignment vertical="center"/>
    </xf>
    <xf numFmtId="165" fontId="29" fillId="2" borderId="5" xfId="36" applyNumberFormat="1" applyFont="1" applyFill="1" applyBorder="1" applyAlignment="1">
      <alignment vertical="center"/>
    </xf>
    <xf numFmtId="0" fontId="31" fillId="2" borderId="22" xfId="36" applyFont="1" applyFill="1" applyBorder="1" applyAlignment="1"/>
    <xf numFmtId="165" fontId="29" fillId="5" borderId="11" xfId="36" applyNumberFormat="1" applyFont="1" applyFill="1" applyBorder="1" applyAlignment="1">
      <alignment vertical="center"/>
    </xf>
    <xf numFmtId="165" fontId="29" fillId="0" borderId="30" xfId="36" applyNumberFormat="1" applyFont="1" applyFill="1" applyBorder="1" applyAlignment="1">
      <alignment vertical="center"/>
    </xf>
    <xf numFmtId="0" fontId="28" fillId="7" borderId="6" xfId="22" applyFont="1" applyFill="1" applyBorder="1" applyAlignment="1">
      <alignment vertical="center"/>
    </xf>
    <xf numFmtId="0" fontId="29" fillId="6" borderId="33" xfId="22" applyFont="1" applyFill="1" applyBorder="1" applyAlignment="1">
      <alignment horizontal="center" vertical="center" wrapText="1"/>
    </xf>
    <xf numFmtId="0" fontId="29" fillId="6" borderId="19" xfId="22" applyFont="1" applyFill="1" applyBorder="1" applyAlignment="1">
      <alignment horizontal="center" vertical="center" wrapText="1"/>
    </xf>
    <xf numFmtId="0" fontId="29" fillId="6" borderId="22" xfId="22" applyFont="1" applyFill="1" applyBorder="1" applyAlignment="1">
      <alignment horizontal="center" vertical="center" wrapText="1"/>
    </xf>
    <xf numFmtId="0" fontId="29" fillId="6" borderId="37" xfId="22" applyFont="1" applyFill="1" applyBorder="1" applyAlignment="1">
      <alignment horizontal="center" vertical="center" wrapText="1"/>
    </xf>
    <xf numFmtId="0" fontId="29" fillId="6" borderId="18" xfId="22" applyFont="1" applyFill="1" applyBorder="1" applyAlignment="1">
      <alignment horizontal="center" vertical="center" wrapText="1"/>
    </xf>
    <xf numFmtId="165" fontId="29" fillId="6" borderId="5" xfId="22" applyNumberFormat="1" applyFont="1" applyFill="1" applyBorder="1" applyAlignment="1">
      <alignment vertical="center"/>
    </xf>
    <xf numFmtId="0" fontId="28" fillId="2" borderId="0" xfId="22" applyFont="1" applyFill="1" applyBorder="1"/>
    <xf numFmtId="0" fontId="28" fillId="2" borderId="0" xfId="22" applyFont="1" applyFill="1" applyBorder="1" applyAlignment="1">
      <alignment vertical="center"/>
    </xf>
    <xf numFmtId="165" fontId="29" fillId="6" borderId="11" xfId="36" applyNumberFormat="1" applyFont="1" applyFill="1" applyBorder="1" applyAlignment="1">
      <alignment vertical="center"/>
    </xf>
    <xf numFmtId="165" fontId="29" fillId="6" borderId="5" xfId="36" applyNumberFormat="1" applyFont="1" applyFill="1" applyBorder="1" applyAlignment="1">
      <alignment vertical="center"/>
    </xf>
    <xf numFmtId="2" fontId="29" fillId="6" borderId="6" xfId="22" applyNumberFormat="1" applyFont="1" applyFill="1" applyBorder="1" applyAlignment="1">
      <alignment vertical="center"/>
    </xf>
    <xf numFmtId="0" fontId="1" fillId="0" borderId="0" xfId="37" applyFont="1"/>
    <xf numFmtId="0" fontId="28" fillId="9" borderId="6" xfId="22" applyFont="1" applyFill="1" applyBorder="1" applyAlignment="1">
      <alignment vertical="center"/>
    </xf>
    <xf numFmtId="0" fontId="37" fillId="0" borderId="0" xfId="0" applyFont="1"/>
    <xf numFmtId="175" fontId="0" fillId="0" borderId="0" xfId="0" applyNumberFormat="1"/>
    <xf numFmtId="0" fontId="27" fillId="2" borderId="35" xfId="22" applyFont="1" applyFill="1" applyBorder="1" applyAlignment="1"/>
    <xf numFmtId="0" fontId="29" fillId="5" borderId="0" xfId="36" applyFont="1" applyFill="1" applyBorder="1" applyAlignment="1">
      <alignment horizontal="center" vertical="center" wrapText="1"/>
    </xf>
    <xf numFmtId="165" fontId="27" fillId="10" borderId="30" xfId="36" applyNumberFormat="1" applyFont="1" applyFill="1" applyBorder="1" applyAlignment="1">
      <alignment vertical="center"/>
    </xf>
    <xf numFmtId="4" fontId="27" fillId="10" borderId="14" xfId="22" applyNumberFormat="1" applyFont="1" applyFill="1" applyBorder="1" applyAlignment="1">
      <alignment vertical="center"/>
    </xf>
    <xf numFmtId="165" fontId="29" fillId="10" borderId="5" xfId="22" applyNumberFormat="1" applyFont="1" applyFill="1" applyBorder="1" applyAlignment="1">
      <alignment vertical="center"/>
    </xf>
    <xf numFmtId="4" fontId="29" fillId="10" borderId="24" xfId="22" applyNumberFormat="1" applyFont="1" applyFill="1" applyBorder="1" applyAlignment="1">
      <alignment vertical="center"/>
    </xf>
    <xf numFmtId="0" fontId="27" fillId="2" borderId="0" xfId="39" applyFont="1" applyFill="1"/>
    <xf numFmtId="2" fontId="34" fillId="2" borderId="0" xfId="39" applyNumberFormat="1" applyFont="1" applyFill="1" applyBorder="1" applyAlignment="1">
      <alignment vertical="center"/>
    </xf>
    <xf numFmtId="0" fontId="27" fillId="2" borderId="0" xfId="39" applyFont="1" applyFill="1" applyBorder="1"/>
    <xf numFmtId="49" fontId="27" fillId="2" borderId="0" xfId="39" applyNumberFormat="1" applyFont="1" applyFill="1" applyBorder="1" applyAlignment="1">
      <alignment wrapText="1"/>
    </xf>
    <xf numFmtId="49" fontId="27" fillId="2" borderId="0" xfId="39" applyNumberFormat="1" applyFont="1" applyFill="1" applyAlignment="1">
      <alignment horizontal="right" wrapText="1"/>
    </xf>
    <xf numFmtId="165" fontId="27" fillId="2" borderId="21" xfId="39" applyNumberFormat="1" applyFont="1" applyFill="1" applyBorder="1"/>
    <xf numFmtId="0" fontId="27" fillId="2" borderId="21" xfId="39" applyFont="1" applyFill="1" applyBorder="1"/>
    <xf numFmtId="165" fontId="27" fillId="2" borderId="0" xfId="39" applyNumberFormat="1" applyFont="1" applyFill="1" applyBorder="1" applyAlignment="1">
      <alignment vertical="center"/>
    </xf>
    <xf numFmtId="2" fontId="29" fillId="2" borderId="10" xfId="22" applyNumberFormat="1" applyFont="1" applyFill="1" applyBorder="1" applyAlignment="1">
      <alignment vertical="center"/>
    </xf>
    <xf numFmtId="0" fontId="27" fillId="2" borderId="10" xfId="22" applyFont="1" applyFill="1" applyBorder="1"/>
    <xf numFmtId="4" fontId="27" fillId="2" borderId="0" xfId="39" applyNumberFormat="1" applyFont="1" applyFill="1" applyBorder="1"/>
    <xf numFmtId="0" fontId="27" fillId="2" borderId="16" xfId="22" applyFont="1" applyFill="1" applyBorder="1"/>
    <xf numFmtId="0" fontId="29" fillId="5" borderId="22" xfId="36" applyFont="1" applyFill="1" applyBorder="1" applyAlignment="1">
      <alignment horizontal="center" vertical="center" wrapText="1"/>
    </xf>
    <xf numFmtId="0" fontId="29" fillId="5" borderId="37" xfId="36" applyFont="1" applyFill="1" applyBorder="1" applyAlignment="1">
      <alignment horizontal="center" vertical="center" wrapText="1"/>
    </xf>
    <xf numFmtId="0" fontId="29" fillId="5" borderId="11" xfId="36" applyFont="1" applyFill="1" applyBorder="1" applyAlignment="1">
      <alignment horizontal="center" vertical="center" wrapText="1"/>
    </xf>
    <xf numFmtId="166" fontId="30" fillId="2" borderId="0" xfId="0" applyNumberFormat="1" applyFont="1" applyFill="1" applyBorder="1" applyAlignment="1" applyProtection="1">
      <alignment vertical="center"/>
      <protection hidden="1"/>
    </xf>
    <xf numFmtId="165" fontId="29" fillId="14" borderId="30" xfId="22" applyNumberFormat="1" applyFont="1" applyFill="1" applyBorder="1" applyAlignment="1">
      <alignment vertical="center"/>
    </xf>
    <xf numFmtId="165" fontId="29" fillId="14" borderId="5" xfId="22" applyNumberFormat="1" applyFont="1" applyFill="1" applyBorder="1" applyAlignment="1">
      <alignment vertical="center"/>
    </xf>
    <xf numFmtId="165" fontId="29" fillId="14" borderId="30" xfId="36" applyNumberFormat="1" applyFont="1" applyFill="1" applyBorder="1" applyAlignment="1">
      <alignment vertical="center"/>
    </xf>
    <xf numFmtId="165" fontId="27" fillId="14" borderId="30" xfId="36" applyNumberFormat="1" applyFont="1" applyFill="1" applyBorder="1" applyAlignment="1">
      <alignment vertical="center"/>
    </xf>
    <xf numFmtId="165" fontId="29" fillId="14" borderId="5" xfId="36" applyNumberFormat="1" applyFont="1" applyFill="1" applyBorder="1" applyAlignment="1">
      <alignment vertical="center"/>
    </xf>
    <xf numFmtId="176" fontId="27" fillId="2" borderId="0" xfId="22" applyNumberFormat="1" applyFont="1" applyFill="1"/>
    <xf numFmtId="2" fontId="27" fillId="2" borderId="6" xfId="22" applyNumberFormat="1" applyFont="1" applyFill="1" applyBorder="1" applyAlignment="1">
      <alignment vertical="center"/>
    </xf>
    <xf numFmtId="165" fontId="27" fillId="2" borderId="5" xfId="36" applyNumberFormat="1" applyFont="1" applyFill="1" applyBorder="1" applyAlignment="1">
      <alignment vertical="center"/>
    </xf>
    <xf numFmtId="165" fontId="27" fillId="14" borderId="5" xfId="36" applyNumberFormat="1" applyFont="1" applyFill="1" applyBorder="1" applyAlignment="1">
      <alignment vertical="center"/>
    </xf>
    <xf numFmtId="2" fontId="27" fillId="2" borderId="0" xfId="22" applyNumberFormat="1" applyFont="1" applyFill="1"/>
    <xf numFmtId="165" fontId="29" fillId="8" borderId="5" xfId="0" applyNumberFormat="1" applyFont="1" applyFill="1" applyBorder="1"/>
    <xf numFmtId="165" fontId="29" fillId="2" borderId="29" xfId="0" applyNumberFormat="1" applyFont="1" applyFill="1" applyBorder="1"/>
    <xf numFmtId="165" fontId="29" fillId="14" borderId="29" xfId="0" applyNumberFormat="1" applyFont="1" applyFill="1" applyBorder="1"/>
    <xf numFmtId="165" fontId="27" fillId="2" borderId="30" xfId="0" applyNumberFormat="1" applyFont="1" applyFill="1" applyBorder="1"/>
    <xf numFmtId="165" fontId="27" fillId="14" borderId="30" xfId="0" applyNumberFormat="1" applyFont="1" applyFill="1" applyBorder="1"/>
    <xf numFmtId="165" fontId="27" fillId="2" borderId="30" xfId="0" applyNumberFormat="1" applyFont="1" applyFill="1" applyBorder="1" applyAlignment="1">
      <alignment vertical="center"/>
    </xf>
    <xf numFmtId="165" fontId="27" fillId="14" borderId="30" xfId="0" applyNumberFormat="1" applyFont="1" applyFill="1" applyBorder="1" applyAlignment="1">
      <alignment vertical="center"/>
    </xf>
    <xf numFmtId="165" fontId="27" fillId="2" borderId="30" xfId="22" applyNumberFormat="1" applyFont="1" applyFill="1" applyBorder="1" applyAlignment="1">
      <alignment vertical="center"/>
    </xf>
    <xf numFmtId="165" fontId="27" fillId="14" borderId="30" xfId="22" applyNumberFormat="1" applyFont="1" applyFill="1" applyBorder="1" applyAlignment="1">
      <alignment vertical="center"/>
    </xf>
    <xf numFmtId="165" fontId="29" fillId="2" borderId="30" xfId="0" applyNumberFormat="1" applyFont="1" applyFill="1" applyBorder="1"/>
    <xf numFmtId="165" fontId="29" fillId="14" borderId="30" xfId="0" applyNumberFormat="1" applyFont="1" applyFill="1" applyBorder="1"/>
    <xf numFmtId="165" fontId="29" fillId="8" borderId="5" xfId="22" applyNumberFormat="1" applyFont="1" applyFill="1" applyBorder="1" applyAlignment="1">
      <alignment vertical="center"/>
    </xf>
    <xf numFmtId="165" fontId="29" fillId="8" borderId="5" xfId="36" applyNumberFormat="1" applyFont="1" applyFill="1" applyBorder="1" applyAlignment="1">
      <alignment vertical="center"/>
    </xf>
    <xf numFmtId="165" fontId="29" fillId="2" borderId="11" xfId="0" applyNumberFormat="1" applyFont="1" applyFill="1" applyBorder="1"/>
    <xf numFmtId="165" fontId="29" fillId="14" borderId="11" xfId="0" applyNumberFormat="1" applyFont="1" applyFill="1" applyBorder="1"/>
    <xf numFmtId="165" fontId="29" fillId="2" borderId="15" xfId="0" applyNumberFormat="1" applyFont="1" applyFill="1" applyBorder="1"/>
    <xf numFmtId="165" fontId="29" fillId="14" borderId="15" xfId="0" applyNumberFormat="1" applyFont="1" applyFill="1" applyBorder="1"/>
    <xf numFmtId="165" fontId="29" fillId="2" borderId="5" xfId="0" applyNumberFormat="1" applyFont="1" applyFill="1" applyBorder="1"/>
    <xf numFmtId="165" fontId="29" fillId="14" borderId="5" xfId="0" applyNumberFormat="1" applyFont="1" applyFill="1" applyBorder="1"/>
    <xf numFmtId="165" fontId="27" fillId="2" borderId="29" xfId="36" applyNumberFormat="1" applyFont="1" applyFill="1" applyBorder="1"/>
    <xf numFmtId="165" fontId="27" fillId="14" borderId="29" xfId="0" applyNumberFormat="1" applyFont="1" applyFill="1" applyBorder="1"/>
    <xf numFmtId="165" fontId="27" fillId="2" borderId="30" xfId="36" applyNumberFormat="1" applyFont="1" applyFill="1" applyBorder="1"/>
    <xf numFmtId="0" fontId="39" fillId="2" borderId="22" xfId="36" applyFont="1" applyFill="1" applyBorder="1" applyAlignment="1"/>
    <xf numFmtId="165" fontId="27" fillId="2" borderId="21" xfId="36" applyNumberFormat="1" applyFont="1" applyFill="1" applyBorder="1" applyAlignment="1">
      <alignment horizontal="center" wrapText="1"/>
    </xf>
    <xf numFmtId="0" fontId="16" fillId="2" borderId="0" xfId="22" applyFont="1" applyFill="1"/>
    <xf numFmtId="2" fontId="16" fillId="2" borderId="16" xfId="22" applyNumberFormat="1" applyFont="1" applyFill="1" applyBorder="1" applyAlignment="1">
      <alignment vertical="center"/>
    </xf>
    <xf numFmtId="0" fontId="42" fillId="2" borderId="0" xfId="22" applyFont="1" applyFill="1" applyBorder="1"/>
    <xf numFmtId="2" fontId="16" fillId="2" borderId="0" xfId="22" applyNumberFormat="1" applyFont="1" applyFill="1" applyBorder="1" applyAlignment="1">
      <alignment horizontal="right"/>
    </xf>
    <xf numFmtId="0" fontId="16" fillId="2" borderId="0" xfId="22" applyFont="1" applyFill="1" applyAlignment="1">
      <alignment wrapText="1"/>
    </xf>
    <xf numFmtId="167" fontId="29" fillId="5" borderId="36" xfId="22" applyNumberFormat="1" applyFont="1" applyFill="1" applyBorder="1" applyAlignment="1">
      <alignment vertical="center"/>
    </xf>
    <xf numFmtId="167" fontId="29" fillId="2" borderId="12" xfId="22" applyNumberFormat="1" applyFont="1" applyFill="1" applyBorder="1" applyAlignment="1">
      <alignment vertical="center"/>
    </xf>
    <xf numFmtId="167" fontId="27" fillId="2" borderId="12" xfId="22" applyNumberFormat="1" applyFont="1" applyFill="1" applyBorder="1" applyAlignment="1">
      <alignment vertical="center"/>
    </xf>
    <xf numFmtId="167" fontId="29" fillId="5" borderId="13" xfId="22" applyNumberFormat="1" applyFont="1" applyFill="1" applyBorder="1" applyAlignment="1">
      <alignment vertical="center"/>
    </xf>
    <xf numFmtId="167" fontId="29" fillId="2" borderId="12" xfId="36" applyNumberFormat="1" applyFont="1" applyFill="1" applyBorder="1" applyAlignment="1">
      <alignment vertical="center"/>
    </xf>
    <xf numFmtId="167" fontId="29" fillId="2" borderId="13" xfId="22" applyNumberFormat="1" applyFont="1" applyFill="1" applyBorder="1" applyAlignment="1">
      <alignment vertical="center"/>
    </xf>
    <xf numFmtId="167" fontId="27" fillId="2" borderId="13" xfId="22" applyNumberFormat="1" applyFont="1" applyFill="1" applyBorder="1" applyAlignment="1">
      <alignment vertical="center"/>
    </xf>
    <xf numFmtId="167" fontId="27" fillId="0" borderId="12" xfId="22" applyNumberFormat="1" applyFont="1" applyFill="1" applyBorder="1" applyAlignment="1">
      <alignment vertical="center"/>
    </xf>
    <xf numFmtId="167" fontId="29" fillId="5" borderId="24" xfId="36" applyNumberFormat="1" applyFont="1" applyFill="1" applyBorder="1" applyAlignment="1">
      <alignment vertical="center"/>
    </xf>
    <xf numFmtId="167" fontId="29" fillId="2" borderId="14" xfId="36" applyNumberFormat="1" applyFont="1" applyFill="1" applyBorder="1" applyAlignment="1">
      <alignment vertical="center"/>
    </xf>
    <xf numFmtId="167" fontId="27" fillId="2" borderId="14" xfId="36" applyNumberFormat="1" applyFont="1" applyFill="1" applyBorder="1" applyAlignment="1">
      <alignment vertical="center"/>
    </xf>
    <xf numFmtId="167" fontId="29" fillId="2" borderId="24" xfId="36" applyNumberFormat="1" applyFont="1" applyFill="1" applyBorder="1" applyAlignment="1">
      <alignment vertical="center"/>
    </xf>
    <xf numFmtId="167" fontId="27" fillId="2" borderId="24" xfId="36" applyNumberFormat="1" applyFont="1" applyFill="1" applyBorder="1" applyAlignment="1">
      <alignment vertical="center"/>
    </xf>
    <xf numFmtId="167" fontId="27" fillId="0" borderId="14" xfId="36" applyNumberFormat="1" applyFont="1" applyFill="1" applyBorder="1" applyAlignment="1">
      <alignment vertical="center"/>
    </xf>
    <xf numFmtId="167" fontId="29" fillId="14" borderId="12" xfId="22" applyNumberFormat="1" applyFont="1" applyFill="1" applyBorder="1" applyAlignment="1">
      <alignment vertical="center"/>
    </xf>
    <xf numFmtId="167" fontId="27" fillId="14" borderId="12" xfId="22" applyNumberFormat="1" applyFont="1" applyFill="1" applyBorder="1" applyAlignment="1">
      <alignment vertical="center"/>
    </xf>
    <xf numFmtId="167" fontId="29" fillId="14" borderId="12" xfId="36" applyNumberFormat="1" applyFont="1" applyFill="1" applyBorder="1" applyAlignment="1">
      <alignment vertical="center"/>
    </xf>
    <xf numFmtId="167" fontId="29" fillId="14" borderId="13" xfId="22" applyNumberFormat="1" applyFont="1" applyFill="1" applyBorder="1" applyAlignment="1">
      <alignment horizontal="center" vertical="center"/>
    </xf>
    <xf numFmtId="167" fontId="27" fillId="14" borderId="13" xfId="22" applyNumberFormat="1" applyFont="1" applyFill="1" applyBorder="1" applyAlignment="1">
      <alignment horizontal="center" vertical="center"/>
    </xf>
    <xf numFmtId="167" fontId="29" fillId="14" borderId="12" xfId="22" applyNumberFormat="1" applyFont="1" applyFill="1" applyBorder="1" applyAlignment="1">
      <alignment horizontal="center" vertical="center"/>
    </xf>
    <xf numFmtId="167" fontId="29" fillId="14" borderId="13" xfId="22" applyNumberFormat="1" applyFont="1" applyFill="1" applyBorder="1" applyAlignment="1">
      <alignment vertical="center"/>
    </xf>
    <xf numFmtId="167" fontId="29" fillId="8" borderId="13" xfId="0" applyNumberFormat="1" applyFont="1" applyFill="1" applyBorder="1"/>
    <xf numFmtId="167" fontId="29" fillId="2" borderId="34" xfId="0" applyNumberFormat="1" applyFont="1" applyFill="1" applyBorder="1"/>
    <xf numFmtId="167" fontId="27" fillId="2" borderId="12" xfId="0" applyNumberFormat="1" applyFont="1" applyFill="1" applyBorder="1"/>
    <xf numFmtId="167" fontId="27" fillId="2" borderId="12" xfId="0" applyNumberFormat="1" applyFont="1" applyFill="1" applyBorder="1" applyAlignment="1">
      <alignment vertical="center"/>
    </xf>
    <xf numFmtId="167" fontId="29" fillId="2" borderId="12" xfId="0" applyNumberFormat="1" applyFont="1" applyFill="1" applyBorder="1"/>
    <xf numFmtId="167" fontId="29" fillId="8" borderId="13" xfId="22" applyNumberFormat="1" applyFont="1" applyFill="1" applyBorder="1" applyAlignment="1">
      <alignment vertical="center"/>
    </xf>
    <xf numFmtId="167" fontId="29" fillId="2" borderId="36" xfId="0" applyNumberFormat="1" applyFont="1" applyFill="1" applyBorder="1"/>
    <xf numFmtId="167" fontId="29" fillId="2" borderId="53" xfId="0" applyNumberFormat="1" applyFont="1" applyFill="1" applyBorder="1"/>
    <xf numFmtId="167" fontId="29" fillId="2" borderId="13" xfId="0" applyNumberFormat="1" applyFont="1" applyFill="1" applyBorder="1"/>
    <xf numFmtId="167" fontId="27" fillId="2" borderId="34" xfId="0" applyNumberFormat="1" applyFont="1" applyFill="1" applyBorder="1"/>
    <xf numFmtId="167" fontId="29" fillId="14" borderId="34" xfId="0" applyNumberFormat="1" applyFont="1" applyFill="1" applyBorder="1"/>
    <xf numFmtId="167" fontId="27" fillId="14" borderId="12" xfId="0" applyNumberFormat="1" applyFont="1" applyFill="1" applyBorder="1"/>
    <xf numFmtId="167" fontId="27" fillId="14" borderId="12" xfId="0" applyNumberFormat="1" applyFont="1" applyFill="1" applyBorder="1" applyAlignment="1">
      <alignment vertical="center"/>
    </xf>
    <xf numFmtId="167" fontId="29" fillId="14" borderId="12" xfId="0" applyNumberFormat="1" applyFont="1" applyFill="1" applyBorder="1"/>
    <xf numFmtId="167" fontId="29" fillId="14" borderId="36" xfId="0" applyNumberFormat="1" applyFont="1" applyFill="1" applyBorder="1"/>
    <xf numFmtId="167" fontId="29" fillId="14" borderId="53" xfId="0" applyNumberFormat="1" applyFont="1" applyFill="1" applyBorder="1"/>
    <xf numFmtId="167" fontId="29" fillId="14" borderId="13" xfId="0" applyNumberFormat="1" applyFont="1" applyFill="1" applyBorder="1"/>
    <xf numFmtId="167" fontId="27" fillId="14" borderId="34" xfId="0" applyNumberFormat="1" applyFont="1" applyFill="1" applyBorder="1"/>
    <xf numFmtId="167" fontId="29" fillId="6" borderId="24" xfId="22" applyNumberFormat="1" applyFont="1" applyFill="1" applyBorder="1" applyAlignment="1">
      <alignment vertical="center"/>
    </xf>
    <xf numFmtId="167" fontId="29" fillId="2" borderId="0" xfId="22" applyNumberFormat="1" applyFont="1" applyFill="1" applyBorder="1" applyAlignment="1">
      <alignment vertical="center"/>
    </xf>
    <xf numFmtId="167" fontId="27" fillId="2" borderId="14" xfId="22" applyNumberFormat="1" applyFont="1" applyFill="1" applyBorder="1" applyAlignment="1">
      <alignment vertical="center"/>
    </xf>
    <xf numFmtId="167" fontId="29" fillId="2" borderId="14" xfId="22" applyNumberFormat="1" applyFont="1" applyFill="1" applyBorder="1" applyAlignment="1">
      <alignment vertical="center"/>
    </xf>
    <xf numFmtId="167" fontId="29" fillId="2" borderId="24" xfId="22" applyNumberFormat="1" applyFont="1" applyFill="1" applyBorder="1" applyAlignment="1">
      <alignment vertical="center"/>
    </xf>
    <xf numFmtId="167" fontId="27" fillId="2" borderId="24" xfId="22" applyNumberFormat="1" applyFont="1" applyFill="1" applyBorder="1" applyAlignment="1">
      <alignment vertical="center"/>
    </xf>
    <xf numFmtId="167" fontId="27" fillId="0" borderId="14" xfId="22" applyNumberFormat="1" applyFont="1" applyFill="1" applyBorder="1" applyAlignment="1">
      <alignment vertical="center"/>
    </xf>
    <xf numFmtId="167" fontId="29" fillId="14" borderId="0" xfId="22" applyNumberFormat="1" applyFont="1" applyFill="1" applyBorder="1" applyAlignment="1">
      <alignment vertical="center"/>
    </xf>
    <xf numFmtId="167" fontId="27" fillId="14" borderId="14" xfId="22" applyNumberFormat="1" applyFont="1" applyFill="1" applyBorder="1" applyAlignment="1">
      <alignment vertical="center"/>
    </xf>
    <xf numFmtId="167" fontId="29" fillId="14" borderId="14" xfId="22" applyNumberFormat="1" applyFont="1" applyFill="1" applyBorder="1" applyAlignment="1">
      <alignment vertical="center"/>
    </xf>
    <xf numFmtId="167" fontId="29" fillId="14" borderId="24" xfId="22" applyNumberFormat="1" applyFont="1" applyFill="1" applyBorder="1" applyAlignment="1">
      <alignment vertical="center"/>
    </xf>
    <xf numFmtId="167" fontId="27" fillId="14" borderId="24" xfId="22" applyNumberFormat="1" applyFont="1" applyFill="1" applyBorder="1" applyAlignment="1">
      <alignment vertical="center"/>
    </xf>
    <xf numFmtId="167" fontId="27" fillId="2" borderId="12" xfId="36" applyNumberFormat="1" applyFont="1" applyFill="1" applyBorder="1" applyAlignment="1">
      <alignment vertical="center"/>
    </xf>
    <xf numFmtId="167" fontId="29" fillId="8" borderId="13" xfId="36" applyNumberFormat="1" applyFont="1" applyFill="1" applyBorder="1" applyAlignment="1">
      <alignment vertical="center"/>
    </xf>
    <xf numFmtId="167" fontId="29" fillId="2" borderId="13" xfId="36" applyNumberFormat="1" applyFont="1" applyFill="1" applyBorder="1" applyAlignment="1">
      <alignment vertical="center"/>
    </xf>
    <xf numFmtId="167" fontId="27" fillId="14" borderId="12" xfId="0" applyNumberFormat="1" applyFont="1" applyFill="1" applyBorder="1" applyAlignment="1">
      <alignment horizontal="right"/>
    </xf>
    <xf numFmtId="2" fontId="29" fillId="5" borderId="10" xfId="22" applyNumberFormat="1" applyFont="1" applyFill="1" applyBorder="1" applyAlignment="1">
      <alignment vertical="center"/>
    </xf>
    <xf numFmtId="2" fontId="27" fillId="10" borderId="0" xfId="22" applyNumberFormat="1" applyFont="1" applyFill="1"/>
    <xf numFmtId="165" fontId="27" fillId="10" borderId="0" xfId="22" applyNumberFormat="1" applyFont="1" applyFill="1"/>
    <xf numFmtId="2" fontId="43" fillId="2" borderId="0" xfId="22" applyNumberFormat="1" applyFont="1" applyFill="1"/>
    <xf numFmtId="1" fontId="27" fillId="10" borderId="0" xfId="22" applyNumberFormat="1" applyFont="1" applyFill="1"/>
    <xf numFmtId="165" fontId="16" fillId="2" borderId="30" xfId="36" applyNumberFormat="1" applyFont="1" applyFill="1" applyBorder="1" applyAlignment="1">
      <alignment vertical="center"/>
    </xf>
    <xf numFmtId="165" fontId="29" fillId="15" borderId="5" xfId="36" applyNumberFormat="1" applyFont="1" applyFill="1" applyBorder="1" applyAlignment="1">
      <alignment vertical="center"/>
    </xf>
    <xf numFmtId="0" fontId="27" fillId="0" borderId="0" xfId="22" applyFont="1" applyFill="1"/>
    <xf numFmtId="0" fontId="27" fillId="2" borderId="0" xfId="22" applyFont="1" applyFill="1" applyAlignment="1">
      <alignment horizontal="right"/>
    </xf>
    <xf numFmtId="165" fontId="27" fillId="2" borderId="11" xfId="36" applyNumberFormat="1" applyFont="1" applyFill="1" applyBorder="1" applyAlignment="1">
      <alignment vertical="center"/>
    </xf>
    <xf numFmtId="49" fontId="27" fillId="2" borderId="0" xfId="22" applyNumberFormat="1" applyFont="1" applyFill="1" applyAlignment="1">
      <alignment horizontal="center" wrapText="1"/>
    </xf>
    <xf numFmtId="49" fontId="44" fillId="2" borderId="0" xfId="22" applyNumberFormat="1" applyFont="1" applyFill="1" applyAlignment="1">
      <alignment wrapText="1"/>
    </xf>
    <xf numFmtId="167" fontId="16" fillId="14" borderId="12" xfId="22" applyNumberFormat="1" applyFont="1" applyFill="1" applyBorder="1" applyAlignment="1">
      <alignment vertical="center"/>
    </xf>
    <xf numFmtId="165" fontId="16" fillId="14" borderId="30" xfId="22" applyNumberFormat="1" applyFont="1" applyFill="1" applyBorder="1" applyAlignment="1">
      <alignment vertical="center"/>
    </xf>
    <xf numFmtId="0" fontId="29" fillId="5" borderId="26" xfId="36" applyFont="1" applyFill="1" applyBorder="1" applyAlignment="1">
      <alignment horizontal="center" vertical="center"/>
    </xf>
    <xf numFmtId="0" fontId="29" fillId="5" borderId="27" xfId="36" applyFont="1" applyFill="1" applyBorder="1" applyAlignment="1">
      <alignment horizontal="center" vertical="center"/>
    </xf>
    <xf numFmtId="166" fontId="27" fillId="5" borderId="6" xfId="0" applyNumberFormat="1" applyFont="1" applyFill="1" applyBorder="1" applyAlignment="1" applyProtection="1">
      <alignment horizontal="center" vertical="center"/>
      <protection hidden="1"/>
    </xf>
    <xf numFmtId="166" fontId="27" fillId="5" borderId="23" xfId="0" applyNumberFormat="1" applyFont="1" applyFill="1" applyBorder="1" applyAlignment="1" applyProtection="1">
      <alignment horizontal="center" vertical="center"/>
      <protection hidden="1"/>
    </xf>
    <xf numFmtId="166" fontId="27" fillId="5" borderId="24" xfId="0" applyNumberFormat="1" applyFont="1" applyFill="1" applyBorder="1" applyAlignment="1" applyProtection="1">
      <alignment horizontal="center" vertical="center"/>
      <protection hidden="1"/>
    </xf>
    <xf numFmtId="0" fontId="36" fillId="13" borderId="20" xfId="22" applyFont="1" applyFill="1" applyBorder="1" applyAlignment="1">
      <alignment horizontal="center" vertical="center"/>
    </xf>
    <xf numFmtId="0" fontId="36" fillId="13" borderId="18" xfId="22" applyFont="1" applyFill="1" applyBorder="1" applyAlignment="1">
      <alignment horizontal="center" vertical="center"/>
    </xf>
    <xf numFmtId="166" fontId="27" fillId="0" borderId="16" xfId="0" applyNumberFormat="1" applyFont="1" applyFill="1" applyBorder="1" applyAlignment="1" applyProtection="1">
      <alignment horizontal="center" vertical="center"/>
      <protection hidden="1"/>
    </xf>
    <xf numFmtId="166" fontId="27" fillId="0" borderId="0" xfId="0" applyNumberFormat="1" applyFont="1" applyFill="1" applyBorder="1" applyAlignment="1" applyProtection="1">
      <alignment horizontal="center" vertical="center"/>
      <protection hidden="1"/>
    </xf>
    <xf numFmtId="166" fontId="27" fillId="5" borderId="10" xfId="0" applyNumberFormat="1" applyFont="1" applyFill="1" applyBorder="1" applyAlignment="1" applyProtection="1">
      <alignment horizontal="center" vertical="center"/>
      <protection hidden="1"/>
    </xf>
    <xf numFmtId="0" fontId="29" fillId="5" borderId="51" xfId="36" applyFont="1" applyFill="1" applyBorder="1" applyAlignment="1">
      <alignment horizontal="center" vertical="center"/>
    </xf>
    <xf numFmtId="0" fontId="29" fillId="5" borderId="52" xfId="36" applyFont="1" applyFill="1" applyBorder="1" applyAlignment="1">
      <alignment horizontal="center" vertical="center"/>
    </xf>
    <xf numFmtId="166" fontId="27" fillId="0" borderId="14" xfId="0" applyNumberFormat="1" applyFont="1" applyFill="1" applyBorder="1" applyAlignment="1" applyProtection="1">
      <alignment horizontal="center" vertical="center"/>
      <protection hidden="1"/>
    </xf>
    <xf numFmtId="0" fontId="38" fillId="2" borderId="22" xfId="36" applyFont="1" applyFill="1" applyBorder="1" applyAlignment="1">
      <alignment horizontal="center" wrapText="1"/>
    </xf>
    <xf numFmtId="165" fontId="38" fillId="2" borderId="22" xfId="36" applyNumberFormat="1" applyFont="1" applyFill="1" applyBorder="1" applyAlignment="1">
      <alignment horizontal="center" wrapText="1"/>
    </xf>
    <xf numFmtId="0" fontId="36" fillId="12" borderId="54" xfId="22" applyFont="1" applyFill="1" applyBorder="1" applyAlignment="1">
      <alignment horizontal="center" vertical="center"/>
    </xf>
    <xf numFmtId="0" fontId="36" fillId="12" borderId="17" xfId="22" applyFont="1" applyFill="1" applyBorder="1" applyAlignment="1">
      <alignment horizontal="center" vertical="center"/>
    </xf>
    <xf numFmtId="0" fontId="29" fillId="8" borderId="26" xfId="22" applyFont="1" applyFill="1" applyBorder="1" applyAlignment="1">
      <alignment horizontal="center" vertical="center"/>
    </xf>
    <xf numFmtId="0" fontId="29" fillId="8" borderId="27" xfId="22" applyFont="1" applyFill="1" applyBorder="1" applyAlignment="1">
      <alignment horizontal="center" vertical="center"/>
    </xf>
    <xf numFmtId="166" fontId="27" fillId="0" borderId="16" xfId="0" applyNumberFormat="1" applyFont="1" applyFill="1" applyBorder="1" applyAlignment="1">
      <alignment horizontal="center" vertical="center"/>
    </xf>
    <xf numFmtId="166" fontId="27" fillId="0" borderId="14" xfId="0" applyNumberFormat="1" applyFont="1" applyFill="1" applyBorder="1" applyAlignment="1">
      <alignment horizontal="center" vertical="center"/>
    </xf>
    <xf numFmtId="166" fontId="27" fillId="8" borderId="6" xfId="0" applyNumberFormat="1" applyFont="1" applyFill="1" applyBorder="1" applyAlignment="1">
      <alignment horizontal="center" vertical="center"/>
    </xf>
    <xf numFmtId="166" fontId="27" fillId="8" borderId="24" xfId="0" applyNumberFormat="1" applyFont="1" applyFill="1" applyBorder="1" applyAlignment="1">
      <alignment horizontal="center" vertical="center"/>
    </xf>
    <xf numFmtId="166" fontId="27" fillId="0" borderId="0" xfId="0" applyNumberFormat="1" applyFont="1" applyFill="1" applyBorder="1" applyAlignment="1">
      <alignment horizontal="center" vertical="center"/>
    </xf>
    <xf numFmtId="166" fontId="27" fillId="8" borderId="6" xfId="0" applyNumberFormat="1" applyFont="1" applyFill="1" applyBorder="1" applyAlignment="1" applyProtection="1">
      <alignment horizontal="center" vertical="center"/>
      <protection hidden="1"/>
    </xf>
    <xf numFmtId="166" fontId="27" fillId="8" borderId="23" xfId="0" applyNumberFormat="1" applyFont="1" applyFill="1" applyBorder="1" applyAlignment="1" applyProtection="1">
      <alignment horizontal="center" vertical="center"/>
      <protection hidden="1"/>
    </xf>
    <xf numFmtId="166" fontId="27" fillId="8" borderId="24" xfId="0" applyNumberFormat="1" applyFont="1" applyFill="1" applyBorder="1" applyAlignment="1" applyProtection="1">
      <alignment horizontal="center" vertical="center"/>
      <protection hidden="1"/>
    </xf>
    <xf numFmtId="0" fontId="40" fillId="2" borderId="22" xfId="22" applyFont="1" applyFill="1" applyBorder="1" applyAlignment="1">
      <alignment horizontal="center"/>
    </xf>
    <xf numFmtId="166" fontId="27" fillId="6" borderId="6" xfId="0" applyNumberFormat="1" applyFont="1" applyFill="1" applyBorder="1" applyAlignment="1">
      <alignment horizontal="center" vertical="center"/>
    </xf>
    <xf numFmtId="166" fontId="27" fillId="6" borderId="24" xfId="0" applyNumberFormat="1" applyFont="1" applyFill="1" applyBorder="1" applyAlignment="1">
      <alignment horizontal="center" vertical="center"/>
    </xf>
    <xf numFmtId="166" fontId="27" fillId="6" borderId="6" xfId="0" applyNumberFormat="1" applyFont="1" applyFill="1" applyBorder="1" applyAlignment="1" applyProtection="1">
      <alignment horizontal="center" vertical="center"/>
      <protection hidden="1"/>
    </xf>
    <xf numFmtId="166" fontId="27" fillId="6" borderId="23" xfId="0" applyNumberFormat="1" applyFont="1" applyFill="1" applyBorder="1" applyAlignment="1" applyProtection="1">
      <alignment horizontal="center" vertical="center"/>
      <protection hidden="1"/>
    </xf>
    <xf numFmtId="166" fontId="27" fillId="6" borderId="24" xfId="0" applyNumberFormat="1" applyFont="1" applyFill="1" applyBorder="1" applyAlignment="1" applyProtection="1">
      <alignment horizontal="center" vertical="center"/>
      <protection hidden="1"/>
    </xf>
    <xf numFmtId="0" fontId="36" fillId="7" borderId="20" xfId="22" applyFont="1" applyFill="1" applyBorder="1" applyAlignment="1">
      <alignment horizontal="center" vertical="center"/>
    </xf>
    <xf numFmtId="0" fontId="36" fillId="7" borderId="18" xfId="22" applyFont="1" applyFill="1" applyBorder="1" applyAlignment="1">
      <alignment horizontal="center" vertical="center"/>
    </xf>
    <xf numFmtId="0" fontId="29" fillId="6" borderId="26" xfId="22" applyFont="1" applyFill="1" applyBorder="1" applyAlignment="1">
      <alignment horizontal="center" vertical="center"/>
    </xf>
    <xf numFmtId="0" fontId="29" fillId="6" borderId="27" xfId="22" applyFont="1" applyFill="1" applyBorder="1" applyAlignment="1">
      <alignment horizontal="center" vertical="center"/>
    </xf>
    <xf numFmtId="0" fontId="41" fillId="2" borderId="22" xfId="22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horizontal="center" vertical="center" textRotation="45"/>
    </xf>
    <xf numFmtId="0" fontId="16" fillId="0" borderId="0" xfId="0" applyFont="1" applyFill="1" applyAlignment="1">
      <alignment horizontal="center" vertical="center" textRotation="45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6" fontId="16" fillId="0" borderId="0" xfId="0" applyNumberFormat="1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/>
    </xf>
  </cellXfs>
  <cellStyles count="40">
    <cellStyle name="1 indent" xfId="1"/>
    <cellStyle name="2 indents" xfId="2"/>
    <cellStyle name="3 indents" xfId="3"/>
    <cellStyle name="4 indents" xfId="4"/>
    <cellStyle name="Date" xfId="5"/>
    <cellStyle name="F2" xfId="6"/>
    <cellStyle name="F3" xfId="7"/>
    <cellStyle name="F4" xfId="8"/>
    <cellStyle name="F5" xfId="9"/>
    <cellStyle name="F6" xfId="10"/>
    <cellStyle name="F7" xfId="11"/>
    <cellStyle name="F8" xfId="12"/>
    <cellStyle name="Fixed" xfId="13"/>
    <cellStyle name="HEADING1" xfId="14"/>
    <cellStyle name="HEADING2" xfId="15"/>
    <cellStyle name="imf-one decimal" xfId="16"/>
    <cellStyle name="imf-zero decimal" xfId="17"/>
    <cellStyle name="Label" xfId="18"/>
    <cellStyle name="Normal" xfId="0" builtinId="0"/>
    <cellStyle name="Normal - Style1" xfId="19"/>
    <cellStyle name="Normal - Style2" xfId="20"/>
    <cellStyle name="Normal - Style3" xfId="21"/>
    <cellStyle name="Normal 10" xfId="33"/>
    <cellStyle name="Normal 11" xfId="34"/>
    <cellStyle name="Normal 12" xfId="35"/>
    <cellStyle name="Normal 2" xfId="22"/>
    <cellStyle name="Normal 2 2" xfId="36"/>
    <cellStyle name="Normal 2 2 2" xfId="39"/>
    <cellStyle name="Normal 3" xfId="26"/>
    <cellStyle name="Normal 4" xfId="27"/>
    <cellStyle name="Normal 4 2" xfId="37"/>
    <cellStyle name="Normal 5" xfId="28"/>
    <cellStyle name="Normal 6" xfId="29"/>
    <cellStyle name="Normal 7" xfId="30"/>
    <cellStyle name="Normal 8" xfId="31"/>
    <cellStyle name="Normal 9" xfId="32"/>
    <cellStyle name="Obično_KnjigaZIKS i Min pomorstva i saobracaja" xfId="23"/>
    <cellStyle name="Percent" xfId="38" builtinId="5"/>
    <cellStyle name="percentage difference" xfId="24"/>
    <cellStyle name="Publication" xfId="25"/>
  </cellStyles>
  <dxfs count="0"/>
  <tableStyles count="0" defaultTableStyle="TableStyleMedium9" defaultPivotStyle="PivotStyleLight16"/>
  <colors>
    <mruColors>
      <color rgb="FF7E0000"/>
      <color rgb="FFCCECFF"/>
      <color rgb="FFCCFFFF"/>
      <color rgb="FFFFFFCC"/>
      <color rgb="FF910000"/>
      <color rgb="FF820000"/>
      <color rgb="FF5A0000"/>
      <color rgb="FF640000"/>
      <color rgb="FF6E0000"/>
      <color rgb="FF73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630087378318533E-2"/>
          <c:y val="9.3067220764072242E-2"/>
          <c:w val="0.91423489152463533"/>
          <c:h val="0.80647637795275029"/>
        </c:manualLayout>
      </c:layout>
      <c:lineChart>
        <c:grouping val="standard"/>
        <c:varyColors val="0"/>
        <c:ser>
          <c:idx val="0"/>
          <c:order val="0"/>
          <c:tx>
            <c:strRef>
              <c:f>Sheet1!$C$5</c:f>
              <c:strCache>
                <c:ptCount val="1"/>
                <c:pt idx="0">
                  <c:v>Mjesečni plan prihoda 2014</c:v>
                </c:pt>
              </c:strCache>
            </c:strRef>
          </c:tx>
          <c:spPr>
            <a:ln>
              <a:solidFill>
                <a:srgbClr val="910000"/>
              </a:solidFill>
              <a:prstDash val="sysDash"/>
            </a:ln>
          </c:spPr>
          <c:marker>
            <c:symbol val="none"/>
          </c:marker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Sheet1!$D$5:$O$5</c:f>
              <c:numCache>
                <c:formatCode>#,##0.0,,</c:formatCode>
                <c:ptCount val="12"/>
                <c:pt idx="0">
                  <c:v>62425293.156965584</c:v>
                </c:pt>
                <c:pt idx="1">
                  <c:v>79762187.59852089</c:v>
                </c:pt>
                <c:pt idx="2">
                  <c:v>89318688.151918903</c:v>
                </c:pt>
                <c:pt idx="3">
                  <c:v>106294081.27535464</c:v>
                </c:pt>
                <c:pt idx="4">
                  <c:v>97189661.825924918</c:v>
                </c:pt>
                <c:pt idx="5">
                  <c:v>105191801.34506513</c:v>
                </c:pt>
                <c:pt idx="6">
                  <c:v>123272889.17858437</c:v>
                </c:pt>
                <c:pt idx="7">
                  <c:v>125579133.65326507</c:v>
                </c:pt>
                <c:pt idx="8">
                  <c:v>121047897.33843082</c:v>
                </c:pt>
                <c:pt idx="9">
                  <c:v>114789505.85515907</c:v>
                </c:pt>
                <c:pt idx="10">
                  <c:v>97406301.479715049</c:v>
                </c:pt>
                <c:pt idx="11">
                  <c:v>145778958.57826602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214-4F9C-9597-60FBFB448219}"/>
            </c:ext>
          </c:extLst>
        </c:ser>
        <c:ser>
          <c:idx val="1"/>
          <c:order val="1"/>
          <c:tx>
            <c:strRef>
              <c:f>Sheet1!$C$6</c:f>
              <c:strCache>
                <c:ptCount val="1"/>
                <c:pt idx="0">
                  <c:v>Mjesečna procjena prihoda 2014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spPr>
              <a:ln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214-4F9C-9597-60FBFB448219}"/>
              </c:ext>
            </c:extLst>
          </c:dPt>
          <c:dPt>
            <c:idx val="2"/>
            <c:bubble3D val="0"/>
            <c:spPr>
              <a:ln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214-4F9C-9597-60FBFB448219}"/>
              </c:ext>
            </c:extLst>
          </c:dPt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Sheet1!$D$6:$O$6</c:f>
              <c:numCache>
                <c:formatCode>#,##0.0,,</c:formatCode>
                <c:ptCount val="12"/>
                <c:pt idx="0">
                  <c:v>70632268.589999989</c:v>
                </c:pt>
                <c:pt idx="1">
                  <c:v>81381758.450000018</c:v>
                </c:pt>
                <c:pt idx="2">
                  <c:v>100495765.61000001</c:v>
                </c:pt>
                <c:pt idx="3">
                  <c:v>107356417.33534782</c:v>
                </c:pt>
                <c:pt idx="4">
                  <c:v>98816734.644163221</c:v>
                </c:pt>
                <c:pt idx="5">
                  <c:v>107147051.5707173</c:v>
                </c:pt>
                <c:pt idx="6">
                  <c:v>125666748.8575906</c:v>
                </c:pt>
                <c:pt idx="7">
                  <c:v>127890096.38694921</c:v>
                </c:pt>
                <c:pt idx="8">
                  <c:v>123465322.33433203</c:v>
                </c:pt>
                <c:pt idx="9">
                  <c:v>117130344.73943919</c:v>
                </c:pt>
                <c:pt idx="10">
                  <c:v>99294843.070796907</c:v>
                </c:pt>
                <c:pt idx="11">
                  <c:v>149056317.49743444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C214-4F9C-9597-60FBFB448219}"/>
            </c:ext>
          </c:extLst>
        </c:ser>
        <c:ser>
          <c:idx val="2"/>
          <c:order val="2"/>
          <c:tx>
            <c:strRef>
              <c:f>Sheet1!$C$7</c:f>
              <c:strCache>
                <c:ptCount val="1"/>
                <c:pt idx="0">
                  <c:v>Ostvarenje prihoda 2013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Sheet1!$D$7:$O$7</c:f>
              <c:numCache>
                <c:formatCode>#,##0.0,,</c:formatCode>
                <c:ptCount val="12"/>
                <c:pt idx="0">
                  <c:v>54757461.979999989</c:v>
                </c:pt>
                <c:pt idx="1">
                  <c:v>75673443.909999996</c:v>
                </c:pt>
                <c:pt idx="2">
                  <c:v>88296245.580000013</c:v>
                </c:pt>
                <c:pt idx="3">
                  <c:v>103948239.19999999</c:v>
                </c:pt>
                <c:pt idx="4">
                  <c:v>93997829.679999992</c:v>
                </c:pt>
                <c:pt idx="5">
                  <c:v>99561632.659999996</c:v>
                </c:pt>
                <c:pt idx="6">
                  <c:v>122021331.04999998</c:v>
                </c:pt>
                <c:pt idx="7">
                  <c:v>125053427.64999999</c:v>
                </c:pt>
                <c:pt idx="8">
                  <c:v>116342017.78000002</c:v>
                </c:pt>
                <c:pt idx="9">
                  <c:v>117283627.60000001</c:v>
                </c:pt>
                <c:pt idx="10">
                  <c:v>95781753.159999996</c:v>
                </c:pt>
                <c:pt idx="11">
                  <c:v>142429369.22999999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C214-4F9C-9597-60FBFB448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8496"/>
        <c:axId val="1413488"/>
      </c:lineChart>
      <c:catAx>
        <c:axId val="2138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sr-Latn-RS"/>
          </a:p>
        </c:txPr>
        <c:crossAx val="1413488"/>
        <c:crosses val="autoZero"/>
        <c:auto val="1"/>
        <c:lblAlgn val="ctr"/>
        <c:lblOffset val="100"/>
        <c:noMultiLvlLbl val="0"/>
      </c:catAx>
      <c:valAx>
        <c:axId val="1413488"/>
        <c:scaling>
          <c:orientation val="minMax"/>
          <c:max val="130000000"/>
          <c:min val="50000000"/>
        </c:scaling>
        <c:delete val="0"/>
        <c:axPos val="l"/>
        <c:numFmt formatCode="#,##0.0,,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sr-Latn-RS"/>
          </a:p>
        </c:txPr>
        <c:crossAx val="21384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719831223629236"/>
          <c:y val="0.63831291921843114"/>
          <c:w val="0.24343466560350838"/>
          <c:h val="0.21760170603674542"/>
        </c:manualLayout>
      </c:layout>
      <c:overlay val="0"/>
      <c:txPr>
        <a:bodyPr/>
        <a:lstStyle/>
        <a:p>
          <a:pPr>
            <a:defRPr sz="800"/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000000000000444" l="0.70000000000000062" r="0.70000000000000062" t="0.75000000000000444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vi-VN" sz="1000"/>
              <a:t>Poređenje scenarija - sa i bez autoputa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8.2878743296101454E-2"/>
          <c:y val="5.6030183727034118E-2"/>
          <c:w val="0.88495509810152662"/>
          <c:h val="0.89719889180519163"/>
        </c:manualLayout>
      </c:layout>
      <c:lineChart>
        <c:grouping val="standard"/>
        <c:varyColors val="0"/>
        <c:ser>
          <c:idx val="0"/>
          <c:order val="0"/>
          <c:tx>
            <c:strRef>
              <c:f>Sheet3!$C$5</c:f>
              <c:strCache>
                <c:ptCount val="1"/>
                <c:pt idx="0">
                  <c:v>Deficit - osnovni scenario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Sheet3!$D$4:$G$4</c:f>
              <c:strCache>
                <c:ptCount val="4"/>
                <c:pt idx="0">
                  <c:v>2014 - procjena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Sheet3!$D$5:$G$5</c:f>
              <c:numCache>
                <c:formatCode>#,##0.0,,</c:formatCode>
                <c:ptCount val="4"/>
                <c:pt idx="0">
                  <c:v>-26424601.993229389</c:v>
                </c:pt>
                <c:pt idx="1">
                  <c:v>-24569497.372829676</c:v>
                </c:pt>
                <c:pt idx="2">
                  <c:v>33498994.005818129</c:v>
                </c:pt>
                <c:pt idx="3">
                  <c:v>103834080.12588143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E7-408C-A49B-85C2A6E6B2DC}"/>
            </c:ext>
          </c:extLst>
        </c:ser>
        <c:ser>
          <c:idx val="1"/>
          <c:order val="1"/>
          <c:tx>
            <c:strRef>
              <c:f>Sheet3!$C$6</c:f>
              <c:strCache>
                <c:ptCount val="1"/>
                <c:pt idx="0">
                  <c:v>Deficit - scenario sa auto putem</c:v>
                </c:pt>
              </c:strCache>
            </c:strRef>
          </c:tx>
          <c:spPr>
            <a:ln>
              <a:solidFill>
                <a:srgbClr val="910000"/>
              </a:solidFill>
              <a:prstDash val="sysDot"/>
            </a:ln>
          </c:spPr>
          <c:marker>
            <c:symbol val="none"/>
          </c:marker>
          <c:cat>
            <c:strRef>
              <c:f>Sheet3!$D$4:$G$4</c:f>
              <c:strCache>
                <c:ptCount val="4"/>
                <c:pt idx="0">
                  <c:v>2014 - procjena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Sheet3!$D$6:$G$6</c:f>
              <c:numCache>
                <c:formatCode>#,##0.0,,</c:formatCode>
                <c:ptCount val="4"/>
                <c:pt idx="0">
                  <c:v>-51424601.993229389</c:v>
                </c:pt>
                <c:pt idx="1">
                  <c:v>-149569497.37282968</c:v>
                </c:pt>
                <c:pt idx="2">
                  <c:v>-191501005.99418187</c:v>
                </c:pt>
                <c:pt idx="3">
                  <c:v>-221165919.87411857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AE7-408C-A49B-85C2A6E6B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08064"/>
        <c:axId val="6407520"/>
      </c:lineChart>
      <c:catAx>
        <c:axId val="6408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sr-Latn-RS"/>
          </a:p>
        </c:txPr>
        <c:crossAx val="6407520"/>
        <c:crosses val="autoZero"/>
        <c:auto val="1"/>
        <c:lblAlgn val="ctr"/>
        <c:lblOffset val="100"/>
        <c:noMultiLvlLbl val="0"/>
      </c:catAx>
      <c:valAx>
        <c:axId val="6407520"/>
        <c:scaling>
          <c:orientation val="minMax"/>
        </c:scaling>
        <c:delete val="0"/>
        <c:axPos val="l"/>
        <c:numFmt formatCode="#,##0.0,," sourceLinked="1"/>
        <c:majorTickMark val="out"/>
        <c:minorTickMark val="none"/>
        <c:tickLblPos val="nextTo"/>
        <c:txPr>
          <a:bodyPr/>
          <a:lstStyle/>
          <a:p>
            <a:pPr>
              <a:defRPr sz="700"/>
            </a:pPr>
            <a:endParaRPr lang="sr-Latn-RS"/>
          </a:p>
        </c:txPr>
        <c:crossAx val="64080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491661075997865"/>
          <c:y val="0.55478783902012263"/>
          <c:w val="0.28062788115611131"/>
          <c:h val="0.14506780402449834"/>
        </c:manualLayout>
      </c:layout>
      <c:overlay val="0"/>
      <c:txPr>
        <a:bodyPr/>
        <a:lstStyle/>
        <a:p>
          <a:pPr>
            <a:defRPr sz="800"/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2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3.xml><?xml version="1.0" encoding="utf-8"?>
<formControlPr xmlns="http://schemas.microsoft.com/office/spreadsheetml/2009/9/main" objectType="List" dx="16" fmlaLink="MasterSheet!$A$1" fmlaRange="MasterSheet!$B$27:$B$28" noThreeD="1" sel="2" val="0"/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1000125</xdr:colOff>
          <xdr:row>9</xdr:row>
          <xdr:rowOff>85725</xdr:rowOff>
        </xdr:to>
        <xdr:sp macro="" textlink="">
          <xdr:nvSpPr>
            <xdr:cNvPr id="37896" name="List Box 8" hidden="1">
              <a:extLst>
                <a:ext uri="{63B3BB69-23CF-44E3-9099-C40C66FF867C}">
                  <a14:compatExt spid="_x0000_s378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1000125</xdr:colOff>
          <xdr:row>9</xdr:row>
          <xdr:rowOff>85725</xdr:rowOff>
        </xdr:to>
        <xdr:sp macro="" textlink="">
          <xdr:nvSpPr>
            <xdr:cNvPr id="43009" name="List Box 1" hidden="1">
              <a:extLst>
                <a:ext uri="{63B3BB69-23CF-44E3-9099-C40C66FF867C}">
                  <a14:compatExt spid="_x0000_s43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1000125</xdr:colOff>
          <xdr:row>9</xdr:row>
          <xdr:rowOff>85725</xdr:rowOff>
        </xdr:to>
        <xdr:sp macro="" textlink="">
          <xdr:nvSpPr>
            <xdr:cNvPr id="46081" name="List Box 1" hidden="1">
              <a:extLst>
                <a:ext uri="{63B3BB69-23CF-44E3-9099-C40C66FF867C}">
                  <a14:compatExt spid="_x0000_s46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342900</xdr:colOff>
      <xdr:row>2</xdr:row>
      <xdr:rowOff>19050</xdr:rowOff>
    </xdr:from>
    <xdr:ext cx="3943350" cy="264560"/>
    <xdr:sp macro="" textlink="">
      <xdr:nvSpPr>
        <xdr:cNvPr id="2" name="TextBox 1"/>
        <xdr:cNvSpPr txBox="1"/>
      </xdr:nvSpPr>
      <xdr:spPr>
        <a:xfrm>
          <a:off x="9972675" y="342900"/>
          <a:ext cx="39433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57150</xdr:colOff>
      <xdr:row>2</xdr:row>
      <xdr:rowOff>19050</xdr:rowOff>
    </xdr:from>
    <xdr:ext cx="2621230" cy="953466"/>
    <xdr:sp macro="" textlink="">
      <xdr:nvSpPr>
        <xdr:cNvPr id="3" name="TextBox 2"/>
        <xdr:cNvSpPr txBox="1"/>
      </xdr:nvSpPr>
      <xdr:spPr>
        <a:xfrm>
          <a:off x="1276350" y="342900"/>
          <a:ext cx="2621230" cy="9534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dohodak fizičkih lica  11%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promet nepokretnosti  10%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upotrebu motornih vozila   100%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Naknade za igre na sreću   40%</a:t>
          </a:r>
          <a:r>
            <a:rPr lang="en-US"/>
            <a:t> </a:t>
          </a:r>
          <a:endParaRPr lang="x-none"/>
        </a:p>
        <a:p>
          <a:r>
            <a:rPr lang="en-US" sz="1100" b="1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UKUPNO</a:t>
          </a:r>
          <a:r>
            <a:rPr lang="en-US"/>
            <a:t> </a:t>
          </a:r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15</xdr:row>
      <xdr:rowOff>85725</xdr:rowOff>
    </xdr:from>
    <xdr:to>
      <xdr:col>15</xdr:col>
      <xdr:colOff>200025</xdr:colOff>
      <xdr:row>32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0.02785</cdr:x>
      <cdr:y>0.42708</cdr:y>
    </cdr:from>
    <cdr:to>
      <cdr:x>0.1962</cdr:x>
      <cdr:y>0.56597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09550" y="1171575"/>
          <a:ext cx="1266826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r"/>
          <a:r>
            <a:rPr lang="sr-Latn-ME" sz="800" i="1"/>
            <a:t>Ostvarenje</a:t>
          </a:r>
          <a:r>
            <a:rPr lang="sr-Latn-ME" sz="800" i="1" baseline="0"/>
            <a:t> prihoda </a:t>
          </a:r>
        </a:p>
        <a:p xmlns:a="http://schemas.openxmlformats.org/drawingml/2006/main">
          <a:pPr algn="r"/>
          <a:r>
            <a:rPr lang="sr-Latn-ME" sz="800" i="1" baseline="0"/>
            <a:t>u prvom kvartalu 2014.</a:t>
          </a:r>
          <a:endParaRPr lang="en-US" sz="800" i="1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9</xdr:row>
      <xdr:rowOff>142875</xdr:rowOff>
    </xdr:from>
    <xdr:to>
      <xdr:col>10</xdr:col>
      <xdr:colOff>438150</xdr:colOff>
      <xdr:row>26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los.popovic/Dropbox/MINISTARSTVO%20FINANSIJA/SEP/05_Zavrsni%202013/Smjernice%202014-04-04%20sa%20projekcijama%20dug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tal Budget"/>
      <sheetName val="Cental Budget - hwy"/>
      <sheetName val="Local Government"/>
      <sheetName val="Public Expenditure"/>
      <sheetName val="Public Expenditure -hwy"/>
      <sheetName val="PRIMICI"/>
      <sheetName val="DEFICIT Tabela"/>
      <sheetName val="MasterShee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>
            <v>2</v>
          </cell>
        </row>
        <row r="151">
          <cell r="B151" t="str">
            <v>Izvor: Ministarstvo finansija Crne Gore</v>
          </cell>
          <cell r="C151" t="str">
            <v>Source: Ministry of Finance of Montenegro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BR78"/>
  <sheetViews>
    <sheetView tabSelected="1" topLeftCell="B1" zoomScaleNormal="100" workbookViewId="0">
      <selection activeCell="W27" sqref="W27"/>
    </sheetView>
  </sheetViews>
  <sheetFormatPr defaultColWidth="9.140625" defaultRowHeight="12.75"/>
  <cols>
    <col min="1" max="2" width="9.140625" style="80" customWidth="1"/>
    <col min="3" max="3" width="38.28515625" style="80" customWidth="1"/>
    <col min="4" max="13" width="7.7109375" style="80" customWidth="1"/>
    <col min="14" max="62" width="9.140625" style="80" customWidth="1"/>
    <col min="63" max="63" width="9.140625" style="80"/>
    <col min="64" max="64" width="15.42578125" style="80" customWidth="1"/>
    <col min="65" max="65" width="12.7109375" style="80" customWidth="1"/>
    <col min="66" max="66" width="11.85546875" style="80" customWidth="1"/>
    <col min="67" max="16384" width="9.140625" style="80"/>
  </cols>
  <sheetData>
    <row r="1" spans="2:62" ht="15" customHeight="1">
      <c r="C1" s="81"/>
      <c r="D1" s="82"/>
      <c r="E1" s="82"/>
      <c r="F1" s="82"/>
      <c r="G1" s="82"/>
      <c r="H1" s="82"/>
      <c r="I1" s="82"/>
      <c r="J1" s="82"/>
      <c r="K1" s="82"/>
      <c r="L1" s="82"/>
      <c r="M1" s="82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</row>
    <row r="2" spans="2:62" ht="15" hidden="1" customHeight="1">
      <c r="C2" s="81"/>
      <c r="D2" s="116"/>
      <c r="E2" s="116"/>
      <c r="F2" s="116"/>
      <c r="G2" s="123">
        <v>2014</v>
      </c>
      <c r="H2" s="123"/>
      <c r="I2" s="123"/>
      <c r="J2" s="124">
        <v>2017</v>
      </c>
      <c r="L2" s="123"/>
      <c r="M2" s="123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</row>
    <row r="3" spans="2:62" ht="15" hidden="1" customHeight="1">
      <c r="C3" s="81"/>
      <c r="D3" s="117"/>
      <c r="E3" s="117"/>
      <c r="F3" s="117"/>
      <c r="G3" s="118">
        <v>5.4037200000000007</v>
      </c>
      <c r="H3" s="118"/>
      <c r="I3" s="118"/>
      <c r="J3" s="119">
        <v>6.0799999999999965</v>
      </c>
      <c r="L3" s="118"/>
      <c r="M3" s="118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</row>
    <row r="4" spans="2:62" ht="15" hidden="1" customHeight="1">
      <c r="C4" s="81"/>
      <c r="D4" s="112"/>
      <c r="E4" s="112"/>
      <c r="F4" s="112"/>
      <c r="G4" s="110">
        <v>3.54</v>
      </c>
      <c r="H4" s="110"/>
      <c r="I4" s="110"/>
      <c r="J4" s="111">
        <v>4</v>
      </c>
      <c r="L4" s="110"/>
      <c r="M4" s="110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</row>
    <row r="5" spans="2:62" ht="15" hidden="1" customHeight="1">
      <c r="C5" s="81"/>
      <c r="D5" s="120"/>
      <c r="E5" s="120"/>
      <c r="F5" s="120"/>
      <c r="G5" s="121">
        <v>1.8</v>
      </c>
      <c r="H5" s="121"/>
      <c r="I5" s="121"/>
      <c r="J5" s="131">
        <v>2</v>
      </c>
      <c r="L5" s="121"/>
      <c r="M5" s="12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</row>
    <row r="6" spans="2:62" ht="15" hidden="1" customHeight="1">
      <c r="C6" s="81"/>
      <c r="D6" s="122"/>
      <c r="E6" s="122"/>
      <c r="F6" s="122"/>
      <c r="G6" s="130">
        <v>2.3E-2</v>
      </c>
      <c r="H6" s="130"/>
      <c r="I6" s="130"/>
      <c r="J6" s="130">
        <v>5.1999999999999998E-2</v>
      </c>
      <c r="L6" s="130"/>
      <c r="M6" s="130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</row>
    <row r="7" spans="2:62" ht="15" hidden="1" customHeight="1">
      <c r="C7" s="81"/>
      <c r="D7" s="113"/>
      <c r="E7" s="113"/>
      <c r="F7" s="113"/>
      <c r="G7" s="113"/>
      <c r="H7" s="113"/>
      <c r="I7" s="113"/>
      <c r="J7" s="114"/>
      <c r="L7" s="113"/>
      <c r="M7" s="113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</row>
    <row r="8" spans="2:62" ht="15" hidden="1" customHeight="1">
      <c r="C8" s="81"/>
      <c r="D8" s="109"/>
      <c r="E8" s="109"/>
      <c r="F8" s="109"/>
      <c r="G8" s="125">
        <f>+J16/F16*100-100</f>
        <v>-6.6320263529091363</v>
      </c>
      <c r="H8" s="125"/>
      <c r="I8" s="125"/>
      <c r="J8" s="127" t="e">
        <f>+#REF!/#REF!*100-100</f>
        <v>#REF!</v>
      </c>
      <c r="L8" s="125"/>
      <c r="M8" s="125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</row>
    <row r="9" spans="2:62" ht="15" hidden="1" customHeight="1">
      <c r="C9" s="81"/>
      <c r="D9" s="115"/>
      <c r="E9" s="115"/>
      <c r="F9" s="115"/>
      <c r="G9" s="126" t="e">
        <f>+J16/#REF!*100-100</f>
        <v>#REF!</v>
      </c>
      <c r="H9" s="126"/>
      <c r="I9" s="126"/>
      <c r="J9" s="128" t="e">
        <f>+#REF!/#REF!*100-100</f>
        <v>#REF!</v>
      </c>
      <c r="L9" s="126"/>
      <c r="M9" s="126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</row>
    <row r="10" spans="2:62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</row>
    <row r="11" spans="2:62" ht="18.75" customHeight="1" thickTop="1" thickBot="1">
      <c r="C11" s="178" t="str">
        <f>IF(MasterSheet!$A$1=1,MasterSheet!B67,MasterSheet!B66)</f>
        <v>BDP (u mil. €)</v>
      </c>
      <c r="D11" s="313">
        <v>3957200000</v>
      </c>
      <c r="E11" s="314"/>
      <c r="F11" s="314"/>
      <c r="G11" s="315"/>
      <c r="H11" s="318"/>
      <c r="I11" s="323"/>
      <c r="J11" s="320">
        <v>3773000000</v>
      </c>
      <c r="K11" s="320">
        <v>0</v>
      </c>
      <c r="L11" s="318"/>
      <c r="M11" s="319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</row>
    <row r="12" spans="2:62" ht="19.5" customHeight="1" thickTop="1">
      <c r="C12" s="81"/>
      <c r="D12" s="236"/>
      <c r="E12" s="236"/>
      <c r="F12" s="83"/>
      <c r="G12" s="83"/>
      <c r="H12" s="82"/>
      <c r="I12" s="82"/>
      <c r="J12" s="82"/>
      <c r="K12" s="82"/>
      <c r="L12" s="82"/>
      <c r="M12" s="82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</row>
    <row r="13" spans="2:62" ht="17.25" customHeight="1" thickBot="1">
      <c r="B13" s="85"/>
      <c r="C13" s="86"/>
      <c r="D13" s="325"/>
      <c r="E13" s="325"/>
      <c r="F13" s="235"/>
      <c r="G13" s="235"/>
      <c r="H13" s="235"/>
      <c r="I13" s="235"/>
      <c r="J13" s="324"/>
      <c r="K13" s="324"/>
      <c r="L13" s="162"/>
      <c r="M13" s="162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</row>
    <row r="14" spans="2:62" ht="15.75" customHeight="1" thickTop="1">
      <c r="B14" s="87"/>
      <c r="C14" s="316" t="str">
        <f>IF(MasterSheet!$A$1=1,MasterSheet!B71,MasterSheet!B70)</f>
        <v>Budžet Crne Gore</v>
      </c>
      <c r="D14" s="311" t="s">
        <v>468</v>
      </c>
      <c r="E14" s="312"/>
      <c r="F14" s="311" t="s">
        <v>469</v>
      </c>
      <c r="G14" s="312"/>
      <c r="H14" s="311" t="s">
        <v>447</v>
      </c>
      <c r="I14" s="312"/>
      <c r="J14" s="311" t="s">
        <v>464</v>
      </c>
      <c r="K14" s="312"/>
      <c r="L14" s="321" t="str">
        <f>+H14</f>
        <v>Odstupanje</v>
      </c>
      <c r="M14" s="322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</row>
    <row r="15" spans="2:62" ht="15" customHeight="1" thickBot="1">
      <c r="C15" s="317" t="str">
        <f>IF(MasterSheet!$A$1=1,MasterSheet!B71,MasterSheet!B70)</f>
        <v>Budžet Crne Gore</v>
      </c>
      <c r="D15" s="88" t="str">
        <f>+F15</f>
        <v>mil. €</v>
      </c>
      <c r="E15" s="200" t="str">
        <f>+G15</f>
        <v>% BDP</v>
      </c>
      <c r="F15" s="88" t="s">
        <v>262</v>
      </c>
      <c r="G15" s="89" t="s">
        <v>149</v>
      </c>
      <c r="H15" s="199" t="s">
        <v>262</v>
      </c>
      <c r="I15" s="199" t="s">
        <v>441</v>
      </c>
      <c r="J15" s="88" t="s">
        <v>262</v>
      </c>
      <c r="K15" s="89" t="s">
        <v>149</v>
      </c>
      <c r="L15" s="201" t="s">
        <v>262</v>
      </c>
      <c r="M15" s="129" t="s">
        <v>441</v>
      </c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</row>
    <row r="16" spans="2:62" ht="15" customHeight="1" thickTop="1" thickBot="1">
      <c r="B16" s="80">
        <v>7</v>
      </c>
      <c r="C16" s="90" t="str">
        <f>IF(MasterSheet!$A$1=1,MasterSheet!C72,MasterSheet!B72)</f>
        <v>Izvorni prihodi</v>
      </c>
      <c r="D16" s="163">
        <f>+D17+D25+SUM(D30:D34)</f>
        <v>297738758.42000002</v>
      </c>
      <c r="E16" s="242">
        <f>+D16/$D$11*100</f>
        <v>7.5239754983321543</v>
      </c>
      <c r="F16" s="163">
        <f>+F17+F25+SUM(F30:F34)</f>
        <v>304992586.5868597</v>
      </c>
      <c r="G16" s="242">
        <f>+F16/$D$11*100</f>
        <v>7.7072825883670193</v>
      </c>
      <c r="H16" s="163">
        <f>+D16-F16</f>
        <v>-7253828.1668596864</v>
      </c>
      <c r="I16" s="245">
        <f>+IF(ISNUMBER(D16/F16*100-100),D16/F16*100-100,"...")</f>
        <v>-2.3783621261213312</v>
      </c>
      <c r="J16" s="163">
        <f>+J17+J25+SUM(J30:J34)</f>
        <v>284765397.86999995</v>
      </c>
      <c r="K16" s="242">
        <f>+J16/$J$11*100</f>
        <v>7.5474528987543064</v>
      </c>
      <c r="L16" s="163">
        <f>+D16-J16</f>
        <v>12973360.550000072</v>
      </c>
      <c r="M16" s="242">
        <f t="shared" ref="M16:M59" si="0">+IF(ISNUMBER(D16/J16*100-100),D16/J16*100-100,"...")</f>
        <v>4.5558065154821321</v>
      </c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</row>
    <row r="17" spans="2:69" ht="15" customHeight="1" thickTop="1">
      <c r="B17" s="80">
        <v>711</v>
      </c>
      <c r="C17" s="93" t="str">
        <f>IF(MasterSheet!$A$1=1,MasterSheet!C73,MasterSheet!B73)</f>
        <v>Porezi</v>
      </c>
      <c r="D17" s="152">
        <f>+SUM(D18:D24)</f>
        <v>194651537.56</v>
      </c>
      <c r="E17" s="243">
        <f t="shared" ref="E17:E74" si="1">+D17/$D$11*100</f>
        <v>4.9189208925502879</v>
      </c>
      <c r="F17" s="152">
        <f>+SUM(F18:F24)</f>
        <v>191931750.56307486</v>
      </c>
      <c r="G17" s="243">
        <f t="shared" ref="G17:G74" si="2">+F17/$D$11*100</f>
        <v>4.8501908056978387</v>
      </c>
      <c r="H17" s="205">
        <f t="shared" ref="H17:H68" si="3">+D17-F17</f>
        <v>2719786.9969251454</v>
      </c>
      <c r="I17" s="256">
        <f t="shared" ref="I17:I68" si="4">+IF(ISNUMBER(D17/F17*100-100),D17/F17*100-100,"...")</f>
        <v>1.4170594437585464</v>
      </c>
      <c r="J17" s="152">
        <f>+SUM(J18:J24)</f>
        <v>180419238.19999999</v>
      </c>
      <c r="K17" s="243">
        <f t="shared" ref="K17:K68" si="5">+J17/$J$11*100</f>
        <v>4.7818509992048766</v>
      </c>
      <c r="L17" s="205">
        <f t="shared" ref="L17:L35" si="6">+D17-J17</f>
        <v>14232299.360000014</v>
      </c>
      <c r="M17" s="256">
        <f t="shared" si="0"/>
        <v>7.8884599569271501</v>
      </c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</row>
    <row r="18" spans="2:69" ht="15" customHeight="1">
      <c r="B18" s="80">
        <v>7111</v>
      </c>
      <c r="C18" s="97" t="str">
        <f>IF(MasterSheet!$A$1=1,MasterSheet!C74,MasterSheet!B74)</f>
        <v>Porez na dohodak fizičkih lica</v>
      </c>
      <c r="D18" s="153">
        <v>20700370.130000003</v>
      </c>
      <c r="E18" s="244">
        <f t="shared" si="1"/>
        <v>0.52310649272212684</v>
      </c>
      <c r="F18" s="153">
        <v>22712908.198148303</v>
      </c>
      <c r="G18" s="244">
        <f t="shared" si="2"/>
        <v>0.57396412104893113</v>
      </c>
      <c r="H18" s="206">
        <f t="shared" si="3"/>
        <v>-2012538.0681483001</v>
      </c>
      <c r="I18" s="257">
        <f t="shared" si="4"/>
        <v>-8.8607678531997749</v>
      </c>
      <c r="J18" s="154">
        <v>22269479.659999993</v>
      </c>
      <c r="K18" s="244">
        <f t="shared" si="5"/>
        <v>0.59023269705804382</v>
      </c>
      <c r="L18" s="206">
        <f t="shared" si="6"/>
        <v>-1569109.52999999</v>
      </c>
      <c r="M18" s="257">
        <f t="shared" si="0"/>
        <v>-7.0460089501704601</v>
      </c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</row>
    <row r="19" spans="2:69" ht="15" customHeight="1">
      <c r="B19" s="80">
        <v>7112</v>
      </c>
      <c r="C19" s="97" t="str">
        <f>IF(MasterSheet!$A$1=1,MasterSheet!C75,MasterSheet!B75)</f>
        <v>Porez na dobit pravnih lica</v>
      </c>
      <c r="D19" s="154">
        <v>19487007.920000002</v>
      </c>
      <c r="E19" s="244">
        <f t="shared" si="1"/>
        <v>0.49244435257252606</v>
      </c>
      <c r="F19" s="154">
        <v>17202335.449503724</v>
      </c>
      <c r="G19" s="244">
        <f t="shared" si="2"/>
        <v>0.43470978089314977</v>
      </c>
      <c r="H19" s="206">
        <f t="shared" si="3"/>
        <v>2284672.4704962783</v>
      </c>
      <c r="I19" s="257">
        <f t="shared" si="4"/>
        <v>13.281176135663557</v>
      </c>
      <c r="J19" s="154">
        <v>16590793.719999999</v>
      </c>
      <c r="K19" s="244">
        <f t="shared" si="5"/>
        <v>0.43972419082957853</v>
      </c>
      <c r="L19" s="206">
        <f t="shared" si="6"/>
        <v>2896214.200000003</v>
      </c>
      <c r="M19" s="257">
        <f t="shared" si="0"/>
        <v>17.456754926129008</v>
      </c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L19" s="81"/>
    </row>
    <row r="20" spans="2:69" ht="15" customHeight="1">
      <c r="B20" s="80">
        <v>7113</v>
      </c>
      <c r="C20" s="97" t="str">
        <f>IF(MasterSheet!$A$1=1,MasterSheet!C76,MasterSheet!B76)</f>
        <v>Porez na promet nepokretnosti</v>
      </c>
      <c r="D20" s="154">
        <v>255324.69</v>
      </c>
      <c r="E20" s="244">
        <f t="shared" si="1"/>
        <v>6.4521553118366522E-3</v>
      </c>
      <c r="F20" s="154">
        <v>545625.00483547617</v>
      </c>
      <c r="G20" s="244">
        <f t="shared" si="2"/>
        <v>1.3788158415937434E-2</v>
      </c>
      <c r="H20" s="206">
        <f t="shared" si="3"/>
        <v>-290300.31483547617</v>
      </c>
      <c r="I20" s="257">
        <f t="shared" si="4"/>
        <v>-53.205097321925564</v>
      </c>
      <c r="J20" s="154">
        <v>295076.11000000004</v>
      </c>
      <c r="K20" s="244">
        <f t="shared" si="5"/>
        <v>7.8207291280148437E-3</v>
      </c>
      <c r="L20" s="206">
        <f t="shared" si="6"/>
        <v>-39751.420000000042</v>
      </c>
      <c r="M20" s="257">
        <f t="shared" si="0"/>
        <v>-13.471581958973246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6"/>
      <c r="AZ20" s="136"/>
      <c r="BA20" s="136"/>
      <c r="BB20" s="136"/>
      <c r="BC20" s="136"/>
      <c r="BD20" s="136"/>
      <c r="BE20" s="136"/>
      <c r="BF20" s="136"/>
      <c r="BG20" s="136"/>
      <c r="BH20" s="136"/>
      <c r="BI20" s="136"/>
      <c r="BJ20" s="136"/>
    </row>
    <row r="21" spans="2:69" ht="15" customHeight="1">
      <c r="B21" s="80">
        <v>7114</v>
      </c>
      <c r="C21" s="97" t="str">
        <f>IF(MasterSheet!$A$1=1,MasterSheet!C77,MasterSheet!B77)</f>
        <v>Porez na dodatu vrijednost</v>
      </c>
      <c r="D21" s="153">
        <v>106205407.37</v>
      </c>
      <c r="E21" s="244">
        <f t="shared" si="1"/>
        <v>2.6838524049833214</v>
      </c>
      <c r="F21" s="153">
        <v>106087842.9110896</v>
      </c>
      <c r="G21" s="244">
        <f t="shared" si="2"/>
        <v>2.6808815048794501</v>
      </c>
      <c r="H21" s="206">
        <f t="shared" si="3"/>
        <v>117564.45891040564</v>
      </c>
      <c r="I21" s="257">
        <f t="shared" si="4"/>
        <v>0.11081803125070167</v>
      </c>
      <c r="J21" s="154">
        <v>101136918.48</v>
      </c>
      <c r="K21" s="244">
        <f t="shared" si="5"/>
        <v>2.6805438240127222</v>
      </c>
      <c r="L21" s="206">
        <f t="shared" si="6"/>
        <v>5068488.8900000006</v>
      </c>
      <c r="M21" s="257">
        <f t="shared" si="0"/>
        <v>5.0115120830009232</v>
      </c>
    </row>
    <row r="22" spans="2:69" ht="15" customHeight="1">
      <c r="B22" s="80">
        <v>7115</v>
      </c>
      <c r="C22" s="97" t="str">
        <f>IF(MasterSheet!$A$1=1,MasterSheet!C78,MasterSheet!B78)</f>
        <v>Akcize</v>
      </c>
      <c r="D22" s="154">
        <v>41137630.969999999</v>
      </c>
      <c r="E22" s="244">
        <f t="shared" si="1"/>
        <v>1.0395641102294553</v>
      </c>
      <c r="F22" s="154">
        <v>38883013.039741859</v>
      </c>
      <c r="G22" s="244">
        <f t="shared" si="2"/>
        <v>0.98258902859956176</v>
      </c>
      <c r="H22" s="206">
        <f t="shared" si="3"/>
        <v>2254617.93025814</v>
      </c>
      <c r="I22" s="257">
        <f t="shared" si="4"/>
        <v>5.7984650725336593</v>
      </c>
      <c r="J22" s="154">
        <v>33745496.479999989</v>
      </c>
      <c r="K22" s="244">
        <f t="shared" si="5"/>
        <v>0.89439428783461405</v>
      </c>
      <c r="L22" s="206">
        <f t="shared" si="6"/>
        <v>7392134.4900000095</v>
      </c>
      <c r="M22" s="257">
        <f t="shared" si="0"/>
        <v>21.905543734942896</v>
      </c>
    </row>
    <row r="23" spans="2:69" ht="15" customHeight="1">
      <c r="B23" s="80">
        <v>7116</v>
      </c>
      <c r="C23" s="97" t="str">
        <f>IF(MasterSheet!$A$1=1,MasterSheet!C79,MasterSheet!B79)</f>
        <v>Porez na međunarodnu trgovinu i transakcije</v>
      </c>
      <c r="D23" s="154">
        <v>4895082.8100000005</v>
      </c>
      <c r="E23" s="244">
        <f t="shared" si="1"/>
        <v>0.12370066739108461</v>
      </c>
      <c r="F23" s="154">
        <v>4565162.3622602774</v>
      </c>
      <c r="G23" s="244">
        <f t="shared" si="2"/>
        <v>0.11536344794956732</v>
      </c>
      <c r="H23" s="206">
        <f t="shared" si="3"/>
        <v>329920.44773972314</v>
      </c>
      <c r="I23" s="257">
        <f t="shared" si="4"/>
        <v>7.2269159683594495</v>
      </c>
      <c r="J23" s="154">
        <v>4538417.9700000007</v>
      </c>
      <c r="K23" s="244">
        <f t="shared" si="5"/>
        <v>0.12028672064670026</v>
      </c>
      <c r="L23" s="206">
        <f t="shared" si="6"/>
        <v>356664.83999999985</v>
      </c>
      <c r="M23" s="257">
        <f t="shared" si="0"/>
        <v>7.8587922566329667</v>
      </c>
      <c r="BM23" s="138"/>
      <c r="BN23" s="138"/>
      <c r="BO23" s="81"/>
    </row>
    <row r="24" spans="2:69" ht="15" customHeight="1">
      <c r="B24" s="80">
        <v>7118</v>
      </c>
      <c r="C24" s="97" t="s">
        <v>461</v>
      </c>
      <c r="D24" s="154">
        <v>1970713.67</v>
      </c>
      <c r="E24" s="244">
        <f t="shared" si="1"/>
        <v>4.9800709339937327E-2</v>
      </c>
      <c r="F24" s="154">
        <v>1934863.5974955964</v>
      </c>
      <c r="G24" s="244">
        <f t="shared" si="2"/>
        <v>4.8894763911240174E-2</v>
      </c>
      <c r="H24" s="206">
        <f t="shared" si="3"/>
        <v>35850.072504403535</v>
      </c>
      <c r="I24" s="257">
        <f t="shared" si="4"/>
        <v>1.8528475366845782</v>
      </c>
      <c r="J24" s="154">
        <v>1843055.7799999993</v>
      </c>
      <c r="K24" s="244">
        <f t="shared" si="5"/>
        <v>4.8848549695202734E-2</v>
      </c>
      <c r="L24" s="206">
        <f t="shared" si="6"/>
        <v>127657.8900000006</v>
      </c>
      <c r="M24" s="257">
        <f t="shared" si="0"/>
        <v>6.9264257427955158</v>
      </c>
      <c r="BM24" s="138"/>
      <c r="BN24" s="138"/>
      <c r="BO24" s="81"/>
    </row>
    <row r="25" spans="2:69" ht="15" customHeight="1">
      <c r="B25" s="80">
        <v>712</v>
      </c>
      <c r="C25" s="93" t="str">
        <f>IF(MasterSheet!$A$1=1,MasterSheet!C81,MasterSheet!B81)</f>
        <v>Doprinosi</v>
      </c>
      <c r="D25" s="152">
        <f>+SUM(D26:D29)</f>
        <v>85700155.700000003</v>
      </c>
      <c r="E25" s="243">
        <f t="shared" si="1"/>
        <v>2.1656766324674015</v>
      </c>
      <c r="F25" s="152">
        <f>+SUM(F26:F29)</f>
        <v>95293122.329963237</v>
      </c>
      <c r="G25" s="243">
        <f t="shared" si="2"/>
        <v>2.4080946712312556</v>
      </c>
      <c r="H25" s="205">
        <f t="shared" si="3"/>
        <v>-9592966.6299632341</v>
      </c>
      <c r="I25" s="256">
        <f t="shared" si="4"/>
        <v>-10.066798521667181</v>
      </c>
      <c r="J25" s="152">
        <f>+SUM(J26:J29)</f>
        <v>90140128.719999999</v>
      </c>
      <c r="K25" s="243">
        <f t="shared" si="5"/>
        <v>2.3890837190564538</v>
      </c>
      <c r="L25" s="205">
        <f t="shared" si="6"/>
        <v>-4439973.0199999958</v>
      </c>
      <c r="M25" s="256">
        <f t="shared" si="0"/>
        <v>-4.9256342131391619</v>
      </c>
      <c r="BM25" s="138"/>
      <c r="BN25" s="138"/>
      <c r="BO25" s="81"/>
    </row>
    <row r="26" spans="2:69" ht="15" customHeight="1">
      <c r="B26" s="80">
        <v>7121</v>
      </c>
      <c r="C26" s="97" t="str">
        <f>IF(MasterSheet!$A$1=1,MasterSheet!C82,MasterSheet!B82)</f>
        <v>Doprinosi za penzijsko i invalidsko osiguranje</v>
      </c>
      <c r="D26" s="154">
        <v>51533607.93</v>
      </c>
      <c r="E26" s="244">
        <f t="shared" si="1"/>
        <v>1.3022745357828767</v>
      </c>
      <c r="F26" s="154">
        <v>57963648.693399683</v>
      </c>
      <c r="G26" s="244">
        <f t="shared" si="2"/>
        <v>1.464764194213072</v>
      </c>
      <c r="H26" s="206">
        <f t="shared" si="3"/>
        <v>-6430040.7633996829</v>
      </c>
      <c r="I26" s="257">
        <f t="shared" si="4"/>
        <v>-11.093229823076811</v>
      </c>
      <c r="J26" s="154">
        <v>54003599.459999993</v>
      </c>
      <c r="K26" s="244">
        <f t="shared" si="5"/>
        <v>1.4313172398621783</v>
      </c>
      <c r="L26" s="206">
        <f t="shared" si="6"/>
        <v>-2469991.5299999937</v>
      </c>
      <c r="M26" s="257">
        <f t="shared" si="0"/>
        <v>-4.5737535177252369</v>
      </c>
      <c r="BM26" s="138"/>
      <c r="BN26" s="138"/>
      <c r="BO26" s="81"/>
    </row>
    <row r="27" spans="2:69" ht="15" customHeight="1">
      <c r="B27" s="80">
        <v>7122</v>
      </c>
      <c r="C27" s="97" t="str">
        <f>IF(MasterSheet!$A$1=1,MasterSheet!C83,MasterSheet!B83)</f>
        <v>Doprinosi za zdravstveno osiguranje</v>
      </c>
      <c r="D27" s="154">
        <v>29657420.16</v>
      </c>
      <c r="E27" s="244">
        <f t="shared" si="1"/>
        <v>0.74945466895784907</v>
      </c>
      <c r="F27" s="154">
        <v>32784672.767619453</v>
      </c>
      <c r="G27" s="244">
        <f t="shared" si="2"/>
        <v>0.82848157201100403</v>
      </c>
      <c r="H27" s="206">
        <f t="shared" si="3"/>
        <v>-3127252.6076194532</v>
      </c>
      <c r="I27" s="257">
        <f t="shared" si="4"/>
        <v>-9.5387641346481757</v>
      </c>
      <c r="J27" s="154">
        <v>31264327.100000001</v>
      </c>
      <c r="K27" s="244">
        <f t="shared" si="5"/>
        <v>0.82863310628147369</v>
      </c>
      <c r="L27" s="206">
        <f t="shared" si="6"/>
        <v>-1606906.9400000013</v>
      </c>
      <c r="M27" s="257">
        <f t="shared" si="0"/>
        <v>-5.1397458031329393</v>
      </c>
      <c r="BM27" s="138"/>
      <c r="BN27" s="138"/>
      <c r="BO27" s="81"/>
    </row>
    <row r="28" spans="2:69" ht="15" customHeight="1">
      <c r="B28" s="80">
        <v>7123</v>
      </c>
      <c r="C28" s="97" t="str">
        <f>IF(MasterSheet!$A$1=1,MasterSheet!C84,MasterSheet!B84)</f>
        <v>Doprinosi za osiguranje od nezaposlenosti</v>
      </c>
      <c r="D28" s="154">
        <v>2358732.2199999997</v>
      </c>
      <c r="E28" s="244">
        <f t="shared" si="1"/>
        <v>5.9606090670170822E-2</v>
      </c>
      <c r="F28" s="154">
        <v>2142258.5001878752</v>
      </c>
      <c r="G28" s="244">
        <f t="shared" si="2"/>
        <v>5.4135714651467583E-2</v>
      </c>
      <c r="H28" s="206">
        <f t="shared" si="3"/>
        <v>216473.7198121245</v>
      </c>
      <c r="I28" s="257">
        <f t="shared" si="4"/>
        <v>10.104929904264111</v>
      </c>
      <c r="J28" s="154">
        <v>2530450.5399999991</v>
      </c>
      <c r="K28" s="244">
        <f t="shared" si="5"/>
        <v>6.706733474688574E-2</v>
      </c>
      <c r="L28" s="206">
        <f t="shared" si="6"/>
        <v>-171718.31999999937</v>
      </c>
      <c r="M28" s="257">
        <f t="shared" si="0"/>
        <v>-6.786076917353995</v>
      </c>
      <c r="BM28" s="138"/>
      <c r="BN28" s="138"/>
      <c r="BO28" s="81"/>
    </row>
    <row r="29" spans="2:69" ht="15" customHeight="1">
      <c r="B29" s="80">
        <v>7124</v>
      </c>
      <c r="C29" s="97" t="str">
        <f>IF(MasterSheet!$A$1=1,MasterSheet!C85,MasterSheet!B85)</f>
        <v>Ostali doprinosi</v>
      </c>
      <c r="D29" s="153">
        <v>2150395.39</v>
      </c>
      <c r="E29" s="244">
        <f t="shared" si="1"/>
        <v>5.434133705650461E-2</v>
      </c>
      <c r="F29" s="153">
        <v>2402542.3687562374</v>
      </c>
      <c r="G29" s="244">
        <f t="shared" si="2"/>
        <v>6.071319035571205E-2</v>
      </c>
      <c r="H29" s="206">
        <f t="shared" si="3"/>
        <v>-252146.97875623731</v>
      </c>
      <c r="I29" s="257">
        <f t="shared" si="4"/>
        <v>-10.495006541207019</v>
      </c>
      <c r="J29" s="154">
        <v>2341751.62</v>
      </c>
      <c r="K29" s="244">
        <f t="shared" si="5"/>
        <v>6.2066038165915716E-2</v>
      </c>
      <c r="L29" s="206">
        <f t="shared" si="6"/>
        <v>-191356.22999999998</v>
      </c>
      <c r="M29" s="257">
        <f t="shared" si="0"/>
        <v>-8.1714998450604241</v>
      </c>
      <c r="BM29" s="81"/>
      <c r="BN29" s="81"/>
      <c r="BO29" s="81"/>
    </row>
    <row r="30" spans="2:69" ht="15" customHeight="1">
      <c r="B30" s="80">
        <v>713</v>
      </c>
      <c r="C30" s="93" t="str">
        <f>IF(MasterSheet!$A$1=1,MasterSheet!C86,MasterSheet!B86)</f>
        <v>Takse</v>
      </c>
      <c r="D30" s="152">
        <v>2282180.02</v>
      </c>
      <c r="E30" s="243">
        <f t="shared" si="1"/>
        <v>5.7671586475285558E-2</v>
      </c>
      <c r="F30" s="152">
        <v>2668586.1003126977</v>
      </c>
      <c r="G30" s="243">
        <f t="shared" si="2"/>
        <v>6.7436220062486049E-2</v>
      </c>
      <c r="H30" s="205">
        <f t="shared" si="3"/>
        <v>-386406.08031269768</v>
      </c>
      <c r="I30" s="256">
        <f t="shared" si="4"/>
        <v>-14.479805626935544</v>
      </c>
      <c r="J30" s="152">
        <v>2470447.08</v>
      </c>
      <c r="K30" s="243">
        <f t="shared" si="5"/>
        <v>6.5476996554465941E-2</v>
      </c>
      <c r="L30" s="205">
        <f t="shared" si="6"/>
        <v>-188267.06000000006</v>
      </c>
      <c r="M30" s="256">
        <f t="shared" si="0"/>
        <v>-7.6207687881336881</v>
      </c>
      <c r="BM30" s="81"/>
      <c r="BN30" s="81"/>
      <c r="BO30" s="81"/>
    </row>
    <row r="31" spans="2:69" ht="15" customHeight="1">
      <c r="B31" s="80">
        <v>714</v>
      </c>
      <c r="C31" s="93" t="str">
        <f>IF(MasterSheet!$A$1=1,MasterSheet!C91,MasterSheet!B91)</f>
        <v>Naknade</v>
      </c>
      <c r="D31" s="152">
        <v>4541619.6199999992</v>
      </c>
      <c r="E31" s="243">
        <f t="shared" si="1"/>
        <v>0.11476851359547152</v>
      </c>
      <c r="F31" s="152">
        <v>4247518.0883582663</v>
      </c>
      <c r="G31" s="243">
        <f t="shared" si="2"/>
        <v>0.10733645224801037</v>
      </c>
      <c r="H31" s="205">
        <f t="shared" si="3"/>
        <v>294101.5316417329</v>
      </c>
      <c r="I31" s="256">
        <f t="shared" si="4"/>
        <v>6.9240795571375173</v>
      </c>
      <c r="J31" s="152">
        <v>4234315.87</v>
      </c>
      <c r="K31" s="243">
        <f t="shared" si="5"/>
        <v>0.11222676570368406</v>
      </c>
      <c r="L31" s="205">
        <f t="shared" si="6"/>
        <v>307303.74999999907</v>
      </c>
      <c r="M31" s="256">
        <f t="shared" si="0"/>
        <v>7.2574592787759968</v>
      </c>
      <c r="BM31" s="138"/>
      <c r="BN31" s="138"/>
      <c r="BO31" s="138"/>
    </row>
    <row r="32" spans="2:69" ht="15" customHeight="1">
      <c r="B32" s="80">
        <v>715</v>
      </c>
      <c r="C32" s="93" t="str">
        <f>IF(MasterSheet!$A$1=1,MasterSheet!C98,MasterSheet!B98)</f>
        <v>Ostali prihodi</v>
      </c>
      <c r="D32" s="152">
        <v>6153138.8200000003</v>
      </c>
      <c r="E32" s="243">
        <f t="shared" si="1"/>
        <v>0.15549223744061458</v>
      </c>
      <c r="F32" s="152">
        <v>7184787.6370446961</v>
      </c>
      <c r="G32" s="243">
        <f t="shared" si="2"/>
        <v>0.18156240869919882</v>
      </c>
      <c r="H32" s="205">
        <f t="shared" si="3"/>
        <v>-1031648.8170446958</v>
      </c>
      <c r="I32" s="256">
        <f t="shared" si="4"/>
        <v>-14.358793455850034</v>
      </c>
      <c r="J32" s="152">
        <v>6070064.0900000017</v>
      </c>
      <c r="K32" s="243">
        <f t="shared" si="5"/>
        <v>0.160881635038431</v>
      </c>
      <c r="L32" s="205">
        <f t="shared" si="6"/>
        <v>83074.729999998584</v>
      </c>
      <c r="M32" s="256">
        <f t="shared" si="0"/>
        <v>1.3685972465572291</v>
      </c>
      <c r="BM32" s="81"/>
      <c r="BN32" s="81"/>
      <c r="BO32" s="81"/>
      <c r="BP32" s="81"/>
      <c r="BQ32" s="81"/>
    </row>
    <row r="33" spans="1:70">
      <c r="B33" s="80">
        <v>73</v>
      </c>
      <c r="C33" s="101" t="str">
        <f>IF(MasterSheet!$A$1=1,MasterSheet!C103,MasterSheet!B103)</f>
        <v xml:space="preserve">Primici od otplate kredita </v>
      </c>
      <c r="D33" s="152">
        <v>776589.92</v>
      </c>
      <c r="E33" s="243">
        <f t="shared" si="1"/>
        <v>1.9624732639239868E-2</v>
      </c>
      <c r="F33" s="152">
        <v>433830.05676903774</v>
      </c>
      <c r="G33" s="243">
        <f t="shared" si="2"/>
        <v>1.0963056119706806E-2</v>
      </c>
      <c r="H33" s="205">
        <f t="shared" si="3"/>
        <v>342759.86323096231</v>
      </c>
      <c r="I33" s="256">
        <f t="shared" si="4"/>
        <v>79.007864458188209</v>
      </c>
      <c r="J33" s="152">
        <v>349880.75</v>
      </c>
      <c r="K33" s="243">
        <f t="shared" si="5"/>
        <v>9.2732772329711111E-3</v>
      </c>
      <c r="L33" s="205">
        <f t="shared" si="6"/>
        <v>426709.17000000004</v>
      </c>
      <c r="M33" s="256">
        <f t="shared" si="0"/>
        <v>121.9584587034297</v>
      </c>
      <c r="BL33" s="100"/>
      <c r="BM33" s="100"/>
      <c r="BN33" s="99"/>
      <c r="BO33" s="143"/>
      <c r="BP33" s="143"/>
      <c r="BQ33" s="143"/>
      <c r="BR33" s="140"/>
    </row>
    <row r="34" spans="1:70" ht="13.5" customHeight="1" thickBot="1">
      <c r="B34" s="80">
        <v>74</v>
      </c>
      <c r="C34" s="93" t="s">
        <v>122</v>
      </c>
      <c r="D34" s="152">
        <v>3633536.7800000003</v>
      </c>
      <c r="E34" s="243">
        <f t="shared" si="1"/>
        <v>9.1820903163853246E-2</v>
      </c>
      <c r="F34" s="152">
        <v>3232991.8113368941</v>
      </c>
      <c r="G34" s="243">
        <f t="shared" si="2"/>
        <v>8.1698974308523561E-2</v>
      </c>
      <c r="H34" s="205">
        <f t="shared" si="3"/>
        <v>400544.96866310621</v>
      </c>
      <c r="I34" s="256">
        <f t="shared" si="4"/>
        <v>12.389297345528206</v>
      </c>
      <c r="J34" s="152">
        <v>1081323.1600000001</v>
      </c>
      <c r="K34" s="243">
        <f t="shared" si="5"/>
        <v>2.8659505963424335E-2</v>
      </c>
      <c r="L34" s="205">
        <f t="shared" si="6"/>
        <v>2552213.62</v>
      </c>
      <c r="M34" s="256">
        <f t="shared" si="0"/>
        <v>236.02690799668062</v>
      </c>
      <c r="BM34" s="159"/>
      <c r="BN34" s="159"/>
      <c r="BO34" s="143"/>
      <c r="BP34" s="143"/>
      <c r="BQ34" s="143"/>
      <c r="BR34" s="140"/>
    </row>
    <row r="35" spans="1:70" ht="15" customHeight="1" thickTop="1" thickBot="1">
      <c r="B35" s="102"/>
      <c r="C35" s="90" t="s">
        <v>460</v>
      </c>
      <c r="D35" s="91">
        <f>+D37+D48+D54+SUM(D57:D62)</f>
        <v>368247438.16999996</v>
      </c>
      <c r="E35" s="245">
        <f t="shared" si="1"/>
        <v>9.3057575601435349</v>
      </c>
      <c r="F35" s="91">
        <f>+F37+F48+F54+SUM(F57:F62)</f>
        <v>424859823.4375</v>
      </c>
      <c r="G35" s="250">
        <f t="shared" si="2"/>
        <v>10.736374796257454</v>
      </c>
      <c r="H35" s="91">
        <f t="shared" si="3"/>
        <v>-56612385.267500043</v>
      </c>
      <c r="I35" s="245">
        <f t="shared" si="4"/>
        <v>-13.324956172474643</v>
      </c>
      <c r="J35" s="91">
        <f>+J37+J48+J54+SUM(J57:J62)</f>
        <v>356580756.70999998</v>
      </c>
      <c r="K35" s="245">
        <f t="shared" si="5"/>
        <v>9.4508549353299767</v>
      </c>
      <c r="L35" s="91">
        <f t="shared" si="6"/>
        <v>11666681.459999979</v>
      </c>
      <c r="M35" s="245">
        <f t="shared" si="0"/>
        <v>3.2718202652445143</v>
      </c>
      <c r="BM35" s="81"/>
      <c r="BN35" s="81"/>
      <c r="BO35" s="143"/>
      <c r="BP35" s="143"/>
      <c r="BQ35" s="143"/>
      <c r="BR35" s="140"/>
    </row>
    <row r="36" spans="1:70" ht="13.5" customHeight="1" thickTop="1" thickBot="1">
      <c r="C36" s="297" t="s">
        <v>448</v>
      </c>
      <c r="D36" s="91">
        <f>+D35-D57</f>
        <v>359283382.89999998</v>
      </c>
      <c r="E36" s="245">
        <f t="shared" si="1"/>
        <v>9.0792323587385013</v>
      </c>
      <c r="F36" s="91">
        <f>+F35-F57</f>
        <v>382398033.4375</v>
      </c>
      <c r="G36" s="250">
        <f t="shared" si="2"/>
        <v>9.6633486666708794</v>
      </c>
      <c r="H36" s="91">
        <f t="shared" si="3"/>
        <v>-23114650.537500024</v>
      </c>
      <c r="I36" s="245">
        <f t="shared" si="4"/>
        <v>-6.0446572723491698</v>
      </c>
      <c r="J36" s="160">
        <f>+J35-J57</f>
        <v>354142831.76999998</v>
      </c>
      <c r="K36" s="245">
        <f t="shared" si="5"/>
        <v>9.386239909090909</v>
      </c>
      <c r="L36" s="91">
        <f t="shared" ref="L36:L74" si="7">+D36-J36</f>
        <v>5140551.1299999952</v>
      </c>
      <c r="M36" s="245">
        <f t="shared" si="0"/>
        <v>1.4515474178335381</v>
      </c>
      <c r="N36" s="212"/>
      <c r="BM36" s="159"/>
      <c r="BN36" s="159"/>
      <c r="BO36" s="143"/>
      <c r="BP36" s="143"/>
      <c r="BQ36" s="143"/>
      <c r="BR36" s="140"/>
    </row>
    <row r="37" spans="1:70" ht="13.5" customHeight="1" thickTop="1">
      <c r="A37" s="80">
        <v>41</v>
      </c>
      <c r="B37" s="80">
        <v>41</v>
      </c>
      <c r="C37" s="93" t="s">
        <v>62</v>
      </c>
      <c r="D37" s="94">
        <f>+SUM(D38:D47)</f>
        <v>189036648.19</v>
      </c>
      <c r="E37" s="243">
        <f t="shared" si="1"/>
        <v>4.7770304303547961</v>
      </c>
      <c r="F37" s="94">
        <f>+SUM(F38:F47)</f>
        <v>194563761.63749999</v>
      </c>
      <c r="G37" s="251">
        <f t="shared" si="2"/>
        <v>4.9167027604745774</v>
      </c>
      <c r="H37" s="203">
        <f t="shared" si="3"/>
        <v>-5527113.4474999905</v>
      </c>
      <c r="I37" s="256">
        <f t="shared" si="4"/>
        <v>-2.8407723005467886</v>
      </c>
      <c r="J37" s="94">
        <f>+SUM(J38:J47)</f>
        <v>168201829.16999999</v>
      </c>
      <c r="K37" s="243">
        <f t="shared" si="5"/>
        <v>4.4580394691227134</v>
      </c>
      <c r="L37" s="203">
        <f t="shared" si="7"/>
        <v>20834819.020000011</v>
      </c>
      <c r="M37" s="256">
        <f t="shared" si="0"/>
        <v>12.386796934855255</v>
      </c>
      <c r="BM37" s="159"/>
      <c r="BN37" s="159"/>
      <c r="BO37" s="143"/>
      <c r="BP37" s="143"/>
      <c r="BQ37" s="143"/>
      <c r="BR37" s="140"/>
    </row>
    <row r="38" spans="1:70" ht="13.5" customHeight="1">
      <c r="B38" s="80">
        <v>411</v>
      </c>
      <c r="C38" s="93" t="s">
        <v>63</v>
      </c>
      <c r="D38" s="164">
        <v>109193717.32000001</v>
      </c>
      <c r="E38" s="243">
        <f t="shared" si="1"/>
        <v>2.7593681724451637</v>
      </c>
      <c r="F38" s="152">
        <v>109561559.99499997</v>
      </c>
      <c r="G38" s="251">
        <f t="shared" si="2"/>
        <v>2.7686637014808442</v>
      </c>
      <c r="H38" s="205">
        <f t="shared" si="3"/>
        <v>-367842.67499996722</v>
      </c>
      <c r="I38" s="256">
        <f t="shared" si="4"/>
        <v>-0.33574063295260714</v>
      </c>
      <c r="J38" s="152">
        <v>97503883.709999979</v>
      </c>
      <c r="K38" s="243">
        <f t="shared" si="5"/>
        <v>2.5842534776040282</v>
      </c>
      <c r="L38" s="205">
        <f t="shared" si="7"/>
        <v>11689833.610000029</v>
      </c>
      <c r="M38" s="256">
        <f t="shared" si="0"/>
        <v>11.98909537261963</v>
      </c>
      <c r="BM38" s="159"/>
      <c r="BN38" s="159"/>
      <c r="BO38" s="143"/>
      <c r="BP38" s="143"/>
      <c r="BQ38" s="143"/>
      <c r="BR38" s="140"/>
    </row>
    <row r="39" spans="1:70" ht="13.5" customHeight="1">
      <c r="B39" s="80">
        <v>412</v>
      </c>
      <c r="C39" s="93" t="s">
        <v>74</v>
      </c>
      <c r="D39" s="152">
        <v>1927480.5899999999</v>
      </c>
      <c r="E39" s="243">
        <f t="shared" si="1"/>
        <v>4.870819240877388E-2</v>
      </c>
      <c r="F39" s="152">
        <v>2547036.7425000002</v>
      </c>
      <c r="G39" s="251">
        <f t="shared" si="2"/>
        <v>6.4364619996462147E-2</v>
      </c>
      <c r="H39" s="205">
        <f t="shared" si="3"/>
        <v>-619556.15250000032</v>
      </c>
      <c r="I39" s="256">
        <f t="shared" si="4"/>
        <v>-24.324586377654128</v>
      </c>
      <c r="J39" s="152">
        <v>2950991.69</v>
      </c>
      <c r="K39" s="243">
        <f t="shared" si="5"/>
        <v>7.8213402862443673E-2</v>
      </c>
      <c r="L39" s="205">
        <f t="shared" si="7"/>
        <v>-1023511.1000000001</v>
      </c>
      <c r="M39" s="256">
        <f t="shared" si="0"/>
        <v>-34.683632064040154</v>
      </c>
      <c r="BM39" s="159"/>
      <c r="BN39" s="159"/>
      <c r="BO39" s="143"/>
      <c r="BP39" s="143"/>
      <c r="BQ39" s="143"/>
      <c r="BR39" s="140"/>
    </row>
    <row r="40" spans="1:70" ht="13.5" customHeight="1">
      <c r="B40" s="80">
        <v>413</v>
      </c>
      <c r="C40" s="93" t="s">
        <v>428</v>
      </c>
      <c r="D40" s="152">
        <v>5845529.9900000002</v>
      </c>
      <c r="E40" s="243">
        <f t="shared" si="1"/>
        <v>0.14771884135247143</v>
      </c>
      <c r="F40" s="152">
        <v>5919422.5800000001</v>
      </c>
      <c r="G40" s="251">
        <f t="shared" si="2"/>
        <v>0.1495861361568786</v>
      </c>
      <c r="H40" s="205">
        <f t="shared" si="3"/>
        <v>-73892.589999999851</v>
      </c>
      <c r="I40" s="256">
        <f t="shared" si="4"/>
        <v>-1.2483073982530186</v>
      </c>
      <c r="J40" s="152">
        <v>5637436.790000001</v>
      </c>
      <c r="K40" s="243">
        <f t="shared" si="5"/>
        <v>0.14941523429631595</v>
      </c>
      <c r="L40" s="205">
        <f t="shared" si="7"/>
        <v>208093.19999999925</v>
      </c>
      <c r="M40" s="256">
        <f t="shared" si="0"/>
        <v>3.6912733171416932</v>
      </c>
      <c r="BM40" s="159"/>
      <c r="BN40" s="159"/>
      <c r="BO40" s="143"/>
      <c r="BP40" s="143"/>
      <c r="BQ40" s="143"/>
      <c r="BR40" s="140"/>
    </row>
    <row r="41" spans="1:70" ht="13.5" customHeight="1">
      <c r="B41" s="80">
        <v>414</v>
      </c>
      <c r="C41" s="93" t="s">
        <v>429</v>
      </c>
      <c r="D41" s="152">
        <v>11815678.470000001</v>
      </c>
      <c r="E41" s="243">
        <f t="shared" si="1"/>
        <v>0.29858684094814519</v>
      </c>
      <c r="F41" s="152">
        <v>10604950.199999999</v>
      </c>
      <c r="G41" s="251">
        <f t="shared" si="2"/>
        <v>0.26799126149802888</v>
      </c>
      <c r="H41" s="205">
        <f t="shared" si="3"/>
        <v>1210728.2700000014</v>
      </c>
      <c r="I41" s="256">
        <f t="shared" si="4"/>
        <v>11.41663324359601</v>
      </c>
      <c r="J41" s="152">
        <v>10800306.800000001</v>
      </c>
      <c r="K41" s="243">
        <f t="shared" si="5"/>
        <v>0.28625249933739733</v>
      </c>
      <c r="L41" s="205">
        <f t="shared" si="7"/>
        <v>1015371.6699999999</v>
      </c>
      <c r="M41" s="256">
        <f t="shared" si="0"/>
        <v>9.4013224698394708</v>
      </c>
      <c r="BM41" s="159"/>
      <c r="BN41" s="159"/>
      <c r="BO41" s="143"/>
      <c r="BP41" s="143"/>
      <c r="BQ41" s="143"/>
      <c r="BR41" s="140"/>
    </row>
    <row r="42" spans="1:70" ht="13.5" customHeight="1">
      <c r="B42" s="80">
        <v>415</v>
      </c>
      <c r="C42" s="93" t="s">
        <v>430</v>
      </c>
      <c r="D42" s="152">
        <v>2483254.8199999998</v>
      </c>
      <c r="E42" s="243">
        <f t="shared" si="1"/>
        <v>6.2752825735368445E-2</v>
      </c>
      <c r="F42" s="152">
        <v>4245393.93</v>
      </c>
      <c r="G42" s="251">
        <f t="shared" si="2"/>
        <v>0.10728277393106235</v>
      </c>
      <c r="H42" s="205">
        <f t="shared" si="3"/>
        <v>-1762139.1099999999</v>
      </c>
      <c r="I42" s="256">
        <f t="shared" si="4"/>
        <v>-41.507081299284756</v>
      </c>
      <c r="J42" s="152">
        <v>2322441.83</v>
      </c>
      <c r="K42" s="243">
        <f t="shared" si="5"/>
        <v>6.1554249403657571E-2</v>
      </c>
      <c r="L42" s="205">
        <f t="shared" si="7"/>
        <v>160812.98999999976</v>
      </c>
      <c r="M42" s="256">
        <f t="shared" si="0"/>
        <v>6.9243064744489118</v>
      </c>
      <c r="BM42" s="159"/>
      <c r="BN42" s="159"/>
      <c r="BO42" s="143"/>
      <c r="BP42" s="143"/>
      <c r="BQ42" s="143"/>
      <c r="BR42" s="140"/>
    </row>
    <row r="43" spans="1:70" ht="13.5" customHeight="1">
      <c r="B43" s="80">
        <v>416</v>
      </c>
      <c r="C43" s="93" t="s">
        <v>79</v>
      </c>
      <c r="D43" s="152">
        <v>43696938.169999994</v>
      </c>
      <c r="E43" s="243">
        <f t="shared" si="1"/>
        <v>1.1042388095117759</v>
      </c>
      <c r="F43" s="152">
        <v>40556719.140000001</v>
      </c>
      <c r="G43" s="251">
        <f t="shared" si="2"/>
        <v>1.0248842398665723</v>
      </c>
      <c r="H43" s="205">
        <f t="shared" si="3"/>
        <v>3140219.0299999937</v>
      </c>
      <c r="I43" s="256">
        <f t="shared" si="4"/>
        <v>7.742783678236151</v>
      </c>
      <c r="J43" s="152">
        <v>31450165.119999997</v>
      </c>
      <c r="K43" s="243">
        <f t="shared" si="5"/>
        <v>0.83355857725947513</v>
      </c>
      <c r="L43" s="205">
        <f t="shared" si="7"/>
        <v>12246773.049999997</v>
      </c>
      <c r="M43" s="256">
        <f t="shared" si="0"/>
        <v>38.940250403365781</v>
      </c>
      <c r="BM43" s="159"/>
      <c r="BN43" s="159"/>
      <c r="BO43" s="143"/>
      <c r="BP43" s="143"/>
      <c r="BQ43" s="143"/>
      <c r="BR43" s="140"/>
    </row>
    <row r="44" spans="1:70" ht="13.5" customHeight="1">
      <c r="B44" s="80">
        <v>417</v>
      </c>
      <c r="C44" s="93" t="s">
        <v>81</v>
      </c>
      <c r="D44" s="152">
        <v>1833053.4100000001</v>
      </c>
      <c r="E44" s="243">
        <f t="shared" si="1"/>
        <v>4.6321980440715664E-2</v>
      </c>
      <c r="F44" s="152">
        <v>2330944.88</v>
      </c>
      <c r="G44" s="251">
        <f t="shared" si="2"/>
        <v>5.8903893662185382E-2</v>
      </c>
      <c r="H44" s="205">
        <f t="shared" si="3"/>
        <v>-497891.46999999974</v>
      </c>
      <c r="I44" s="256">
        <f t="shared" si="4"/>
        <v>-21.360070513550696</v>
      </c>
      <c r="J44" s="152">
        <v>2505470.4899999998</v>
      </c>
      <c r="K44" s="243">
        <f t="shared" si="5"/>
        <v>6.6405260800424068E-2</v>
      </c>
      <c r="L44" s="205">
        <f t="shared" si="7"/>
        <v>-672417.07999999961</v>
      </c>
      <c r="M44" s="256">
        <f t="shared" si="0"/>
        <v>-26.837956490958305</v>
      </c>
      <c r="BM44" s="159"/>
      <c r="BN44" s="159"/>
      <c r="BO44" s="143"/>
      <c r="BP44" s="143"/>
      <c r="BQ44" s="143"/>
      <c r="BR44" s="140"/>
    </row>
    <row r="45" spans="1:70" ht="13.5" customHeight="1">
      <c r="B45" s="80">
        <v>418</v>
      </c>
      <c r="C45" s="93" t="s">
        <v>83</v>
      </c>
      <c r="D45" s="152">
        <v>3002828.18</v>
      </c>
      <c r="E45" s="243">
        <f t="shared" si="1"/>
        <v>7.5882648842616002E-2</v>
      </c>
      <c r="F45" s="152">
        <v>4984359.99</v>
      </c>
      <c r="G45" s="251">
        <f t="shared" si="2"/>
        <v>0.12595673683412514</v>
      </c>
      <c r="H45" s="205">
        <f t="shared" si="3"/>
        <v>-1981531.81</v>
      </c>
      <c r="I45" s="256">
        <f t="shared" si="4"/>
        <v>-39.754989887879269</v>
      </c>
      <c r="J45" s="152">
        <v>3010942.39</v>
      </c>
      <c r="K45" s="243">
        <f t="shared" si="5"/>
        <v>7.9802342698118214E-2</v>
      </c>
      <c r="L45" s="205">
        <f t="shared" si="7"/>
        <v>-8114.2099999999627</v>
      </c>
      <c r="M45" s="256">
        <f t="shared" si="0"/>
        <v>-0.26949070918624329</v>
      </c>
      <c r="BM45" s="159"/>
      <c r="BN45" s="159"/>
      <c r="BO45" s="143"/>
      <c r="BP45" s="143"/>
      <c r="BQ45" s="143"/>
      <c r="BR45" s="140"/>
    </row>
    <row r="46" spans="1:70" ht="13.5" customHeight="1">
      <c r="B46" s="80">
        <v>419</v>
      </c>
      <c r="C46" s="93" t="s">
        <v>85</v>
      </c>
      <c r="D46" s="152">
        <v>6306141.3399999999</v>
      </c>
      <c r="E46" s="243">
        <f t="shared" si="1"/>
        <v>0.15935867128272516</v>
      </c>
      <c r="F46" s="152">
        <v>6591989.5199999996</v>
      </c>
      <c r="G46" s="251">
        <f t="shared" si="2"/>
        <v>0.16658216718892144</v>
      </c>
      <c r="H46" s="205">
        <f t="shared" si="3"/>
        <v>-285848.1799999997</v>
      </c>
      <c r="I46" s="256">
        <f t="shared" si="4"/>
        <v>-4.3362960322182005</v>
      </c>
      <c r="J46" s="152">
        <v>7351969.2700000005</v>
      </c>
      <c r="K46" s="243">
        <f>+J45/$J$11*100</f>
        <v>7.9802342698118214E-2</v>
      </c>
      <c r="L46" s="205">
        <f t="shared" si="7"/>
        <v>-1045827.9300000006</v>
      </c>
      <c r="M46" s="256">
        <f t="shared" si="0"/>
        <v>-14.225140116778547</v>
      </c>
      <c r="BM46" s="159"/>
      <c r="BN46" s="159"/>
      <c r="BO46" s="143"/>
      <c r="BP46" s="143"/>
      <c r="BQ46" s="143"/>
      <c r="BR46" s="140"/>
    </row>
    <row r="47" spans="1:70" ht="13.5" customHeight="1">
      <c r="B47" s="80">
        <v>441</v>
      </c>
      <c r="C47" s="93" t="s">
        <v>129</v>
      </c>
      <c r="D47" s="164">
        <v>2932025.9</v>
      </c>
      <c r="E47" s="246">
        <f t="shared" si="1"/>
        <v>7.409344738704135E-2</v>
      </c>
      <c r="F47" s="152">
        <v>7221384.6600000001</v>
      </c>
      <c r="G47" s="251">
        <f t="shared" si="2"/>
        <v>0.18248722985949661</v>
      </c>
      <c r="H47" s="205">
        <f t="shared" si="3"/>
        <v>-4289358.76</v>
      </c>
      <c r="I47" s="258">
        <f t="shared" si="4"/>
        <v>-59.398009688629436</v>
      </c>
      <c r="J47" s="152">
        <v>4668221.08</v>
      </c>
      <c r="K47" s="246">
        <f>+J46/$J$11*100</f>
        <v>0.1948573885502253</v>
      </c>
      <c r="L47" s="205">
        <f t="shared" si="7"/>
        <v>-1736195.1800000002</v>
      </c>
      <c r="M47" s="258">
        <f t="shared" si="0"/>
        <v>-37.191794266950183</v>
      </c>
      <c r="BM47" s="159"/>
      <c r="BN47" s="159"/>
      <c r="BO47" s="143"/>
      <c r="BP47" s="143"/>
      <c r="BQ47" s="143"/>
      <c r="BR47" s="140"/>
    </row>
    <row r="48" spans="1:70" ht="13.5" customHeight="1">
      <c r="A48" s="80">
        <v>42</v>
      </c>
      <c r="B48" s="80">
        <v>42</v>
      </c>
      <c r="C48" s="93" t="s">
        <v>86</v>
      </c>
      <c r="D48" s="152">
        <f>+SUM(D49:D53)</f>
        <v>136609747.72</v>
      </c>
      <c r="E48" s="243">
        <f t="shared" si="1"/>
        <v>3.4521820408369557</v>
      </c>
      <c r="F48" s="152">
        <f>+SUM(F49:F53)</f>
        <v>142729526.25</v>
      </c>
      <c r="G48" s="251">
        <f t="shared" si="2"/>
        <v>3.6068312506317599</v>
      </c>
      <c r="H48" s="203">
        <f t="shared" si="3"/>
        <v>-6119778.5300000012</v>
      </c>
      <c r="I48" s="256">
        <f t="shared" si="4"/>
        <v>-4.2876752209495947</v>
      </c>
      <c r="J48" s="152">
        <f>+SUM(J49:J53)</f>
        <v>129274435.21999998</v>
      </c>
      <c r="K48" s="243">
        <f t="shared" si="5"/>
        <v>3.4263036103896098</v>
      </c>
      <c r="L48" s="203">
        <f t="shared" si="7"/>
        <v>7335312.5000000149</v>
      </c>
      <c r="M48" s="256">
        <f t="shared" si="0"/>
        <v>5.6742174023168133</v>
      </c>
      <c r="BM48" s="159"/>
      <c r="BN48" s="159"/>
      <c r="BO48" s="143"/>
      <c r="BP48" s="143"/>
      <c r="BQ48" s="143"/>
      <c r="BR48" s="140"/>
    </row>
    <row r="49" spans="1:70" ht="13.5" customHeight="1">
      <c r="B49" s="80">
        <v>421</v>
      </c>
      <c r="C49" s="97" t="s">
        <v>88</v>
      </c>
      <c r="D49" s="154">
        <v>29681873.329999998</v>
      </c>
      <c r="E49" s="244">
        <f t="shared" si="1"/>
        <v>0.75007261017891436</v>
      </c>
      <c r="F49" s="154">
        <v>28678906.25</v>
      </c>
      <c r="G49" s="252">
        <f t="shared" si="2"/>
        <v>0.72472723769331848</v>
      </c>
      <c r="H49" s="206">
        <f t="shared" si="3"/>
        <v>1002967.0799999982</v>
      </c>
      <c r="I49" s="257">
        <f t="shared" si="4"/>
        <v>3.497229187392719</v>
      </c>
      <c r="J49" s="154">
        <v>20392502.149999999</v>
      </c>
      <c r="K49" s="244">
        <f t="shared" si="5"/>
        <v>0.54048508216273516</v>
      </c>
      <c r="L49" s="206">
        <f t="shared" si="7"/>
        <v>9289371.1799999997</v>
      </c>
      <c r="M49" s="257">
        <f t="shared" si="0"/>
        <v>45.552875815192692</v>
      </c>
      <c r="BM49" s="159"/>
      <c r="BN49" s="159"/>
      <c r="BO49" s="143"/>
      <c r="BP49" s="143"/>
      <c r="BQ49" s="143"/>
      <c r="BR49" s="140"/>
    </row>
    <row r="50" spans="1:70" ht="13.5" customHeight="1">
      <c r="B50" s="80">
        <v>422</v>
      </c>
      <c r="C50" s="97" t="s">
        <v>90</v>
      </c>
      <c r="D50" s="154">
        <v>2264022.77</v>
      </c>
      <c r="E50" s="244">
        <f t="shared" si="1"/>
        <v>5.7212745628221977E-2</v>
      </c>
      <c r="F50" s="154">
        <v>5149120</v>
      </c>
      <c r="G50" s="252">
        <f t="shared" si="2"/>
        <v>0.13012028707166681</v>
      </c>
      <c r="H50" s="206">
        <f t="shared" si="3"/>
        <v>-2885097.23</v>
      </c>
      <c r="I50" s="257">
        <f t="shared" si="4"/>
        <v>-56.030879645453979</v>
      </c>
      <c r="J50" s="154">
        <v>5960124.3599999994</v>
      </c>
      <c r="K50" s="244">
        <f t="shared" si="5"/>
        <v>0.15796778054598462</v>
      </c>
      <c r="L50" s="206">
        <f t="shared" si="7"/>
        <v>-3696101.5899999994</v>
      </c>
      <c r="M50" s="257">
        <f t="shared" si="0"/>
        <v>-62.013833382496728</v>
      </c>
      <c r="BM50" s="159"/>
      <c r="BN50" s="159"/>
      <c r="BO50" s="143"/>
      <c r="BP50" s="143"/>
      <c r="BQ50" s="143"/>
      <c r="BR50" s="140"/>
    </row>
    <row r="51" spans="1:70" ht="13.5" customHeight="1">
      <c r="B51" s="80">
        <v>423</v>
      </c>
      <c r="C51" s="97" t="s">
        <v>92</v>
      </c>
      <c r="D51" s="154">
        <v>99398781.730000004</v>
      </c>
      <c r="E51" s="244">
        <f t="shared" si="1"/>
        <v>2.5118462986455072</v>
      </c>
      <c r="F51" s="154">
        <v>102787500</v>
      </c>
      <c r="G51" s="252">
        <f t="shared" si="2"/>
        <v>2.5974805417972302</v>
      </c>
      <c r="H51" s="206">
        <f t="shared" si="3"/>
        <v>-3388718.2699999958</v>
      </c>
      <c r="I51" s="257">
        <f t="shared" si="4"/>
        <v>-3.2968194284324426</v>
      </c>
      <c r="J51" s="154">
        <v>97277018.590000004</v>
      </c>
      <c r="K51" s="244">
        <f t="shared" si="5"/>
        <v>2.5782406199310897</v>
      </c>
      <c r="L51" s="206">
        <f t="shared" si="7"/>
        <v>2121763.1400000006</v>
      </c>
      <c r="M51" s="257">
        <f t="shared" si="0"/>
        <v>2.1811556015534705</v>
      </c>
      <c r="BM51" s="159"/>
      <c r="BN51" s="159"/>
      <c r="BO51" s="143"/>
      <c r="BP51" s="143"/>
      <c r="BQ51" s="143"/>
      <c r="BR51" s="140"/>
    </row>
    <row r="52" spans="1:70" ht="13.5" customHeight="1">
      <c r="B52" s="80">
        <v>424</v>
      </c>
      <c r="C52" s="97" t="s">
        <v>94</v>
      </c>
      <c r="D52" s="154">
        <v>3430865.82</v>
      </c>
      <c r="E52" s="244">
        <f t="shared" si="1"/>
        <v>8.6699328312948548E-2</v>
      </c>
      <c r="F52" s="154">
        <v>3982750</v>
      </c>
      <c r="G52" s="252">
        <f t="shared" si="2"/>
        <v>0.10064565854644698</v>
      </c>
      <c r="H52" s="206">
        <f t="shared" si="3"/>
        <v>-551884.18000000017</v>
      </c>
      <c r="I52" s="257">
        <f t="shared" si="4"/>
        <v>-13.856862218316493</v>
      </c>
      <c r="J52" s="154">
        <v>3553912.0699999989</v>
      </c>
      <c r="K52" s="244">
        <f t="shared" si="5"/>
        <v>9.4193269811820801E-2</v>
      </c>
      <c r="L52" s="206">
        <f t="shared" si="7"/>
        <v>-123046.24999999907</v>
      </c>
      <c r="M52" s="257">
        <f t="shared" si="0"/>
        <v>-3.4622761502368604</v>
      </c>
      <c r="BM52" s="159"/>
      <c r="BN52" s="159"/>
      <c r="BO52" s="143"/>
      <c r="BP52" s="143"/>
      <c r="BQ52" s="143"/>
      <c r="BR52" s="140"/>
    </row>
    <row r="53" spans="1:70" ht="13.5" customHeight="1">
      <c r="B53" s="80">
        <v>425</v>
      </c>
      <c r="C53" s="97" t="s">
        <v>431</v>
      </c>
      <c r="D53" s="154">
        <v>1834204.0699999998</v>
      </c>
      <c r="E53" s="244">
        <f t="shared" si="1"/>
        <v>4.6351058071363582E-2</v>
      </c>
      <c r="F53" s="154">
        <v>2131250</v>
      </c>
      <c r="G53" s="252">
        <f t="shared" si="2"/>
        <v>5.3857525523097138E-2</v>
      </c>
      <c r="H53" s="206">
        <f t="shared" si="3"/>
        <v>-297045.93000000017</v>
      </c>
      <c r="I53" s="257">
        <f t="shared" si="4"/>
        <v>-13.937638944281531</v>
      </c>
      <c r="J53" s="154">
        <v>2090878.0499999998</v>
      </c>
      <c r="K53" s="244">
        <f t="shared" si="5"/>
        <v>5.5416857937980388E-2</v>
      </c>
      <c r="L53" s="206">
        <f t="shared" si="7"/>
        <v>-256673.97999999998</v>
      </c>
      <c r="M53" s="257">
        <f t="shared" si="0"/>
        <v>-12.27589433061388</v>
      </c>
      <c r="BM53" s="159"/>
      <c r="BN53" s="159"/>
      <c r="BO53" s="143"/>
      <c r="BP53" s="143"/>
      <c r="BQ53" s="143"/>
      <c r="BR53" s="140"/>
    </row>
    <row r="54" spans="1:70" ht="13.5" customHeight="1">
      <c r="A54" s="80">
        <v>43</v>
      </c>
      <c r="B54" s="80">
        <v>431</v>
      </c>
      <c r="C54" s="93" t="s">
        <v>432</v>
      </c>
      <c r="D54" s="152">
        <f>SUM(D55:D56)</f>
        <v>25870410.140000001</v>
      </c>
      <c r="E54" s="243">
        <f t="shared" si="1"/>
        <v>0.65375543667239466</v>
      </c>
      <c r="F54" s="152">
        <f>SUM(F55:F56)</f>
        <v>40923827.079999998</v>
      </c>
      <c r="G54" s="251">
        <f t="shared" si="2"/>
        <v>1.0341612018599009</v>
      </c>
      <c r="H54" s="203">
        <f t="shared" si="3"/>
        <v>-15053416.939999998</v>
      </c>
      <c r="I54" s="256">
        <f t="shared" si="4"/>
        <v>-36.783991171140485</v>
      </c>
      <c r="J54" s="152">
        <f>SUM(J55:J56)</f>
        <v>34732245.769999996</v>
      </c>
      <c r="K54" s="243">
        <f t="shared" si="5"/>
        <v>0.92054719772064664</v>
      </c>
      <c r="L54" s="203">
        <f t="shared" si="7"/>
        <v>-8861835.6299999952</v>
      </c>
      <c r="M54" s="256">
        <f t="shared" si="0"/>
        <v>-25.514721071259999</v>
      </c>
      <c r="BM54" s="159"/>
      <c r="BN54" s="159"/>
      <c r="BO54" s="143"/>
      <c r="BP54" s="143"/>
      <c r="BQ54" s="143"/>
      <c r="BR54" s="140"/>
    </row>
    <row r="55" spans="1:70" ht="13.5" customHeight="1">
      <c r="C55" s="238" t="s">
        <v>432</v>
      </c>
      <c r="D55" s="302">
        <v>25670410.140000001</v>
      </c>
      <c r="E55" s="243">
        <f t="shared" si="1"/>
        <v>0.64870135803093099</v>
      </c>
      <c r="F55" s="302">
        <v>40498827.07</v>
      </c>
      <c r="G55" s="251">
        <f t="shared" si="2"/>
        <v>1.0234212844940866</v>
      </c>
      <c r="H55" s="310">
        <f t="shared" si="3"/>
        <v>-14828416.93</v>
      </c>
      <c r="I55" s="309">
        <f t="shared" si="4"/>
        <v>-36.614435535058561</v>
      </c>
      <c r="J55" s="302">
        <v>34429646.549999997</v>
      </c>
      <c r="K55" s="243">
        <f t="shared" si="5"/>
        <v>0.91252707527166699</v>
      </c>
      <c r="L55" s="310">
        <f t="shared" si="7"/>
        <v>-8759236.4099999964</v>
      </c>
      <c r="M55" s="309">
        <f t="shared" si="0"/>
        <v>-25.440971045925536</v>
      </c>
      <c r="BM55" s="159"/>
      <c r="BN55" s="159"/>
      <c r="BO55" s="143"/>
      <c r="BP55" s="143"/>
      <c r="BQ55" s="143"/>
      <c r="BR55" s="140"/>
    </row>
    <row r="56" spans="1:70" ht="13.5" customHeight="1" thickBot="1">
      <c r="C56" s="238" t="s">
        <v>463</v>
      </c>
      <c r="D56" s="302">
        <v>200000</v>
      </c>
      <c r="E56" s="243">
        <f t="shared" si="1"/>
        <v>5.0540786414636609E-3</v>
      </c>
      <c r="F56" s="302">
        <v>425000.01</v>
      </c>
      <c r="G56" s="251">
        <f t="shared" si="2"/>
        <v>1.0739917365814212E-2</v>
      </c>
      <c r="H56" s="310">
        <f t="shared" si="3"/>
        <v>-225000.01</v>
      </c>
      <c r="I56" s="309">
        <f t="shared" si="4"/>
        <v>-52.941177577854646</v>
      </c>
      <c r="J56" s="302">
        <v>302599.21999999997</v>
      </c>
      <c r="K56" s="243">
        <f t="shared" si="5"/>
        <v>8.0201224489795907E-3</v>
      </c>
      <c r="L56" s="310">
        <f t="shared" si="7"/>
        <v>-102599.21999999997</v>
      </c>
      <c r="M56" s="309">
        <f t="shared" si="0"/>
        <v>-33.90597636041494</v>
      </c>
      <c r="BM56" s="159"/>
      <c r="BN56" s="159"/>
      <c r="BO56" s="143"/>
      <c r="BP56" s="143"/>
      <c r="BQ56" s="143"/>
      <c r="BR56" s="140"/>
    </row>
    <row r="57" spans="1:70" ht="13.5" customHeight="1" thickTop="1" thickBot="1">
      <c r="B57" s="80">
        <v>44</v>
      </c>
      <c r="C57" s="90" t="s">
        <v>130</v>
      </c>
      <c r="D57" s="303">
        <v>8964055.2699999996</v>
      </c>
      <c r="E57" s="245">
        <f t="shared" si="1"/>
        <v>0.22652520140503382</v>
      </c>
      <c r="F57" s="160">
        <v>42461790</v>
      </c>
      <c r="G57" s="250">
        <f t="shared" si="2"/>
        <v>1.0730261295865764</v>
      </c>
      <c r="H57" s="160">
        <f t="shared" si="3"/>
        <v>-33497734.73</v>
      </c>
      <c r="I57" s="245">
        <f t="shared" si="4"/>
        <v>-78.889125328913366</v>
      </c>
      <c r="J57" s="160">
        <v>2437924.94</v>
      </c>
      <c r="K57" s="245">
        <f t="shared" si="5"/>
        <v>6.461502623906705E-2</v>
      </c>
      <c r="L57" s="160">
        <f>+D57-J57</f>
        <v>6526130.3300000001</v>
      </c>
      <c r="M57" s="245">
        <f t="shared" si="0"/>
        <v>267.69201228976311</v>
      </c>
      <c r="BM57" s="159"/>
      <c r="BN57" s="159"/>
      <c r="BO57" s="143"/>
      <c r="BP57" s="143"/>
      <c r="BQ57" s="143"/>
      <c r="BR57" s="140"/>
    </row>
    <row r="58" spans="1:70" ht="13.5" customHeight="1" thickTop="1">
      <c r="B58" s="80">
        <v>451</v>
      </c>
      <c r="C58" s="93" t="s">
        <v>110</v>
      </c>
      <c r="D58" s="152">
        <v>285802</v>
      </c>
      <c r="E58" s="243">
        <f t="shared" si="1"/>
        <v>7.2223289194379859E-3</v>
      </c>
      <c r="F58" s="152">
        <v>606250</v>
      </c>
      <c r="G58" s="251">
        <f t="shared" si="2"/>
        <v>1.5320175881936723E-2</v>
      </c>
      <c r="H58" s="205">
        <f t="shared" si="3"/>
        <v>-320448</v>
      </c>
      <c r="I58" s="256">
        <f t="shared" si="4"/>
        <v>-52.857402061855666</v>
      </c>
      <c r="J58" s="152">
        <v>591126.66999999993</v>
      </c>
      <c r="K58" s="243">
        <f t="shared" si="5"/>
        <v>1.5667285184203551E-2</v>
      </c>
      <c r="L58" s="152">
        <f t="shared" si="7"/>
        <v>-305324.66999999993</v>
      </c>
      <c r="M58" s="256">
        <f t="shared" si="0"/>
        <v>-51.65131020057003</v>
      </c>
      <c r="BM58" s="159"/>
      <c r="BN58" s="159"/>
      <c r="BO58" s="143"/>
      <c r="BP58" s="143"/>
      <c r="BQ58" s="143"/>
      <c r="BR58" s="140"/>
    </row>
    <row r="59" spans="1:70" ht="13.5" customHeight="1" thickBot="1">
      <c r="B59" s="80">
        <v>47</v>
      </c>
      <c r="C59" s="93" t="s">
        <v>117</v>
      </c>
      <c r="D59" s="152">
        <v>524100</v>
      </c>
      <c r="E59" s="243">
        <f t="shared" si="1"/>
        <v>1.3244213079955524E-2</v>
      </c>
      <c r="F59" s="152">
        <v>3574668.47</v>
      </c>
      <c r="G59" s="251">
        <f t="shared" si="2"/>
        <v>9.0333277822702923E-2</v>
      </c>
      <c r="H59" s="205">
        <f t="shared" si="3"/>
        <v>-3050568.47</v>
      </c>
      <c r="I59" s="256">
        <f t="shared" si="4"/>
        <v>-85.338500495963473</v>
      </c>
      <c r="J59" s="152">
        <v>4525914.18</v>
      </c>
      <c r="K59" s="243">
        <f t="shared" si="5"/>
        <v>0.11995531884442087</v>
      </c>
      <c r="L59" s="152">
        <f t="shared" si="7"/>
        <v>-4001814.1799999997</v>
      </c>
      <c r="M59" s="256">
        <f t="shared" si="0"/>
        <v>-88.420019046848125</v>
      </c>
      <c r="BM59" s="159"/>
      <c r="BN59" s="159"/>
      <c r="BO59" s="143"/>
      <c r="BP59" s="143"/>
      <c r="BQ59" s="143"/>
      <c r="BR59" s="140"/>
    </row>
    <row r="60" spans="1:70" ht="13.5" customHeight="1" thickTop="1" thickBot="1">
      <c r="B60" s="80">
        <v>462</v>
      </c>
      <c r="C60" s="146" t="s">
        <v>112</v>
      </c>
      <c r="D60" s="161">
        <v>0</v>
      </c>
      <c r="E60" s="247">
        <f t="shared" si="1"/>
        <v>0</v>
      </c>
      <c r="F60" s="161">
        <v>0</v>
      </c>
      <c r="G60" s="253">
        <f t="shared" si="2"/>
        <v>0</v>
      </c>
      <c r="H60" s="207">
        <f t="shared" si="3"/>
        <v>0</v>
      </c>
      <c r="I60" s="259" t="str">
        <f t="shared" si="4"/>
        <v>...</v>
      </c>
      <c r="J60" s="161">
        <v>0</v>
      </c>
      <c r="K60" s="247">
        <f t="shared" si="5"/>
        <v>0</v>
      </c>
      <c r="L60" s="161">
        <f t="shared" si="7"/>
        <v>0</v>
      </c>
      <c r="M60" s="259" t="str">
        <f>+IF(ISNUMBER(D60/J60*100-100),D60/J60*100-100,"...")</f>
        <v>...</v>
      </c>
      <c r="BM60" s="159"/>
      <c r="BN60" s="159"/>
      <c r="BO60" s="143"/>
      <c r="BP60" s="143"/>
      <c r="BQ60" s="143"/>
      <c r="BR60" s="140"/>
    </row>
    <row r="61" spans="1:70" ht="13.5" customHeight="1" thickTop="1" thickBot="1">
      <c r="B61" s="305" t="s">
        <v>450</v>
      </c>
      <c r="C61" s="209" t="s">
        <v>449</v>
      </c>
      <c r="D61" s="210">
        <v>6956674.8499999996</v>
      </c>
      <c r="E61" s="248">
        <f t="shared" si="1"/>
        <v>0.17579790887496211</v>
      </c>
      <c r="F61" s="210">
        <v>0</v>
      </c>
      <c r="G61" s="254">
        <f t="shared" si="2"/>
        <v>0</v>
      </c>
      <c r="H61" s="211">
        <f>+D61-F61</f>
        <v>6956674.8499999996</v>
      </c>
      <c r="I61" s="260" t="str">
        <f>+IF(ISNUMBER(D61/F61*100-100),D61/F61*100-100,"...")</f>
        <v>...</v>
      </c>
      <c r="J61" s="210">
        <v>16817280.759999998</v>
      </c>
      <c r="K61" s="248">
        <f>+J61/$J$11*100</f>
        <v>0.4457270278293135</v>
      </c>
      <c r="L61" s="211">
        <f>+D61-J61</f>
        <v>-9860605.9099999983</v>
      </c>
      <c r="M61" s="259">
        <f t="shared" ref="M61:M74" si="8">+IF(ISNUMBER(H61/J61*100-100),H61/J61*100-100,"...")</f>
        <v>-58.633771123411982</v>
      </c>
      <c r="BM61" s="159"/>
      <c r="BN61" s="159"/>
      <c r="BO61" s="143"/>
      <c r="BP61" s="143"/>
      <c r="BQ61" s="143"/>
      <c r="BR61" s="140"/>
    </row>
    <row r="62" spans="1:70" ht="13.5" customHeight="1" thickTop="1" thickBot="1">
      <c r="B62" s="80">
        <v>990</v>
      </c>
      <c r="C62" s="198" t="s">
        <v>151</v>
      </c>
      <c r="D62" s="152">
        <v>0</v>
      </c>
      <c r="E62" s="243">
        <f t="shared" si="1"/>
        <v>0</v>
      </c>
      <c r="F62" s="152">
        <v>0</v>
      </c>
      <c r="G62" s="251">
        <f t="shared" si="2"/>
        <v>0</v>
      </c>
      <c r="H62" s="205">
        <f t="shared" si="3"/>
        <v>0</v>
      </c>
      <c r="I62" s="261" t="str">
        <f t="shared" si="4"/>
        <v>...</v>
      </c>
      <c r="J62" s="152">
        <v>0</v>
      </c>
      <c r="K62" s="243">
        <f t="shared" si="5"/>
        <v>0</v>
      </c>
      <c r="L62" s="152">
        <f t="shared" si="7"/>
        <v>0</v>
      </c>
      <c r="M62" s="259" t="str">
        <f t="shared" si="8"/>
        <v>...</v>
      </c>
      <c r="BM62" s="159"/>
      <c r="BN62" s="159"/>
      <c r="BO62" s="143"/>
      <c r="BP62" s="143"/>
      <c r="BQ62" s="143"/>
      <c r="BR62" s="140"/>
    </row>
    <row r="63" spans="1:70" ht="13.5" customHeight="1" thickTop="1" thickBot="1">
      <c r="C63" s="90" t="s">
        <v>446</v>
      </c>
      <c r="D63" s="91">
        <f>+D16-D35</f>
        <v>-70508679.74999994</v>
      </c>
      <c r="E63" s="245">
        <f>+D63/$D$11*100</f>
        <v>-1.7817820618113802</v>
      </c>
      <c r="F63" s="91">
        <f>+F16-F35</f>
        <v>-119867236.8506403</v>
      </c>
      <c r="G63" s="250">
        <f t="shared" si="2"/>
        <v>-3.029092207890435</v>
      </c>
      <c r="H63" s="91">
        <f t="shared" si="3"/>
        <v>49358557.100640357</v>
      </c>
      <c r="I63" s="245">
        <f t="shared" si="4"/>
        <v>-41.177688246992147</v>
      </c>
      <c r="J63" s="91">
        <f>+J16-J35-J62</f>
        <v>-71815358.840000033</v>
      </c>
      <c r="K63" s="245">
        <f t="shared" si="5"/>
        <v>-1.9034020365756701</v>
      </c>
      <c r="L63" s="91">
        <f t="shared" si="7"/>
        <v>1306679.090000093</v>
      </c>
      <c r="M63" s="245">
        <f t="shared" si="8"/>
        <v>-168.72980640618675</v>
      </c>
      <c r="BM63" s="159"/>
      <c r="BN63" s="159"/>
      <c r="BO63" s="143"/>
      <c r="BP63" s="143"/>
      <c r="BQ63" s="143"/>
      <c r="BR63" s="140"/>
    </row>
    <row r="64" spans="1:70" ht="13.5" customHeight="1" thickTop="1" thickBot="1">
      <c r="C64" s="90" t="s">
        <v>452</v>
      </c>
      <c r="D64" s="91">
        <f>+D63+D43</f>
        <v>-26811741.579999946</v>
      </c>
      <c r="E64" s="245">
        <f t="shared" si="1"/>
        <v>-0.67754325229960444</v>
      </c>
      <c r="F64" s="91">
        <f>+F63+F43</f>
        <v>-79310517.710640296</v>
      </c>
      <c r="G64" s="250">
        <f t="shared" si="2"/>
        <v>-2.0042079680238625</v>
      </c>
      <c r="H64" s="91">
        <f t="shared" si="3"/>
        <v>52498776.13064035</v>
      </c>
      <c r="I64" s="245">
        <f t="shared" si="4"/>
        <v>-66.193964742707919</v>
      </c>
      <c r="J64" s="91">
        <f>+J63+J43</f>
        <v>-40365193.720000036</v>
      </c>
      <c r="K64" s="245">
        <f t="shared" si="5"/>
        <v>-1.069843459316195</v>
      </c>
      <c r="L64" s="91">
        <f t="shared" si="7"/>
        <v>13553452.14000009</v>
      </c>
      <c r="M64" s="245">
        <f t="shared" si="8"/>
        <v>-230.05951735251651</v>
      </c>
      <c r="BM64" s="159"/>
      <c r="BN64" s="159"/>
      <c r="BO64" s="143"/>
      <c r="BP64" s="143"/>
      <c r="BQ64" s="143"/>
      <c r="BR64" s="140"/>
    </row>
    <row r="65" spans="2:70" ht="13.5" customHeight="1" thickTop="1" thickBot="1">
      <c r="C65" s="90" t="s">
        <v>453</v>
      </c>
      <c r="D65" s="91">
        <f>+SUM(D66:D67)</f>
        <v>27201992.129999999</v>
      </c>
      <c r="E65" s="245">
        <f t="shared" si="1"/>
        <v>0.68740503714747803</v>
      </c>
      <c r="F65" s="91">
        <f>+SUM(F66:F68)</f>
        <v>28331293.16</v>
      </c>
      <c r="G65" s="250">
        <f t="shared" si="2"/>
        <v>0.71594291822500766</v>
      </c>
      <c r="H65" s="91">
        <f t="shared" si="3"/>
        <v>-1129301.0300000012</v>
      </c>
      <c r="I65" s="245">
        <f t="shared" si="4"/>
        <v>-3.9860553615477841</v>
      </c>
      <c r="J65" s="91">
        <f>+SUM(J66:J67)</f>
        <v>120778016.26000001</v>
      </c>
      <c r="K65" s="245">
        <f t="shared" si="5"/>
        <v>3.2011136034985426</v>
      </c>
      <c r="L65" s="91">
        <f t="shared" si="7"/>
        <v>-93576024.13000001</v>
      </c>
      <c r="M65" s="245">
        <f t="shared" si="8"/>
        <v>-100.93502200563465</v>
      </c>
      <c r="BM65" s="159"/>
      <c r="BN65" s="159"/>
      <c r="BO65" s="143"/>
      <c r="BP65" s="143"/>
      <c r="BQ65" s="143"/>
      <c r="BR65" s="140"/>
    </row>
    <row r="66" spans="2:70" ht="13.5" customHeight="1" thickTop="1">
      <c r="B66" s="80">
        <v>4611</v>
      </c>
      <c r="C66" s="97" t="s">
        <v>454</v>
      </c>
      <c r="D66" s="154">
        <v>15562639.439999999</v>
      </c>
      <c r="E66" s="244">
        <f t="shared" si="1"/>
        <v>0.39327401799251993</v>
      </c>
      <c r="F66" s="154">
        <v>8039446.4700000007</v>
      </c>
      <c r="G66" s="252">
        <f t="shared" si="2"/>
        <v>0.20315997346608713</v>
      </c>
      <c r="H66" s="206">
        <f t="shared" si="3"/>
        <v>7523192.9699999988</v>
      </c>
      <c r="I66" s="257">
        <f t="shared" si="4"/>
        <v>93.578494465676783</v>
      </c>
      <c r="J66" s="154">
        <v>90843039.590000004</v>
      </c>
      <c r="K66" s="244">
        <f t="shared" si="5"/>
        <v>2.4077137447654389</v>
      </c>
      <c r="L66" s="206">
        <f t="shared" si="7"/>
        <v>-75280400.150000006</v>
      </c>
      <c r="M66" s="257">
        <f t="shared" si="8"/>
        <v>-91.718470667698625</v>
      </c>
      <c r="BM66" s="159"/>
      <c r="BN66" s="159"/>
      <c r="BO66" s="143"/>
      <c r="BP66" s="143"/>
      <c r="BQ66" s="143"/>
      <c r="BR66" s="140"/>
    </row>
    <row r="67" spans="2:70" ht="13.5" customHeight="1">
      <c r="B67" s="80">
        <v>4612</v>
      </c>
      <c r="C67" s="97" t="s">
        <v>455</v>
      </c>
      <c r="D67" s="154">
        <v>11639352.689999999</v>
      </c>
      <c r="E67" s="244">
        <f t="shared" si="1"/>
        <v>0.29413101915495804</v>
      </c>
      <c r="F67" s="154">
        <v>11862721.99</v>
      </c>
      <c r="G67" s="252">
        <f t="shared" si="2"/>
        <v>0.29977564919640148</v>
      </c>
      <c r="H67" s="206">
        <f t="shared" si="3"/>
        <v>-223369.30000000075</v>
      </c>
      <c r="I67" s="257">
        <f t="shared" si="4"/>
        <v>-1.8829514860779568</v>
      </c>
      <c r="J67" s="154">
        <v>29934976.669999998</v>
      </c>
      <c r="K67" s="244">
        <f t="shared" si="5"/>
        <v>0.79339985873310359</v>
      </c>
      <c r="L67" s="206">
        <f t="shared" si="7"/>
        <v>-18295623.979999997</v>
      </c>
      <c r="M67" s="257">
        <f t="shared" si="8"/>
        <v>-100.74618164050167</v>
      </c>
      <c r="BM67" s="159"/>
      <c r="BN67" s="159"/>
      <c r="BO67" s="143"/>
      <c r="BP67" s="143"/>
      <c r="BQ67" s="143"/>
      <c r="BR67" s="140"/>
    </row>
    <row r="68" spans="2:70" ht="13.5" customHeight="1" thickBot="1">
      <c r="B68" s="80" t="s">
        <v>451</v>
      </c>
      <c r="C68" s="97" t="s">
        <v>449</v>
      </c>
      <c r="D68" s="154">
        <v>0</v>
      </c>
      <c r="E68" s="244">
        <f t="shared" si="1"/>
        <v>0</v>
      </c>
      <c r="F68" s="306">
        <v>8429124.6999999993</v>
      </c>
      <c r="G68" s="252">
        <f t="shared" si="2"/>
        <v>0.21300729556251893</v>
      </c>
      <c r="H68" s="206">
        <f t="shared" si="3"/>
        <v>-8429124.6999999993</v>
      </c>
      <c r="I68" s="257">
        <f t="shared" si="4"/>
        <v>-100</v>
      </c>
      <c r="J68" s="154">
        <v>0</v>
      </c>
      <c r="K68" s="244">
        <f t="shared" si="5"/>
        <v>0</v>
      </c>
      <c r="L68" s="206">
        <f t="shared" si="7"/>
        <v>0</v>
      </c>
      <c r="M68" s="257" t="str">
        <f t="shared" si="8"/>
        <v>...</v>
      </c>
      <c r="BM68" s="159"/>
      <c r="BN68" s="159"/>
      <c r="BO68" s="143"/>
      <c r="BP68" s="143"/>
      <c r="BQ68" s="143"/>
      <c r="BR68" s="140"/>
    </row>
    <row r="69" spans="2:70" ht="13.5" customHeight="1" thickTop="1" thickBot="1">
      <c r="C69" s="90" t="s">
        <v>140</v>
      </c>
      <c r="D69" s="91">
        <f>+D63-D65</f>
        <v>-97710671.879999936</v>
      </c>
      <c r="E69" s="245">
        <f t="shared" si="1"/>
        <v>-2.4691870989588582</v>
      </c>
      <c r="F69" s="91">
        <f>+F63-F65</f>
        <v>-148198530.01064029</v>
      </c>
      <c r="G69" s="250">
        <f t="shared" si="2"/>
        <v>-3.7450351261154422</v>
      </c>
      <c r="H69" s="91">
        <f t="shared" ref="H69:H74" si="9">+D69-F69</f>
        <v>50487858.130640358</v>
      </c>
      <c r="I69" s="245">
        <f t="shared" ref="I69:I74" si="10">+IF(ISNUMBER(D69/F69*100-100),D69/F69*100-100,"...")</f>
        <v>-34.067718571173046</v>
      </c>
      <c r="J69" s="91">
        <f>+J63-J65</f>
        <v>-192593375.10000002</v>
      </c>
      <c r="K69" s="245">
        <f t="shared" ref="K69:K74" si="11">+J69/$J$11*100</f>
        <v>-5.1045156400742124</v>
      </c>
      <c r="L69" s="91">
        <f t="shared" si="7"/>
        <v>94882703.220000088</v>
      </c>
      <c r="M69" s="245">
        <f t="shared" si="8"/>
        <v>-126.21474290298178</v>
      </c>
      <c r="BM69" s="159"/>
      <c r="BN69" s="159"/>
      <c r="BO69" s="143"/>
      <c r="BP69" s="143"/>
      <c r="BQ69" s="143"/>
      <c r="BR69" s="140"/>
    </row>
    <row r="70" spans="2:70" ht="13.5" customHeight="1" thickTop="1" thickBot="1">
      <c r="C70" s="90" t="s">
        <v>120</v>
      </c>
      <c r="D70" s="91">
        <f>+SUM(D71:D74)</f>
        <v>97710671.879999936</v>
      </c>
      <c r="E70" s="245">
        <f t="shared" si="1"/>
        <v>2.4691870989588582</v>
      </c>
      <c r="F70" s="91">
        <f>+SUM(F71:F74)</f>
        <v>148198530.01064029</v>
      </c>
      <c r="G70" s="250">
        <f t="shared" si="2"/>
        <v>3.7450351261154422</v>
      </c>
      <c r="H70" s="91">
        <f t="shared" si="9"/>
        <v>-50487858.130640358</v>
      </c>
      <c r="I70" s="245">
        <f t="shared" si="10"/>
        <v>-34.067718571173046</v>
      </c>
      <c r="J70" s="91">
        <f>+SUM(J71:J74)</f>
        <v>192593375.10000002</v>
      </c>
      <c r="K70" s="245">
        <f t="shared" si="11"/>
        <v>5.1045156400742124</v>
      </c>
      <c r="L70" s="91">
        <f>+SUM(L71:L74)</f>
        <v>-94882703.220000088</v>
      </c>
      <c r="M70" s="245">
        <f t="shared" si="8"/>
        <v>-126.21474290298178</v>
      </c>
      <c r="BM70" s="159"/>
      <c r="BN70" s="159"/>
      <c r="BO70" s="143"/>
      <c r="BP70" s="143"/>
      <c r="BQ70" s="143"/>
      <c r="BR70" s="140"/>
    </row>
    <row r="71" spans="2:70" ht="13.5" customHeight="1" thickTop="1">
      <c r="B71" s="80">
        <v>7511</v>
      </c>
      <c r="C71" s="97" t="s">
        <v>456</v>
      </c>
      <c r="D71" s="154">
        <v>76669148.420000002</v>
      </c>
      <c r="E71" s="244">
        <f t="shared" si="1"/>
        <v>1.9374595274436472</v>
      </c>
      <c r="F71" s="154">
        <v>25000000</v>
      </c>
      <c r="G71" s="252">
        <f t="shared" si="2"/>
        <v>0.63175983018295767</v>
      </c>
      <c r="H71" s="206">
        <f t="shared" si="9"/>
        <v>51669148.420000002</v>
      </c>
      <c r="I71" s="257">
        <f t="shared" si="10"/>
        <v>206.67659368</v>
      </c>
      <c r="J71" s="154">
        <v>93370000</v>
      </c>
      <c r="K71" s="244">
        <f t="shared" si="11"/>
        <v>2.4746885767293931</v>
      </c>
      <c r="L71" s="206">
        <f t="shared" si="7"/>
        <v>-16700851.579999998</v>
      </c>
      <c r="M71" s="257">
        <f t="shared" si="8"/>
        <v>-44.661938074327942</v>
      </c>
      <c r="BM71" s="159"/>
      <c r="BN71" s="159"/>
      <c r="BO71" s="143"/>
      <c r="BP71" s="143"/>
      <c r="BQ71" s="143"/>
      <c r="BR71" s="140"/>
    </row>
    <row r="72" spans="2:70" ht="13.5" customHeight="1">
      <c r="B72" s="80">
        <v>7512</v>
      </c>
      <c r="C72" s="97" t="s">
        <v>457</v>
      </c>
      <c r="D72" s="154">
        <v>6013734.0099999998</v>
      </c>
      <c r="E72" s="244">
        <f t="shared" si="1"/>
        <v>0.15196942307692307</v>
      </c>
      <c r="F72" s="154">
        <v>88543455.908717483</v>
      </c>
      <c r="G72" s="252">
        <f t="shared" si="2"/>
        <v>2.2375279467481421</v>
      </c>
      <c r="H72" s="206">
        <f t="shared" si="9"/>
        <v>-82529721.898717478</v>
      </c>
      <c r="I72" s="257">
        <f t="shared" si="10"/>
        <v>-93.208155308281889</v>
      </c>
      <c r="J72" s="154">
        <v>306936312.91000003</v>
      </c>
      <c r="K72" s="244">
        <f t="shared" si="11"/>
        <v>8.1350732284654121</v>
      </c>
      <c r="L72" s="206">
        <f t="shared" si="7"/>
        <v>-300922578.90000004</v>
      </c>
      <c r="M72" s="257">
        <f t="shared" si="8"/>
        <v>-126.88822352633032</v>
      </c>
      <c r="BM72" s="159"/>
      <c r="BN72" s="159"/>
      <c r="BO72" s="143"/>
      <c r="BP72" s="143"/>
      <c r="BQ72" s="143"/>
      <c r="BR72" s="140"/>
    </row>
    <row r="73" spans="2:70" ht="13.5" customHeight="1" thickBot="1">
      <c r="B73" s="80">
        <v>72</v>
      </c>
      <c r="C73" s="103" t="s">
        <v>401</v>
      </c>
      <c r="D73" s="154">
        <v>157750.49</v>
      </c>
      <c r="E73" s="249">
        <f t="shared" si="1"/>
        <v>3.9864169109471341E-3</v>
      </c>
      <c r="F73" s="154">
        <v>0</v>
      </c>
      <c r="G73" s="255">
        <f t="shared" si="2"/>
        <v>0</v>
      </c>
      <c r="H73" s="206">
        <f t="shared" si="9"/>
        <v>157750.49</v>
      </c>
      <c r="I73" s="257" t="str">
        <f t="shared" si="10"/>
        <v>...</v>
      </c>
      <c r="J73" s="154">
        <v>748711.19000000006</v>
      </c>
      <c r="K73" s="249">
        <f t="shared" si="11"/>
        <v>1.9843922342963161E-2</v>
      </c>
      <c r="L73" s="206">
        <f t="shared" si="7"/>
        <v>-590960.70000000007</v>
      </c>
      <c r="M73" s="257">
        <f t="shared" si="8"/>
        <v>-78.930395043247586</v>
      </c>
      <c r="BM73" s="159"/>
      <c r="BN73" s="159"/>
      <c r="BO73" s="143"/>
      <c r="BP73" s="143"/>
      <c r="BQ73" s="143"/>
      <c r="BR73" s="140"/>
    </row>
    <row r="74" spans="2:70" ht="13.5" customHeight="1" thickTop="1" thickBot="1">
      <c r="C74" s="146" t="s">
        <v>458</v>
      </c>
      <c r="D74" s="161">
        <f>-D69-SUM(D71:D73)</f>
        <v>14870038.959999934</v>
      </c>
      <c r="E74" s="247">
        <f t="shared" si="1"/>
        <v>0.37577173152734089</v>
      </c>
      <c r="F74" s="161">
        <f>-F69-SUM(F71:F73)</f>
        <v>34655074.10192281</v>
      </c>
      <c r="G74" s="253">
        <f t="shared" si="2"/>
        <v>0.87574734918434272</v>
      </c>
      <c r="H74" s="204">
        <f t="shared" si="9"/>
        <v>-19785035.141922876</v>
      </c>
      <c r="I74" s="262">
        <f t="shared" si="10"/>
        <v>-57.091308140717892</v>
      </c>
      <c r="J74" s="161">
        <f>-J69-SUM(J71:J73)</f>
        <v>-208461649</v>
      </c>
      <c r="K74" s="247">
        <f t="shared" si="11"/>
        <v>-5.5250900874635569</v>
      </c>
      <c r="L74" s="211">
        <f t="shared" si="7"/>
        <v>223331687.95999992</v>
      </c>
      <c r="M74" s="262">
        <f t="shared" si="8"/>
        <v>-90.509028765323222</v>
      </c>
      <c r="BM74" s="159"/>
      <c r="BN74" s="159"/>
      <c r="BO74" s="143"/>
      <c r="BP74" s="143"/>
      <c r="BQ74" s="143"/>
      <c r="BR74" s="140"/>
    </row>
    <row r="75" spans="2:70" s="187" customFormat="1" ht="13.5" thickTop="1">
      <c r="C75" s="188" t="str">
        <f>IF([1]MasterSheet!$A$1=1,[1]MasterSheet!C151,[1]MasterSheet!B151)</f>
        <v>Izvor: Ministarstvo finansija Crne Gore</v>
      </c>
      <c r="D75" s="193"/>
      <c r="E75" s="193"/>
      <c r="F75" s="192"/>
      <c r="G75" s="193"/>
      <c r="H75" s="193"/>
      <c r="I75" s="193"/>
      <c r="J75" s="192"/>
      <c r="K75" s="193"/>
      <c r="L75" s="193"/>
      <c r="M75" s="193"/>
    </row>
    <row r="76" spans="2:70" s="187" customFormat="1">
      <c r="C76" s="190"/>
      <c r="D76" s="189"/>
      <c r="E76" s="189"/>
      <c r="F76" s="194"/>
      <c r="G76" s="189"/>
      <c r="H76" s="189"/>
      <c r="I76" s="189"/>
      <c r="J76" s="194"/>
      <c r="K76" s="197"/>
      <c r="L76" s="189"/>
      <c r="M76" s="189"/>
    </row>
    <row r="77" spans="2:70" s="187" customFormat="1">
      <c r="F77" s="189"/>
      <c r="G77" s="189"/>
      <c r="H77" s="189"/>
      <c r="I77" s="189"/>
      <c r="J77" s="189"/>
      <c r="K77" s="189"/>
      <c r="L77" s="189"/>
      <c r="M77" s="189"/>
    </row>
    <row r="78" spans="2:70" s="187" customFormat="1">
      <c r="C78" s="191"/>
    </row>
  </sheetData>
  <sheetProtection formatCells="0" formatColumns="0" formatRows="0" sort="0" autoFilter="0"/>
  <mergeCells count="12">
    <mergeCell ref="D14:E14"/>
    <mergeCell ref="H14:I14"/>
    <mergeCell ref="D11:G11"/>
    <mergeCell ref="C14:C15"/>
    <mergeCell ref="L11:M11"/>
    <mergeCell ref="J14:K14"/>
    <mergeCell ref="F14:G14"/>
    <mergeCell ref="J11:K11"/>
    <mergeCell ref="L14:M14"/>
    <mergeCell ref="H11:I11"/>
    <mergeCell ref="J13:K13"/>
    <mergeCell ref="D13:E13"/>
  </mergeCells>
  <printOptions horizontalCentered="1" verticalCentered="1"/>
  <pageMargins left="0" right="0" top="0.19685039370078741" bottom="0.19685039370078741" header="0" footer="0"/>
  <pageSetup paperSize="9" scale="1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896" r:id="rId4" name="List Box 8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1000125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fitToPage="1"/>
  </sheetPr>
  <dimension ref="A1:CD93"/>
  <sheetViews>
    <sheetView topLeftCell="B1" zoomScaleNormal="100" workbookViewId="0">
      <selection activeCell="H75" sqref="H75"/>
    </sheetView>
  </sheetViews>
  <sheetFormatPr defaultColWidth="9.140625" defaultRowHeight="12.75"/>
  <cols>
    <col min="1" max="2" width="9.140625" style="80" customWidth="1"/>
    <col min="3" max="3" width="40.42578125" style="80" customWidth="1"/>
    <col min="4" max="13" width="7.7109375" style="80" customWidth="1"/>
    <col min="14" max="14" width="6.85546875" style="80" customWidth="1"/>
    <col min="15" max="76" width="9.140625" style="80" customWidth="1"/>
    <col min="77" max="77" width="9.140625" style="80"/>
    <col min="78" max="78" width="15.42578125" style="80" customWidth="1"/>
    <col min="79" max="79" width="12.7109375" style="80" customWidth="1"/>
    <col min="80" max="80" width="11.85546875" style="80" customWidth="1"/>
    <col min="81" max="16384" width="9.140625" style="80"/>
  </cols>
  <sheetData>
    <row r="1" spans="2:76" ht="15" customHeight="1">
      <c r="C1" s="81"/>
      <c r="D1" s="82"/>
      <c r="E1" s="82"/>
      <c r="F1" s="82"/>
      <c r="G1" s="82"/>
      <c r="H1" s="82"/>
      <c r="I1" s="82"/>
      <c r="J1" s="82"/>
      <c r="K1" s="82"/>
      <c r="L1" s="82"/>
      <c r="M1" s="82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</row>
    <row r="2" spans="2:76" ht="15" hidden="1" customHeight="1">
      <c r="C2" s="81"/>
      <c r="D2" s="82"/>
      <c r="E2" s="82"/>
      <c r="F2" s="82"/>
      <c r="G2" s="82"/>
      <c r="H2" s="82"/>
      <c r="I2" s="82"/>
      <c r="J2" s="82"/>
      <c r="K2" s="82"/>
      <c r="L2" s="82"/>
      <c r="M2" s="82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</row>
    <row r="3" spans="2:76" ht="15" hidden="1" customHeight="1"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</row>
    <row r="4" spans="2:76" ht="15" hidden="1" customHeight="1">
      <c r="C4" s="81"/>
      <c r="D4" s="82"/>
      <c r="E4" s="82"/>
      <c r="F4" s="82"/>
      <c r="G4" s="82"/>
      <c r="H4" s="82"/>
      <c r="I4" s="82"/>
      <c r="J4" s="82"/>
      <c r="K4" s="82"/>
      <c r="L4" s="82"/>
      <c r="M4" s="82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</row>
    <row r="5" spans="2:76" ht="15" hidden="1" customHeight="1">
      <c r="C5" s="81"/>
      <c r="D5" s="82"/>
      <c r="E5" s="82"/>
      <c r="F5" s="82"/>
      <c r="G5" s="82"/>
      <c r="H5" s="82"/>
      <c r="I5" s="82"/>
      <c r="J5" s="82"/>
      <c r="K5" s="82"/>
      <c r="L5" s="82"/>
      <c r="M5" s="82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</row>
    <row r="6" spans="2:76" ht="15" hidden="1" customHeight="1">
      <c r="C6" s="81"/>
      <c r="D6" s="82"/>
      <c r="E6" s="82"/>
      <c r="F6" s="82"/>
      <c r="G6" s="82"/>
      <c r="H6" s="82"/>
      <c r="I6" s="82"/>
      <c r="J6" s="82"/>
      <c r="K6" s="82"/>
      <c r="L6" s="82"/>
      <c r="M6" s="82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</row>
    <row r="7" spans="2:76" ht="15" hidden="1" customHeight="1">
      <c r="C7" s="81"/>
      <c r="D7" s="82"/>
      <c r="E7" s="82"/>
      <c r="F7" s="82"/>
      <c r="G7" s="82"/>
      <c r="H7" s="82"/>
      <c r="I7" s="82"/>
      <c r="J7" s="82"/>
      <c r="K7" s="82"/>
      <c r="L7" s="82"/>
      <c r="M7" s="82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</row>
    <row r="8" spans="2:76" ht="15" hidden="1" customHeight="1">
      <c r="C8" s="81"/>
      <c r="D8" s="82"/>
      <c r="E8" s="82"/>
      <c r="F8" s="82"/>
      <c r="G8" s="82"/>
      <c r="H8" s="82"/>
      <c r="I8" s="82"/>
      <c r="J8" s="82"/>
      <c r="K8" s="82"/>
      <c r="L8" s="82"/>
      <c r="M8" s="82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</row>
    <row r="9" spans="2:76" ht="15" hidden="1" customHeight="1"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</row>
    <row r="10" spans="2:76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</row>
    <row r="11" spans="2:76" ht="18.75" customHeight="1" thickTop="1" thickBot="1">
      <c r="C11" s="149" t="str">
        <f>+'Cental Budget'!C11</f>
        <v>BDP (u mil. €)</v>
      </c>
      <c r="D11" s="335">
        <f>+'Cental Budget'!D11:G11</f>
        <v>3957200000</v>
      </c>
      <c r="E11" s="336"/>
      <c r="F11" s="336"/>
      <c r="G11" s="337"/>
      <c r="H11" s="330"/>
      <c r="I11" s="331"/>
      <c r="J11" s="332">
        <f>+'Cental Budget'!J11:K11</f>
        <v>3773000000</v>
      </c>
      <c r="K11" s="333" t="e">
        <f>+'Cental Budget'!#REF!</f>
        <v>#REF!</v>
      </c>
      <c r="L11" s="330"/>
      <c r="M11" s="334"/>
      <c r="N11" s="202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</row>
    <row r="12" spans="2:76" ht="19.5" customHeight="1" thickTop="1">
      <c r="C12" s="81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4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</row>
    <row r="13" spans="2:76" ht="17.25" customHeight="1" thickBot="1">
      <c r="B13" s="85"/>
      <c r="C13" s="86"/>
      <c r="D13" s="338"/>
      <c r="E13" s="338"/>
      <c r="F13" s="86"/>
      <c r="G13" s="86"/>
      <c r="H13" s="86"/>
      <c r="I13" s="86"/>
      <c r="J13" s="338"/>
      <c r="K13" s="338"/>
      <c r="L13" s="86"/>
      <c r="M13" s="86"/>
      <c r="N13" s="84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</row>
    <row r="14" spans="2:76" ht="15.75" customHeight="1" thickTop="1">
      <c r="B14" s="87"/>
      <c r="C14" s="326" t="s">
        <v>258</v>
      </c>
      <c r="D14" s="328" t="s">
        <v>468</v>
      </c>
      <c r="E14" s="329"/>
      <c r="F14" s="328" t="s">
        <v>469</v>
      </c>
      <c r="G14" s="329"/>
      <c r="H14" s="328" t="str">
        <f>+'Cental Budget'!H14:I14</f>
        <v>Odstupanje</v>
      </c>
      <c r="I14" s="329"/>
      <c r="J14" s="328" t="s">
        <v>464</v>
      </c>
      <c r="K14" s="329"/>
      <c r="L14" s="328" t="str">
        <f>+H14</f>
        <v>Odstupanje</v>
      </c>
      <c r="M14" s="329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</row>
    <row r="15" spans="2:76" ht="15" customHeight="1" thickBot="1">
      <c r="C15" s="327"/>
      <c r="D15" s="150" t="str">
        <f>IF(MasterSheet!$A$1=1,MasterSheet!C71,MasterSheet!C70)</f>
        <v>mil. €</v>
      </c>
      <c r="E15" s="157" t="str">
        <f>IF(MasterSheet!$A$1=1,MasterSheet!D71,MasterSheet!D70)</f>
        <v>% BDP</v>
      </c>
      <c r="F15" s="150" t="str">
        <f>IF(MasterSheet!$A$1=1,MasterSheet!E71,MasterSheet!E70)</f>
        <v>mil. €</v>
      </c>
      <c r="G15" s="157" t="str">
        <f>IF(MasterSheet!$A$1=1,MasterSheet!F71,MasterSheet!F70)</f>
        <v>% BDP</v>
      </c>
      <c r="H15" s="150" t="str">
        <f>IF(MasterSheet!$A$1=1,MasterSheet!G71,MasterSheet!G70)</f>
        <v>mil. €</v>
      </c>
      <c r="I15" s="157" t="s">
        <v>441</v>
      </c>
      <c r="J15" s="150" t="str">
        <f>IF(MasterSheet!$A$1=1,MasterSheet!I71,MasterSheet!I70)</f>
        <v>mil. €</v>
      </c>
      <c r="K15" s="157" t="str">
        <f>IF(MasterSheet!$A$1=1,MasterSheet!J71,MasterSheet!J70)</f>
        <v>% BDP</v>
      </c>
      <c r="L15" s="150" t="str">
        <f>IF(MasterSheet!$A$1=1,MasterSheet!K71,MasterSheet!K70)</f>
        <v>mil. €</v>
      </c>
      <c r="M15" s="157" t="s">
        <v>441</v>
      </c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</row>
    <row r="16" spans="2:76" ht="15" customHeight="1" thickTop="1" thickBot="1">
      <c r="B16" s="80">
        <v>7</v>
      </c>
      <c r="C16" s="151" t="str">
        <f>IF(MasterSheet!$A$1=1,MasterSheet!C72,MasterSheet!B72)</f>
        <v>Izvorni prihodi</v>
      </c>
      <c r="D16" s="213">
        <f>+D17+D21+D27+D33+D38+D39</f>
        <v>34816159.713</v>
      </c>
      <c r="E16" s="263">
        <f>+D16/$D$11*100</f>
        <v>0.87981804591630453</v>
      </c>
      <c r="F16" s="213">
        <f>+F17+F21+F27+F33+F38+F39</f>
        <v>29919245.9362</v>
      </c>
      <c r="G16" s="263">
        <f t="shared" ref="G16:G76" si="0">+F16/$D$11*100</f>
        <v>0.75607110927423427</v>
      </c>
      <c r="H16" s="213">
        <f>+D16-F16</f>
        <v>4896913.7767999992</v>
      </c>
      <c r="I16" s="263">
        <f>+D16/F16*100-100</f>
        <v>16.367102925127881</v>
      </c>
      <c r="J16" s="213">
        <f>+J17+J21+J27+J33+J38+J39</f>
        <v>33395509.510000002</v>
      </c>
      <c r="K16" s="263">
        <f>+J16/$J$11*100</f>
        <v>0.88511819533527691</v>
      </c>
      <c r="L16" s="213">
        <f>+D16-J16</f>
        <v>1420650.2029999979</v>
      </c>
      <c r="M16" s="263">
        <f>+D16/J16*100-100</f>
        <v>4.2540156561306333</v>
      </c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</row>
    <row r="17" spans="2:81" ht="15" customHeight="1" thickTop="1">
      <c r="B17" s="80">
        <v>711</v>
      </c>
      <c r="C17" s="93" t="str">
        <f>IF(MasterSheet!$A$1=1,MasterSheet!C73,MasterSheet!B73)</f>
        <v>Porezi</v>
      </c>
      <c r="D17" s="214">
        <f>+SUM(D18:D20)</f>
        <v>19446096.493000001</v>
      </c>
      <c r="E17" s="264">
        <f t="shared" ref="E17:E76" si="1">+D17/$D$11*100</f>
        <v>0.49141050472556352</v>
      </c>
      <c r="F17" s="214">
        <f>+SUM(F18:F20)</f>
        <v>17516757.330400001</v>
      </c>
      <c r="G17" s="264">
        <f t="shared" si="0"/>
        <v>0.44265534545638335</v>
      </c>
      <c r="H17" s="215">
        <f t="shared" ref="H17:J76" si="2">+D17-F17</f>
        <v>1929339.1625999995</v>
      </c>
      <c r="I17" s="273">
        <f t="shared" ref="I17:I76" si="3">+D17/F17*100-100</f>
        <v>11.014248392033537</v>
      </c>
      <c r="J17" s="214">
        <f>+J18+J19+J20</f>
        <v>20334096.740000002</v>
      </c>
      <c r="K17" s="264">
        <f t="shared" ref="K17:K76" si="4">+J17/$J$11*100</f>
        <v>0.53893709886032337</v>
      </c>
      <c r="L17" s="215">
        <f t="shared" ref="L17:L76" si="5">+D17-J17</f>
        <v>-888000.24700000137</v>
      </c>
      <c r="M17" s="273">
        <f t="shared" ref="M17:M76" si="6">+D17/J17*100-100</f>
        <v>-4.3670503703918229</v>
      </c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</row>
    <row r="18" spans="2:81" ht="15" customHeight="1">
      <c r="B18" s="80">
        <v>7111</v>
      </c>
      <c r="C18" s="97" t="str">
        <f>IF(MasterSheet!$A$1=1,MasterSheet!C74,MasterSheet!B74)</f>
        <v>Porez na dohodak fizičkih lica</v>
      </c>
      <c r="D18" s="216">
        <v>6328021.5099999998</v>
      </c>
      <c r="E18" s="265">
        <f t="shared" si="1"/>
        <v>0.15991159178206812</v>
      </c>
      <c r="F18" s="216">
        <v>5596167.5307999998</v>
      </c>
      <c r="G18" s="265">
        <f t="shared" si="0"/>
        <v>0.14141735395734356</v>
      </c>
      <c r="H18" s="217">
        <f>+D18-F18</f>
        <v>731853.97919999994</v>
      </c>
      <c r="I18" s="274">
        <f>+D18/F18*100-100</f>
        <v>13.077771084801284</v>
      </c>
      <c r="J18" s="216">
        <v>7321053.9800000004</v>
      </c>
      <c r="K18" s="265">
        <f t="shared" si="4"/>
        <v>0.19403800636098595</v>
      </c>
      <c r="L18" s="217">
        <f>+D18-J18</f>
        <v>-993032.47000000067</v>
      </c>
      <c r="M18" s="274">
        <f>+D18/J18*100-100</f>
        <v>-13.564064309767602</v>
      </c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</row>
    <row r="19" spans="2:81" ht="15" customHeight="1">
      <c r="B19" s="80">
        <v>7113</v>
      </c>
      <c r="C19" s="97" t="str">
        <f>IF(MasterSheet!$A$1=1,MasterSheet!C76,MasterSheet!B76)</f>
        <v>Porez na promet nepokretnosti</v>
      </c>
      <c r="D19" s="216">
        <v>2231494.8429999999</v>
      </c>
      <c r="E19" s="265">
        <f t="shared" si="1"/>
        <v>5.6390752122713023E-2</v>
      </c>
      <c r="F19" s="216">
        <v>2594518.7889999999</v>
      </c>
      <c r="G19" s="265">
        <f t="shared" si="0"/>
        <v>6.5564509981805325E-2</v>
      </c>
      <c r="H19" s="217">
        <f>+D19-F19</f>
        <v>-363023.946</v>
      </c>
      <c r="I19" s="274">
        <f>+D19/F19*100-100</f>
        <v>-13.991956718105698</v>
      </c>
      <c r="J19" s="216">
        <v>2420328.44</v>
      </c>
      <c r="K19" s="265">
        <f t="shared" si="4"/>
        <v>6.4148646700238537E-2</v>
      </c>
      <c r="L19" s="217">
        <f>+D19-J19</f>
        <v>-188833.59700000007</v>
      </c>
      <c r="M19" s="274">
        <f>+D19/J19*100-100</f>
        <v>-7.8019823210439938</v>
      </c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7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7"/>
      <c r="AZ19" s="137"/>
      <c r="BA19" s="137"/>
      <c r="BB19" s="137"/>
      <c r="BC19" s="137"/>
      <c r="BD19" s="137"/>
      <c r="BE19" s="137"/>
      <c r="BF19" s="137"/>
      <c r="BG19" s="137"/>
      <c r="BH19" s="137"/>
      <c r="BI19" s="137"/>
      <c r="BJ19" s="137"/>
      <c r="BK19" s="136"/>
      <c r="BL19" s="136"/>
      <c r="BM19" s="136"/>
      <c r="BN19" s="136"/>
      <c r="BO19" s="136"/>
      <c r="BP19" s="136"/>
      <c r="BQ19" s="136"/>
      <c r="BR19" s="136"/>
      <c r="BS19" s="136"/>
      <c r="BT19" s="136"/>
      <c r="BU19" s="136"/>
      <c r="BV19" s="136"/>
    </row>
    <row r="20" spans="2:81" ht="15" customHeight="1">
      <c r="B20" s="80">
        <v>7117</v>
      </c>
      <c r="C20" s="97" t="s">
        <v>11</v>
      </c>
      <c r="D20" s="216">
        <v>10886580.140000001</v>
      </c>
      <c r="E20" s="265">
        <f t="shared" si="1"/>
        <v>0.27510816082078238</v>
      </c>
      <c r="F20" s="216">
        <v>9326071.0106000006</v>
      </c>
      <c r="G20" s="265">
        <f t="shared" si="0"/>
        <v>0.23567348151723441</v>
      </c>
      <c r="H20" s="217">
        <f>+D20-F20</f>
        <v>1560509.1294</v>
      </c>
      <c r="I20" s="274">
        <f>+D20/F20*100-100</f>
        <v>16.732760533630156</v>
      </c>
      <c r="J20" s="216">
        <v>10592714.32</v>
      </c>
      <c r="K20" s="265">
        <f t="shared" si="4"/>
        <v>0.28075044579909886</v>
      </c>
      <c r="L20" s="217">
        <f>+D20-J20</f>
        <v>293865.8200000003</v>
      </c>
      <c r="M20" s="274">
        <f>+D20/J20*100-100</f>
        <v>2.7742258605535568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7"/>
      <c r="AA20" s="136"/>
      <c r="AB20" s="136"/>
      <c r="AC20" s="136"/>
      <c r="AD20" s="136"/>
      <c r="AE20" s="136"/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136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6"/>
      <c r="BL20" s="136"/>
      <c r="BM20" s="136"/>
      <c r="BN20" s="136"/>
      <c r="BO20" s="136"/>
      <c r="BP20" s="136"/>
      <c r="BQ20" s="136"/>
      <c r="BR20" s="136"/>
      <c r="BS20" s="136"/>
      <c r="BT20" s="136"/>
      <c r="BU20" s="136"/>
      <c r="BV20" s="136"/>
    </row>
    <row r="21" spans="2:81" ht="15" customHeight="1">
      <c r="B21" s="80">
        <v>713</v>
      </c>
      <c r="C21" s="93" t="str">
        <f>IF(MasterSheet!$A$1=1,MasterSheet!C86,MasterSheet!B86)</f>
        <v>Takse</v>
      </c>
      <c r="D21" s="94">
        <f>+D22+D25+D26</f>
        <v>2216861.3099999996</v>
      </c>
      <c r="E21" s="243">
        <f t="shared" si="1"/>
        <v>5.6020956989790753E-2</v>
      </c>
      <c r="F21" s="94">
        <f>+F22+F25+F26</f>
        <v>1113525.9726000002</v>
      </c>
      <c r="G21" s="243">
        <f t="shared" si="0"/>
        <v>2.8139239174163555E-2</v>
      </c>
      <c r="H21" s="203">
        <f t="shared" si="2"/>
        <v>1103335.3373999994</v>
      </c>
      <c r="I21" s="256">
        <f t="shared" si="3"/>
        <v>99.084831835919687</v>
      </c>
      <c r="J21" s="94">
        <f>+J22+J25+J26</f>
        <v>1330062.4300000002</v>
      </c>
      <c r="K21" s="246">
        <f t="shared" si="4"/>
        <v>3.5252118473363375E-2</v>
      </c>
      <c r="L21" s="203">
        <f t="shared" si="5"/>
        <v>886798.87999999942</v>
      </c>
      <c r="M21" s="256">
        <f t="shared" si="6"/>
        <v>66.673477875771539</v>
      </c>
      <c r="BY21" s="81"/>
      <c r="BZ21" s="81"/>
      <c r="CA21" s="81"/>
    </row>
    <row r="22" spans="2:81" ht="15" customHeight="1">
      <c r="B22" s="80">
        <v>7131</v>
      </c>
      <c r="C22" s="97" t="str">
        <f>IF(MasterSheet!$A$1=1,MasterSheet!C87,MasterSheet!B87)</f>
        <v>Administrativne takse</v>
      </c>
      <c r="D22" s="216">
        <v>238146.27</v>
      </c>
      <c r="E22" s="265">
        <f t="shared" si="1"/>
        <v>6.0180498837561908E-3</v>
      </c>
      <c r="F22" s="216">
        <v>266246.14260000002</v>
      </c>
      <c r="G22" s="265">
        <f t="shared" si="0"/>
        <v>6.7281447134337419E-3</v>
      </c>
      <c r="H22" s="217">
        <f t="shared" si="2"/>
        <v>-28099.872600000032</v>
      </c>
      <c r="I22" s="274">
        <f t="shared" si="3"/>
        <v>-10.554095667112222</v>
      </c>
      <c r="J22" s="216">
        <v>235234.17</v>
      </c>
      <c r="K22" s="265">
        <f t="shared" si="4"/>
        <v>6.2346718791412674E-3</v>
      </c>
      <c r="L22" s="217">
        <f t="shared" si="5"/>
        <v>2912.0999999999767</v>
      </c>
      <c r="M22" s="274">
        <f t="shared" si="6"/>
        <v>1.2379579038198187</v>
      </c>
      <c r="BY22" s="81"/>
      <c r="BZ22" s="81"/>
      <c r="CA22" s="81"/>
    </row>
    <row r="23" spans="2:81" ht="15" hidden="1" customHeight="1">
      <c r="B23" s="80">
        <v>7133</v>
      </c>
      <c r="C23" s="97" t="str">
        <f>IF(MasterSheet!$A$1=1,MasterSheet!C89,MasterSheet!B89)</f>
        <v>Boravišne takse</v>
      </c>
      <c r="D23" s="216">
        <v>261025.63</v>
      </c>
      <c r="E23" s="265">
        <f t="shared" si="1"/>
        <v>6.5962203072879814E-3</v>
      </c>
      <c r="F23" s="216">
        <v>820220.70900000003</v>
      </c>
      <c r="G23" s="265">
        <f t="shared" si="0"/>
        <v>2.0727299833215404E-2</v>
      </c>
      <c r="H23" s="217">
        <f t="shared" si="2"/>
        <v>-559195.07900000003</v>
      </c>
      <c r="I23" s="274">
        <f t="shared" si="3"/>
        <v>-68.176171713801494</v>
      </c>
      <c r="J23" s="216"/>
      <c r="K23" s="265">
        <f t="shared" si="4"/>
        <v>0</v>
      </c>
      <c r="L23" s="217">
        <f t="shared" si="5"/>
        <v>261025.63</v>
      </c>
      <c r="M23" s="274" t="e">
        <f t="shared" si="6"/>
        <v>#DIV/0!</v>
      </c>
      <c r="BY23" s="138"/>
      <c r="BZ23" s="138"/>
      <c r="CA23" s="138"/>
    </row>
    <row r="24" spans="2:81" ht="15" hidden="1" customHeight="1">
      <c r="B24" s="80">
        <v>7134</v>
      </c>
      <c r="C24" s="97" t="s">
        <v>434</v>
      </c>
      <c r="D24" s="216">
        <v>261025.63</v>
      </c>
      <c r="E24" s="265">
        <f t="shared" si="1"/>
        <v>6.5962203072879814E-3</v>
      </c>
      <c r="F24" s="216">
        <v>27059.120999999999</v>
      </c>
      <c r="G24" s="265">
        <f t="shared" si="0"/>
        <v>6.8379462751440409E-4</v>
      </c>
      <c r="H24" s="217">
        <f t="shared" si="2"/>
        <v>233966.50900000002</v>
      </c>
      <c r="I24" s="274">
        <f t="shared" si="3"/>
        <v>864.6493321050599</v>
      </c>
      <c r="J24" s="216"/>
      <c r="K24" s="265">
        <f t="shared" si="4"/>
        <v>0</v>
      </c>
      <c r="L24" s="217">
        <f t="shared" si="5"/>
        <v>261025.63</v>
      </c>
      <c r="M24" s="274" t="e">
        <f t="shared" si="6"/>
        <v>#DIV/0!</v>
      </c>
      <c r="BY24" s="138"/>
      <c r="BZ24" s="138"/>
      <c r="CA24" s="138"/>
    </row>
    <row r="25" spans="2:81" ht="15" customHeight="1">
      <c r="B25" s="80">
        <v>7135</v>
      </c>
      <c r="C25" s="97" t="s">
        <v>36</v>
      </c>
      <c r="D25" s="216">
        <v>1948786.5799999998</v>
      </c>
      <c r="E25" s="265">
        <f t="shared" si="1"/>
        <v>4.9246603153745072E-2</v>
      </c>
      <c r="F25" s="216">
        <v>820220.70900000003</v>
      </c>
      <c r="G25" s="265">
        <f t="shared" si="0"/>
        <v>2.0727299833215404E-2</v>
      </c>
      <c r="H25" s="217">
        <f t="shared" si="2"/>
        <v>1128565.8709999998</v>
      </c>
      <c r="I25" s="274">
        <f t="shared" si="3"/>
        <v>137.59295011899044</v>
      </c>
      <c r="J25" s="216">
        <v>1070918.6700000002</v>
      </c>
      <c r="K25" s="265">
        <f t="shared" si="4"/>
        <v>2.8383744235356487E-2</v>
      </c>
      <c r="L25" s="217">
        <f t="shared" si="5"/>
        <v>877867.90999999968</v>
      </c>
      <c r="M25" s="274">
        <f t="shared" si="6"/>
        <v>81.97335003973734</v>
      </c>
      <c r="BY25" s="138"/>
      <c r="BZ25" s="138"/>
      <c r="CA25" s="138"/>
    </row>
    <row r="26" spans="2:81" ht="15" customHeight="1">
      <c r="B26" s="80">
        <v>7136</v>
      </c>
      <c r="C26" s="97" t="s">
        <v>37</v>
      </c>
      <c r="D26" s="216">
        <v>29928.459999999995</v>
      </c>
      <c r="E26" s="265">
        <f t="shared" si="1"/>
        <v>7.5630395228949753E-4</v>
      </c>
      <c r="F26" s="216">
        <v>27059.120999999999</v>
      </c>
      <c r="G26" s="265">
        <f t="shared" si="0"/>
        <v>6.8379462751440409E-4</v>
      </c>
      <c r="H26" s="217">
        <f t="shared" si="2"/>
        <v>2869.3389999999963</v>
      </c>
      <c r="I26" s="274">
        <f t="shared" si="3"/>
        <v>10.603962338614025</v>
      </c>
      <c r="J26" s="216">
        <v>23909.59</v>
      </c>
      <c r="K26" s="265">
        <f t="shared" si="4"/>
        <v>6.3370235886562416E-4</v>
      </c>
      <c r="L26" s="217">
        <f t="shared" si="5"/>
        <v>6018.8699999999953</v>
      </c>
      <c r="M26" s="274">
        <f t="shared" si="6"/>
        <v>25.173455504674052</v>
      </c>
      <c r="BY26" s="138"/>
      <c r="BZ26" s="138"/>
      <c r="CA26" s="138"/>
    </row>
    <row r="27" spans="2:81" ht="15" customHeight="1">
      <c r="B27" s="80">
        <v>714</v>
      </c>
      <c r="C27" s="93" t="str">
        <f>IF(MasterSheet!$A$1=1,MasterSheet!C91,MasterSheet!B91)</f>
        <v>Naknade</v>
      </c>
      <c r="D27" s="94">
        <f>+SUM(D28:D32)</f>
        <v>10359356.299999999</v>
      </c>
      <c r="E27" s="243">
        <f t="shared" si="1"/>
        <v>0.26178500707571006</v>
      </c>
      <c r="F27" s="94">
        <f>+SUM(F28:F32)</f>
        <v>8503357.0421999991</v>
      </c>
      <c r="G27" s="243">
        <f t="shared" si="0"/>
        <v>0.21488317603861315</v>
      </c>
      <c r="H27" s="203">
        <f t="shared" si="2"/>
        <v>1855999.2577999998</v>
      </c>
      <c r="I27" s="256">
        <f t="shared" si="3"/>
        <v>21.826665028754505</v>
      </c>
      <c r="J27" s="94">
        <f>+SUM(J28:J32)</f>
        <v>8581113.2200000007</v>
      </c>
      <c r="K27" s="246">
        <f t="shared" si="4"/>
        <v>0.22743475271667107</v>
      </c>
      <c r="L27" s="203">
        <f t="shared" si="5"/>
        <v>1778243.0799999982</v>
      </c>
      <c r="M27" s="256">
        <f t="shared" si="6"/>
        <v>20.72275512989907</v>
      </c>
      <c r="BY27" s="138"/>
      <c r="BZ27" s="138"/>
      <c r="CA27" s="138"/>
    </row>
    <row r="28" spans="2:81" ht="15" customHeight="1">
      <c r="B28" s="80">
        <v>7141</v>
      </c>
      <c r="C28" s="97" t="str">
        <f>IF(MasterSheet!$A$1=1,MasterSheet!C92,MasterSheet!B92)</f>
        <v>Naknade za korišćenje dobara od opšteg interesa</v>
      </c>
      <c r="D28" s="218">
        <v>122222.96</v>
      </c>
      <c r="E28" s="266">
        <f t="shared" si="1"/>
        <v>3.0886222581623371E-3</v>
      </c>
      <c r="F28" s="218">
        <v>164193.10260000004</v>
      </c>
      <c r="G28" s="266">
        <f t="shared" si="0"/>
        <v>4.1492242646315588E-3</v>
      </c>
      <c r="H28" s="219">
        <f t="shared" si="2"/>
        <v>-41970.142600000036</v>
      </c>
      <c r="I28" s="275">
        <f t="shared" si="3"/>
        <v>-25.561452908436621</v>
      </c>
      <c r="J28" s="218">
        <v>178155.49</v>
      </c>
      <c r="K28" s="266">
        <f t="shared" si="4"/>
        <v>4.7218523721176782E-3</v>
      </c>
      <c r="L28" s="219">
        <f t="shared" si="5"/>
        <v>-55932.529999999984</v>
      </c>
      <c r="M28" s="275">
        <f t="shared" si="6"/>
        <v>-31.395344594769426</v>
      </c>
      <c r="BY28" s="138"/>
      <c r="BZ28" s="138"/>
      <c r="CA28" s="138"/>
    </row>
    <row r="29" spans="2:81" ht="15" customHeight="1">
      <c r="B29" s="80">
        <v>7142</v>
      </c>
      <c r="C29" s="97" t="str">
        <f>IF(MasterSheet!$A$1=1,MasterSheet!C93,MasterSheet!B93)</f>
        <v>Naknade za korišćenje prirodnih dobara</v>
      </c>
      <c r="D29" s="220">
        <v>1328721.5399999998</v>
      </c>
      <c r="E29" s="244">
        <f t="shared" si="1"/>
        <v>3.3577315778833515E-2</v>
      </c>
      <c r="F29" s="154">
        <v>1249942.9452</v>
      </c>
      <c r="G29" s="244">
        <f t="shared" si="0"/>
        <v>3.1586549711917516E-2</v>
      </c>
      <c r="H29" s="221">
        <f t="shared" si="2"/>
        <v>78778.594799999846</v>
      </c>
      <c r="I29" s="257">
        <f t="shared" si="3"/>
        <v>6.3025752577366347</v>
      </c>
      <c r="J29" s="154">
        <v>1460291.26</v>
      </c>
      <c r="K29" s="293">
        <f t="shared" si="4"/>
        <v>3.8703717466207266E-2</v>
      </c>
      <c r="L29" s="221">
        <f t="shared" si="5"/>
        <v>-131569.7200000002</v>
      </c>
      <c r="M29" s="257">
        <f t="shared" si="6"/>
        <v>-9.0098272587072898</v>
      </c>
      <c r="BY29" s="138"/>
      <c r="BZ29" s="138"/>
      <c r="CA29" s="138"/>
    </row>
    <row r="30" spans="2:81" ht="24.75" customHeight="1">
      <c r="B30" s="80">
        <v>7146</v>
      </c>
      <c r="C30" s="155" t="s">
        <v>445</v>
      </c>
      <c r="D30" s="218">
        <v>7365765.8999999994</v>
      </c>
      <c r="E30" s="244">
        <f t="shared" si="1"/>
        <v>0.1861358005660568</v>
      </c>
      <c r="F30" s="218">
        <v>6000000</v>
      </c>
      <c r="G30" s="244">
        <f t="shared" si="0"/>
        <v>0.15162235924390982</v>
      </c>
      <c r="H30" s="219">
        <f t="shared" si="2"/>
        <v>1365765.8999999994</v>
      </c>
      <c r="I30" s="257">
        <f t="shared" si="3"/>
        <v>22.762764999999987</v>
      </c>
      <c r="J30" s="218">
        <v>6029935.3500000015</v>
      </c>
      <c r="K30" s="293">
        <f t="shared" si="4"/>
        <v>0.15981805857407902</v>
      </c>
      <c r="L30" s="219">
        <f t="shared" si="5"/>
        <v>1335830.549999998</v>
      </c>
      <c r="M30" s="257">
        <f t="shared" si="6"/>
        <v>22.153314628820979</v>
      </c>
      <c r="BY30" s="138"/>
      <c r="BZ30" s="138"/>
      <c r="CA30" s="138"/>
    </row>
    <row r="31" spans="2:81" ht="38.25">
      <c r="B31" s="156">
        <v>7147</v>
      </c>
      <c r="C31" s="155" t="s">
        <v>435</v>
      </c>
      <c r="D31" s="218">
        <v>426469.65</v>
      </c>
      <c r="E31" s="244">
        <f t="shared" si="1"/>
        <v>1.0777055746487416E-2</v>
      </c>
      <c r="F31" s="218">
        <v>442751.7672</v>
      </c>
      <c r="G31" s="244">
        <f t="shared" si="0"/>
        <v>1.1188511250379056E-2</v>
      </c>
      <c r="H31" s="219">
        <f t="shared" si="2"/>
        <v>-16282.117199999979</v>
      </c>
      <c r="I31" s="257">
        <f t="shared" si="3"/>
        <v>-3.6774821482858187</v>
      </c>
      <c r="J31" s="218">
        <v>556579.92999999993</v>
      </c>
      <c r="K31" s="293">
        <f t="shared" si="4"/>
        <v>1.4751654651470976E-2</v>
      </c>
      <c r="L31" s="221">
        <f t="shared" si="5"/>
        <v>-130110.27999999991</v>
      </c>
      <c r="M31" s="257">
        <f t="shared" si="6"/>
        <v>-23.376746624694121</v>
      </c>
      <c r="BY31" s="138"/>
      <c r="BZ31" s="138"/>
      <c r="CA31" s="138"/>
    </row>
    <row r="32" spans="2:81" ht="15" customHeight="1">
      <c r="B32" s="80">
        <v>7149</v>
      </c>
      <c r="C32" s="97" t="str">
        <f>IF(MasterSheet!$A$1=1,MasterSheet!C97,MasterSheet!B97)</f>
        <v>Ostale naknade</v>
      </c>
      <c r="D32" s="216">
        <v>1116176.25</v>
      </c>
      <c r="E32" s="265">
        <f t="shared" si="1"/>
        <v>2.8206212726170018E-2</v>
      </c>
      <c r="F32" s="216">
        <v>646469.22720000008</v>
      </c>
      <c r="G32" s="265">
        <f t="shared" si="0"/>
        <v>1.6336531567775196E-2</v>
      </c>
      <c r="H32" s="217">
        <f t="shared" si="2"/>
        <v>469707.02279999992</v>
      </c>
      <c r="I32" s="274">
        <f t="shared" si="3"/>
        <v>72.657290252531283</v>
      </c>
      <c r="J32" s="216">
        <v>356151.18999999994</v>
      </c>
      <c r="K32" s="265">
        <f t="shared" si="4"/>
        <v>9.4394696527961824E-3</v>
      </c>
      <c r="L32" s="217">
        <f t="shared" si="5"/>
        <v>760025.06</v>
      </c>
      <c r="M32" s="274">
        <f t="shared" si="6"/>
        <v>213.39955651980279</v>
      </c>
      <c r="BY32" s="81"/>
      <c r="BZ32" s="81"/>
      <c r="CA32" s="81"/>
      <c r="CB32" s="81"/>
      <c r="CC32" s="81"/>
    </row>
    <row r="33" spans="1:82" ht="15" customHeight="1">
      <c r="B33" s="80">
        <v>715</v>
      </c>
      <c r="C33" s="93" t="str">
        <f>IF(MasterSheet!$A$1=1,MasterSheet!C98,MasterSheet!B98)</f>
        <v>Ostali prihodi</v>
      </c>
      <c r="D33" s="222">
        <f>+SUM(D34:D37)</f>
        <v>2308219.96</v>
      </c>
      <c r="E33" s="267">
        <f t="shared" si="1"/>
        <v>5.8329625998180527E-2</v>
      </c>
      <c r="F33" s="222">
        <f>+SUM(F34:F37)</f>
        <v>2120350.9456000002</v>
      </c>
      <c r="G33" s="267">
        <f t="shared" si="0"/>
        <v>5.3582102132821191E-2</v>
      </c>
      <c r="H33" s="223">
        <f t="shared" si="2"/>
        <v>187869.01439999975</v>
      </c>
      <c r="I33" s="276">
        <f t="shared" si="3"/>
        <v>8.8602792282971734</v>
      </c>
      <c r="J33" s="222">
        <f>+SUM(J34:J37)</f>
        <v>1731202.6199999999</v>
      </c>
      <c r="K33" s="267">
        <f t="shared" si="4"/>
        <v>4.58839814471243E-2</v>
      </c>
      <c r="L33" s="223">
        <f t="shared" si="5"/>
        <v>577017.34000000008</v>
      </c>
      <c r="M33" s="276">
        <f t="shared" si="6"/>
        <v>33.330433614986106</v>
      </c>
      <c r="BY33" s="81"/>
      <c r="BZ33" s="81"/>
      <c r="CA33" s="81"/>
      <c r="CB33" s="81"/>
      <c r="CC33" s="81"/>
    </row>
    <row r="34" spans="1:82" ht="15" customHeight="1">
      <c r="B34" s="80">
        <v>7151</v>
      </c>
      <c r="C34" s="97" t="str">
        <f>IF(MasterSheet!$A$1=1,MasterSheet!C99,MasterSheet!B99)</f>
        <v>Prihodi od kapitala</v>
      </c>
      <c r="D34" s="216">
        <v>487994.94999999995</v>
      </c>
      <c r="E34" s="265">
        <f t="shared" si="1"/>
        <v>1.2331824269685635E-2</v>
      </c>
      <c r="F34" s="216">
        <v>463619.46780000004</v>
      </c>
      <c r="G34" s="265">
        <f t="shared" si="0"/>
        <v>1.1715846249873648E-2</v>
      </c>
      <c r="H34" s="217">
        <f t="shared" si="2"/>
        <v>24375.482199999911</v>
      </c>
      <c r="I34" s="274">
        <f t="shared" si="3"/>
        <v>5.2576485443262584</v>
      </c>
      <c r="J34" s="216">
        <v>423681.05</v>
      </c>
      <c r="K34" s="265">
        <f t="shared" si="4"/>
        <v>1.1229288364696529E-2</v>
      </c>
      <c r="L34" s="217">
        <f t="shared" si="5"/>
        <v>64313.899999999965</v>
      </c>
      <c r="M34" s="274">
        <f t="shared" si="6"/>
        <v>15.179791496457057</v>
      </c>
      <c r="BY34" s="139"/>
      <c r="BZ34" s="139"/>
      <c r="CA34" s="139"/>
      <c r="CB34" s="139"/>
      <c r="CC34" s="139"/>
      <c r="CD34" s="140"/>
    </row>
    <row r="35" spans="1:82" ht="15" customHeight="1">
      <c r="B35" s="80">
        <v>7152</v>
      </c>
      <c r="C35" s="97" t="str">
        <f>IF(MasterSheet!$A$1=1,MasterSheet!C100,MasterSheet!B100)</f>
        <v>Novčane kazne i oduzete imovinske koristi</v>
      </c>
      <c r="D35" s="216">
        <v>228595.18000000002</v>
      </c>
      <c r="E35" s="265">
        <f t="shared" si="1"/>
        <v>5.7766900838977057E-3</v>
      </c>
      <c r="F35" s="216">
        <v>115152.23699999999</v>
      </c>
      <c r="G35" s="265">
        <f t="shared" si="0"/>
        <v>2.9099423076923074E-3</v>
      </c>
      <c r="H35" s="217">
        <f t="shared" si="2"/>
        <v>113442.94300000003</v>
      </c>
      <c r="I35" s="274">
        <f t="shared" si="3"/>
        <v>98.515622410357537</v>
      </c>
      <c r="J35" s="216">
        <v>77335.66</v>
      </c>
      <c r="K35" s="265">
        <f t="shared" si="4"/>
        <v>2.0497126954677975E-3</v>
      </c>
      <c r="L35" s="217">
        <f t="shared" si="5"/>
        <v>151259.52000000002</v>
      </c>
      <c r="M35" s="274">
        <f t="shared" si="6"/>
        <v>195.58832238581789</v>
      </c>
      <c r="BY35" s="139"/>
      <c r="BZ35" s="139"/>
      <c r="CA35" s="141"/>
      <c r="CB35" s="141"/>
      <c r="CC35" s="142"/>
      <c r="CD35" s="140"/>
    </row>
    <row r="36" spans="1:82" ht="15" customHeight="1">
      <c r="B36" s="80">
        <v>7153</v>
      </c>
      <c r="C36" s="97" t="str">
        <f>IF(MasterSheet!$A$1=1,MasterSheet!C101,MasterSheet!B101)</f>
        <v>Prihodi koje organi ostvaruju vršenjem svoje djelatnosti</v>
      </c>
      <c r="D36" s="216">
        <v>353284.5400000001</v>
      </c>
      <c r="E36" s="265">
        <f t="shared" si="1"/>
        <v>8.9276392398665739E-3</v>
      </c>
      <c r="F36" s="216">
        <v>541579.24079999991</v>
      </c>
      <c r="G36" s="265">
        <f t="shared" si="0"/>
        <v>1.3685920367936925E-2</v>
      </c>
      <c r="H36" s="217">
        <f t="shared" si="2"/>
        <v>-188294.70079999982</v>
      </c>
      <c r="I36" s="274">
        <f t="shared" si="3"/>
        <v>-34.767710173281046</v>
      </c>
      <c r="J36" s="216">
        <v>369042.65999999992</v>
      </c>
      <c r="K36" s="265">
        <f t="shared" si="4"/>
        <v>9.7811465677179934E-3</v>
      </c>
      <c r="L36" s="217">
        <f t="shared" si="5"/>
        <v>-15758.119999999821</v>
      </c>
      <c r="M36" s="274">
        <f t="shared" si="6"/>
        <v>-4.2699995713232255</v>
      </c>
      <c r="BY36" s="81"/>
      <c r="BZ36" s="81"/>
      <c r="CA36" s="143"/>
      <c r="CB36" s="143"/>
      <c r="CC36" s="143"/>
      <c r="CD36" s="140"/>
    </row>
    <row r="37" spans="1:82" ht="15" customHeight="1">
      <c r="B37" s="80">
        <v>7154</v>
      </c>
      <c r="C37" s="97" t="str">
        <f>IF(MasterSheet!$A$1=1,MasterSheet!C102,MasterSheet!B102)</f>
        <v>Ostali prihodi</v>
      </c>
      <c r="D37" s="216">
        <v>1238345.2899999998</v>
      </c>
      <c r="E37" s="265">
        <f t="shared" si="1"/>
        <v>3.1293472404730613E-2</v>
      </c>
      <c r="F37" s="216">
        <v>1000000</v>
      </c>
      <c r="G37" s="265">
        <f t="shared" si="0"/>
        <v>2.5270393207318307E-2</v>
      </c>
      <c r="H37" s="217">
        <f t="shared" si="2"/>
        <v>238345.2899999998</v>
      </c>
      <c r="I37" s="274">
        <f t="shared" si="3"/>
        <v>23.834528999999975</v>
      </c>
      <c r="J37" s="216">
        <v>861143.25</v>
      </c>
      <c r="K37" s="265">
        <f t="shared" si="4"/>
        <v>2.2823833819241985E-2</v>
      </c>
      <c r="L37" s="217">
        <f t="shared" si="5"/>
        <v>377202.0399999998</v>
      </c>
      <c r="M37" s="274">
        <f t="shared" si="6"/>
        <v>43.80247304963487</v>
      </c>
      <c r="BX37" s="100"/>
      <c r="BY37" s="100"/>
      <c r="BZ37" s="99"/>
      <c r="CA37" s="143"/>
      <c r="CB37" s="143"/>
      <c r="CC37" s="143"/>
      <c r="CD37" s="140"/>
    </row>
    <row r="38" spans="1:82">
      <c r="B38" s="80">
        <v>73</v>
      </c>
      <c r="C38" s="101" t="str">
        <f>IF(MasterSheet!$A$1=1,MasterSheet!C103,MasterSheet!B103)</f>
        <v xml:space="preserve">Primici od otplate kredita </v>
      </c>
      <c r="D38" s="222">
        <v>0</v>
      </c>
      <c r="E38" s="267">
        <f t="shared" si="1"/>
        <v>0</v>
      </c>
      <c r="F38" s="222">
        <v>0</v>
      </c>
      <c r="G38" s="267">
        <f t="shared" si="0"/>
        <v>0</v>
      </c>
      <c r="H38" s="223">
        <f t="shared" si="2"/>
        <v>0</v>
      </c>
      <c r="I38" s="274" t="e">
        <f t="shared" si="3"/>
        <v>#DIV/0!</v>
      </c>
      <c r="J38" s="222">
        <v>0</v>
      </c>
      <c r="K38" s="267">
        <f t="shared" si="4"/>
        <v>0</v>
      </c>
      <c r="L38" s="223">
        <f t="shared" si="5"/>
        <v>0</v>
      </c>
      <c r="M38" s="276" t="e">
        <f t="shared" si="6"/>
        <v>#DIV/0!</v>
      </c>
      <c r="BX38" s="100"/>
      <c r="BY38" s="100"/>
      <c r="BZ38" s="99"/>
      <c r="CA38" s="143"/>
      <c r="CB38" s="143"/>
      <c r="CC38" s="143"/>
      <c r="CD38" s="140"/>
    </row>
    <row r="39" spans="1:82" ht="13.5" customHeight="1" thickBot="1">
      <c r="B39" s="80">
        <v>74</v>
      </c>
      <c r="C39" s="93" t="s">
        <v>122</v>
      </c>
      <c r="D39" s="222">
        <v>485625.65</v>
      </c>
      <c r="E39" s="267">
        <f t="shared" si="1"/>
        <v>1.227195112705954E-2</v>
      </c>
      <c r="F39" s="222">
        <f>479996.9754+185257.67</f>
        <v>665254.64540000004</v>
      </c>
      <c r="G39" s="267">
        <f t="shared" si="0"/>
        <v>1.681124647225311E-2</v>
      </c>
      <c r="H39" s="223">
        <f t="shared" si="2"/>
        <v>-179628.99540000001</v>
      </c>
      <c r="I39" s="276">
        <f t="shared" si="3"/>
        <v>-27.001539431865794</v>
      </c>
      <c r="J39" s="222">
        <v>1419034.5</v>
      </c>
      <c r="K39" s="267">
        <f t="shared" si="4"/>
        <v>3.7610243837794856E-2</v>
      </c>
      <c r="L39" s="223">
        <f t="shared" si="5"/>
        <v>-933408.85</v>
      </c>
      <c r="M39" s="276">
        <f t="shared" si="6"/>
        <v>-65.777741837848197</v>
      </c>
      <c r="BY39" s="144"/>
      <c r="BZ39" s="144"/>
      <c r="CA39" s="143"/>
      <c r="CB39" s="143"/>
      <c r="CC39" s="143"/>
      <c r="CD39" s="140"/>
    </row>
    <row r="40" spans="1:82" ht="15" customHeight="1" thickTop="1" thickBot="1">
      <c r="B40" s="102"/>
      <c r="C40" s="151" t="str">
        <f>IF(MasterSheet!$A$1=1,MasterSheet!C104,MasterSheet!B104)</f>
        <v>Izdaci</v>
      </c>
      <c r="D40" s="224">
        <f>+D42+D52+D55+D58+D59+D60+D61+D62+D63</f>
        <v>39272996.920000002</v>
      </c>
      <c r="E40" s="268">
        <f t="shared" si="1"/>
        <v>0.99244407459820083</v>
      </c>
      <c r="F40" s="224">
        <f>+F42+F52+F55+F58+F59+F60+F61+F62+F63</f>
        <v>36114212.103</v>
      </c>
      <c r="G40" s="268">
        <f t="shared" si="0"/>
        <v>0.9126203402153038</v>
      </c>
      <c r="H40" s="224">
        <f t="shared" si="2"/>
        <v>3158784.8170000017</v>
      </c>
      <c r="I40" s="268">
        <f t="shared" si="3"/>
        <v>8.746653001845786</v>
      </c>
      <c r="J40" s="224">
        <f>+J42+J52+J55+J58+J59+J60+J61+J62+J63</f>
        <v>41854469.129999995</v>
      </c>
      <c r="K40" s="294">
        <f t="shared" si="4"/>
        <v>1.1093153758282532</v>
      </c>
      <c r="L40" s="224">
        <f t="shared" si="5"/>
        <v>-2581472.2099999934</v>
      </c>
      <c r="M40" s="268">
        <f t="shared" si="6"/>
        <v>-6.1677337298961703</v>
      </c>
      <c r="BY40" s="81"/>
      <c r="BZ40" s="81"/>
      <c r="CA40" s="143"/>
      <c r="CB40" s="143"/>
      <c r="CC40" s="143"/>
      <c r="CD40" s="140"/>
    </row>
    <row r="41" spans="1:82" ht="13.5" customHeight="1" thickTop="1" thickBot="1">
      <c r="C41" s="151" t="str">
        <f>IF(MasterSheet!$A$1=1,MasterSheet!C105,MasterSheet!B105)</f>
        <v>Tekuća budžetska potrošnja</v>
      </c>
      <c r="D41" s="224">
        <f>+D40-D58</f>
        <v>33219668.880000003</v>
      </c>
      <c r="E41" s="268">
        <f t="shared" si="1"/>
        <v>0.8394740948145154</v>
      </c>
      <c r="F41" s="224">
        <f>+F40-F58</f>
        <v>29796535.2564</v>
      </c>
      <c r="G41" s="268">
        <f t="shared" si="0"/>
        <v>0.75297016214495094</v>
      </c>
      <c r="H41" s="224">
        <f t="shared" si="2"/>
        <v>3423133.6236000024</v>
      </c>
      <c r="I41" s="268">
        <f t="shared" si="3"/>
        <v>11.488361294841326</v>
      </c>
      <c r="J41" s="224">
        <f>+J40-J58</f>
        <v>36305701.75</v>
      </c>
      <c r="K41" s="294">
        <f t="shared" si="4"/>
        <v>0.96225024516300017</v>
      </c>
      <c r="L41" s="224">
        <f t="shared" si="5"/>
        <v>-3086032.8699999973</v>
      </c>
      <c r="M41" s="268">
        <f t="shared" si="6"/>
        <v>-8.5001328200466304</v>
      </c>
      <c r="BY41" s="144"/>
      <c r="BZ41" s="144"/>
      <c r="CA41" s="143"/>
      <c r="CB41" s="143"/>
      <c r="CC41" s="143"/>
      <c r="CD41" s="140"/>
    </row>
    <row r="42" spans="1:82" ht="13.5" customHeight="1" thickTop="1">
      <c r="A42" s="80">
        <v>41</v>
      </c>
      <c r="C42" s="93" t="str">
        <f>+'Cental Budget'!C37</f>
        <v>Tekući izdaci</v>
      </c>
      <c r="D42" s="94">
        <f>+SUM(D43:D51)</f>
        <v>14225724.869999999</v>
      </c>
      <c r="E42" s="243">
        <f t="shared" si="1"/>
        <v>0.35948966112402708</v>
      </c>
      <c r="F42" s="94">
        <f>+SUM(F43:F51)</f>
        <v>11383300.476600002</v>
      </c>
      <c r="G42" s="243">
        <f t="shared" si="0"/>
        <v>0.28766047904073594</v>
      </c>
      <c r="H42" s="203">
        <f t="shared" si="2"/>
        <v>2842424.3933999967</v>
      </c>
      <c r="I42" s="256">
        <f t="shared" si="3"/>
        <v>24.970125309816837</v>
      </c>
      <c r="J42" s="94">
        <f>+SUM(J43:J51)</f>
        <v>13497671.569999998</v>
      </c>
      <c r="K42" s="246">
        <f t="shared" si="4"/>
        <v>0.35774374688576727</v>
      </c>
      <c r="L42" s="203">
        <f t="shared" si="5"/>
        <v>728053.30000000075</v>
      </c>
      <c r="M42" s="256">
        <f t="shared" si="6"/>
        <v>5.3939177303600587</v>
      </c>
      <c r="BY42" s="144"/>
      <c r="BZ42" s="144"/>
      <c r="CA42" s="143"/>
      <c r="CB42" s="143"/>
      <c r="CC42" s="143"/>
      <c r="CD42" s="140"/>
    </row>
    <row r="43" spans="1:82" ht="13.5" customHeight="1">
      <c r="B43" s="80">
        <v>411</v>
      </c>
      <c r="C43" s="93" t="str">
        <f>+'Cental Budget'!C38</f>
        <v>Bruto zarade i doprinosi na teret poslodavca</v>
      </c>
      <c r="D43" s="222">
        <v>8500416.5299999993</v>
      </c>
      <c r="E43" s="267">
        <f t="shared" si="1"/>
        <v>0.21480886813908823</v>
      </c>
      <c r="F43" s="222">
        <v>6204487.5499999998</v>
      </c>
      <c r="G43" s="267">
        <f t="shared" si="0"/>
        <v>0.15678984003841098</v>
      </c>
      <c r="H43" s="223">
        <f t="shared" si="2"/>
        <v>2295928.9799999995</v>
      </c>
      <c r="I43" s="276">
        <f t="shared" si="3"/>
        <v>37.004328907066622</v>
      </c>
      <c r="J43" s="222">
        <v>7018408.5099999998</v>
      </c>
      <c r="K43" s="267">
        <f t="shared" si="4"/>
        <v>0.18601665809700504</v>
      </c>
      <c r="L43" s="223">
        <f t="shared" si="5"/>
        <v>1482008.0199999996</v>
      </c>
      <c r="M43" s="276">
        <f t="shared" si="6"/>
        <v>21.116012524611506</v>
      </c>
      <c r="BY43" s="144"/>
      <c r="BZ43" s="144"/>
      <c r="CA43" s="143"/>
      <c r="CB43" s="143"/>
      <c r="CC43" s="143"/>
      <c r="CD43" s="140"/>
    </row>
    <row r="44" spans="1:82" ht="13.5" customHeight="1">
      <c r="B44" s="80">
        <v>412</v>
      </c>
      <c r="C44" s="93" t="str">
        <f>+'Cental Budget'!C39</f>
        <v>Ostala lična primanja</v>
      </c>
      <c r="D44" s="222">
        <v>498630.47000000003</v>
      </c>
      <c r="E44" s="267">
        <f t="shared" si="1"/>
        <v>1.2600588042049936E-2</v>
      </c>
      <c r="F44" s="222">
        <v>1200000</v>
      </c>
      <c r="G44" s="267">
        <f t="shared" si="0"/>
        <v>3.0324471848781967E-2</v>
      </c>
      <c r="H44" s="223">
        <f t="shared" si="2"/>
        <v>-701369.53</v>
      </c>
      <c r="I44" s="276">
        <f t="shared" si="3"/>
        <v>-58.447460833333331</v>
      </c>
      <c r="J44" s="222">
        <v>1640216.7200000004</v>
      </c>
      <c r="K44" s="267">
        <f t="shared" si="4"/>
        <v>4.3472481314603774E-2</v>
      </c>
      <c r="L44" s="223">
        <f t="shared" si="5"/>
        <v>-1141586.2500000005</v>
      </c>
      <c r="M44" s="276">
        <f t="shared" si="6"/>
        <v>-69.599720334517755</v>
      </c>
      <c r="BY44" s="144"/>
      <c r="BZ44" s="144"/>
      <c r="CA44" s="143"/>
      <c r="CB44" s="143"/>
      <c r="CC44" s="143"/>
      <c r="CD44" s="140"/>
    </row>
    <row r="45" spans="1:82" ht="13.5" customHeight="1">
      <c r="B45" s="80">
        <v>413</v>
      </c>
      <c r="C45" s="93" t="str">
        <f>+'Cental Budget'!C40</f>
        <v>Rashodi za materijal</v>
      </c>
      <c r="D45" s="222">
        <v>1630823.6400000001</v>
      </c>
      <c r="E45" s="267">
        <f t="shared" si="1"/>
        <v>4.1211554634590121E-2</v>
      </c>
      <c r="F45" s="222">
        <v>1000000</v>
      </c>
      <c r="G45" s="267">
        <f t="shared" si="0"/>
        <v>2.5270393207318307E-2</v>
      </c>
      <c r="H45" s="223">
        <f t="shared" si="2"/>
        <v>630823.64000000013</v>
      </c>
      <c r="I45" s="276">
        <f t="shared" si="3"/>
        <v>63.082364000000013</v>
      </c>
      <c r="J45" s="222">
        <v>1399387.5299999998</v>
      </c>
      <c r="K45" s="267">
        <f t="shared" si="4"/>
        <v>3.7089518420355148E-2</v>
      </c>
      <c r="L45" s="223">
        <f t="shared" si="5"/>
        <v>231436.11000000034</v>
      </c>
      <c r="M45" s="276">
        <f t="shared" si="6"/>
        <v>16.538385903724631</v>
      </c>
      <c r="BY45" s="144"/>
      <c r="BZ45" s="144"/>
      <c r="CA45" s="143"/>
      <c r="CB45" s="143"/>
      <c r="CC45" s="143"/>
      <c r="CD45" s="140"/>
    </row>
    <row r="46" spans="1:82" ht="13.5" customHeight="1">
      <c r="B46" s="80">
        <v>414</v>
      </c>
      <c r="C46" s="93" t="str">
        <f>+'Cental Budget'!C41</f>
        <v>Rashodi za usluge</v>
      </c>
      <c r="D46" s="94">
        <v>1153953.7000000002</v>
      </c>
      <c r="E46" s="243">
        <f t="shared" si="1"/>
        <v>2.9160863742039831E-2</v>
      </c>
      <c r="F46" s="152">
        <v>1167694.4598000003</v>
      </c>
      <c r="G46" s="243">
        <f t="shared" si="0"/>
        <v>2.9508098145153146E-2</v>
      </c>
      <c r="H46" s="203">
        <f t="shared" si="2"/>
        <v>-13740.759800000116</v>
      </c>
      <c r="I46" s="276">
        <f t="shared" si="3"/>
        <v>-1.1767427416204015</v>
      </c>
      <c r="J46" s="152">
        <v>1257860.7</v>
      </c>
      <c r="K46" s="246">
        <f t="shared" si="4"/>
        <v>3.3338476013782134E-2</v>
      </c>
      <c r="L46" s="203">
        <f t="shared" si="5"/>
        <v>-103906.99999999977</v>
      </c>
      <c r="M46" s="256">
        <f t="shared" si="6"/>
        <v>-8.2606126417654906</v>
      </c>
      <c r="BY46" s="144"/>
      <c r="BZ46" s="144"/>
      <c r="CA46" s="143"/>
      <c r="CB46" s="143"/>
      <c r="CC46" s="143"/>
      <c r="CD46" s="140"/>
    </row>
    <row r="47" spans="1:82" ht="13.5" customHeight="1">
      <c r="B47" s="80">
        <v>415</v>
      </c>
      <c r="C47" s="93" t="str">
        <f>+'Cental Budget'!C42</f>
        <v>Rashodi za tekuće održavanje</v>
      </c>
      <c r="D47" s="222">
        <v>789842.50000000012</v>
      </c>
      <c r="E47" s="267">
        <f t="shared" si="1"/>
        <v>1.9959630546851313E-2</v>
      </c>
      <c r="F47" s="222">
        <v>610241.93820000009</v>
      </c>
      <c r="G47" s="267">
        <f t="shared" si="0"/>
        <v>1.5421053729910039E-2</v>
      </c>
      <c r="H47" s="223">
        <f t="shared" si="2"/>
        <v>179600.56180000002</v>
      </c>
      <c r="I47" s="276">
        <f t="shared" si="3"/>
        <v>29.431042109258954</v>
      </c>
      <c r="J47" s="222">
        <v>575173.76000000013</v>
      </c>
      <c r="K47" s="267">
        <f t="shared" si="4"/>
        <v>1.5244467532467536E-2</v>
      </c>
      <c r="L47" s="223">
        <f t="shared" si="5"/>
        <v>214668.74</v>
      </c>
      <c r="M47" s="276">
        <f t="shared" si="6"/>
        <v>37.322415403651235</v>
      </c>
      <c r="BY47" s="144"/>
      <c r="BZ47" s="144"/>
      <c r="CA47" s="143"/>
      <c r="CB47" s="143"/>
      <c r="CC47" s="143"/>
      <c r="CD47" s="140"/>
    </row>
    <row r="48" spans="1:82" ht="13.5" customHeight="1">
      <c r="B48" s="80">
        <v>416</v>
      </c>
      <c r="C48" s="93" t="str">
        <f>+'Cental Budget'!C43</f>
        <v>Kamate</v>
      </c>
      <c r="D48" s="222">
        <v>882827.34</v>
      </c>
      <c r="E48" s="267">
        <f t="shared" si="1"/>
        <v>2.2309394015970888E-2</v>
      </c>
      <c r="F48" s="222">
        <v>797320.70939999993</v>
      </c>
      <c r="G48" s="267">
        <f t="shared" si="0"/>
        <v>2.0148607838875971E-2</v>
      </c>
      <c r="H48" s="223">
        <f t="shared" si="2"/>
        <v>85506.630600000033</v>
      </c>
      <c r="I48" s="276">
        <f t="shared" si="3"/>
        <v>10.724245537827002</v>
      </c>
      <c r="J48" s="222">
        <v>852271.99</v>
      </c>
      <c r="K48" s="267">
        <f t="shared" si="4"/>
        <v>2.2588708984892659E-2</v>
      </c>
      <c r="L48" s="223">
        <f t="shared" si="5"/>
        <v>30555.349999999977</v>
      </c>
      <c r="M48" s="276">
        <f t="shared" si="6"/>
        <v>3.58516416807268</v>
      </c>
      <c r="BY48" s="144"/>
      <c r="BZ48" s="144"/>
      <c r="CA48" s="143"/>
      <c r="CB48" s="143"/>
      <c r="CC48" s="143"/>
      <c r="CD48" s="140"/>
    </row>
    <row r="49" spans="1:82" ht="13.5" customHeight="1">
      <c r="B49" s="80">
        <v>417</v>
      </c>
      <c r="C49" s="93" t="str">
        <f>+'Cental Budget'!C44</f>
        <v>Renta</v>
      </c>
      <c r="D49" s="222">
        <v>27289.679999999997</v>
      </c>
      <c r="E49" s="267">
        <f t="shared" si="1"/>
        <v>6.8962094410189015E-4</v>
      </c>
      <c r="F49" s="222">
        <v>61257.334199999998</v>
      </c>
      <c r="G49" s="267">
        <f t="shared" si="0"/>
        <v>1.5479969220661073E-3</v>
      </c>
      <c r="H49" s="223">
        <f t="shared" si="2"/>
        <v>-33967.654200000004</v>
      </c>
      <c r="I49" s="276">
        <f t="shared" si="3"/>
        <v>-55.450754825697267</v>
      </c>
      <c r="J49" s="222">
        <v>78210.109999999986</v>
      </c>
      <c r="K49" s="267">
        <f t="shared" si="4"/>
        <v>2.0728892128279879E-3</v>
      </c>
      <c r="L49" s="223">
        <f t="shared" si="5"/>
        <v>-50920.429999999993</v>
      </c>
      <c r="M49" s="276">
        <f t="shared" si="6"/>
        <v>-65.107222071417624</v>
      </c>
      <c r="BY49" s="144"/>
      <c r="BZ49" s="144"/>
      <c r="CA49" s="143"/>
      <c r="CB49" s="143"/>
      <c r="CC49" s="143"/>
      <c r="CD49" s="140"/>
    </row>
    <row r="50" spans="1:82" ht="13.5" customHeight="1">
      <c r="B50" s="80">
        <v>418</v>
      </c>
      <c r="C50" s="93" t="str">
        <f>+'Cental Budget'!C45</f>
        <v>Subvencije</v>
      </c>
      <c r="D50" s="222">
        <v>212260.68</v>
      </c>
      <c r="E50" s="267">
        <f t="shared" si="1"/>
        <v>5.3639108460527647E-3</v>
      </c>
      <c r="F50" s="222">
        <v>58291.684200000003</v>
      </c>
      <c r="G50" s="267">
        <f t="shared" si="0"/>
        <v>1.473053780450824E-3</v>
      </c>
      <c r="H50" s="223">
        <f t="shared" si="2"/>
        <v>153968.99579999998</v>
      </c>
      <c r="I50" s="276">
        <f t="shared" si="3"/>
        <v>264.13543872180651</v>
      </c>
      <c r="J50" s="222">
        <v>224144.10000000003</v>
      </c>
      <c r="K50" s="267">
        <f t="shared" si="4"/>
        <v>5.9407394646170163E-3</v>
      </c>
      <c r="L50" s="223">
        <f t="shared" si="5"/>
        <v>-11883.420000000042</v>
      </c>
      <c r="M50" s="276">
        <f t="shared" si="6"/>
        <v>-5.3016876197053762</v>
      </c>
      <c r="BY50" s="144"/>
      <c r="BZ50" s="144"/>
      <c r="CA50" s="143"/>
      <c r="CB50" s="143"/>
      <c r="CC50" s="143"/>
      <c r="CD50" s="140"/>
    </row>
    <row r="51" spans="1:82" ht="13.5" customHeight="1">
      <c r="B51" s="80">
        <v>419</v>
      </c>
      <c r="C51" s="93" t="str">
        <f>+'Cental Budget'!C46</f>
        <v>Ostali izdaci</v>
      </c>
      <c r="D51" s="222">
        <v>529680.32999999996</v>
      </c>
      <c r="E51" s="267">
        <f t="shared" si="1"/>
        <v>1.3385230213282117E-2</v>
      </c>
      <c r="F51" s="222">
        <v>284006.80079999997</v>
      </c>
      <c r="G51" s="267">
        <f t="shared" si="0"/>
        <v>7.1769635297685222E-3</v>
      </c>
      <c r="H51" s="223">
        <f t="shared" si="2"/>
        <v>245673.52919999999</v>
      </c>
      <c r="I51" s="276">
        <f t="shared" si="3"/>
        <v>86.50269236792164</v>
      </c>
      <c r="J51" s="222">
        <v>451998.15</v>
      </c>
      <c r="K51" s="267">
        <f t="shared" si="4"/>
        <v>1.1979807845216009E-2</v>
      </c>
      <c r="L51" s="223">
        <f t="shared" si="5"/>
        <v>77682.179999999935</v>
      </c>
      <c r="M51" s="276">
        <f t="shared" si="6"/>
        <v>17.186393351388702</v>
      </c>
      <c r="BY51" s="144"/>
      <c r="BZ51" s="144"/>
      <c r="CA51" s="143"/>
      <c r="CB51" s="143"/>
      <c r="CC51" s="143"/>
      <c r="CD51" s="140"/>
    </row>
    <row r="52" spans="1:82" ht="13.5" customHeight="1">
      <c r="A52" s="80">
        <v>42</v>
      </c>
      <c r="B52" s="80" t="s">
        <v>427</v>
      </c>
      <c r="C52" s="93" t="str">
        <f>+'Cental Budget'!C48</f>
        <v>Transferi za socijalnu zaštitu</v>
      </c>
      <c r="D52" s="222">
        <f>+D53</f>
        <v>131128.42000000001</v>
      </c>
      <c r="E52" s="267">
        <f t="shared" si="1"/>
        <v>3.3136667340543822E-3</v>
      </c>
      <c r="F52" s="222">
        <f>+F53</f>
        <v>32465.804400000001</v>
      </c>
      <c r="G52" s="267">
        <f t="shared" si="0"/>
        <v>8.2042364297988475E-4</v>
      </c>
      <c r="H52" s="223">
        <f t="shared" si="2"/>
        <v>98662.615600000019</v>
      </c>
      <c r="I52" s="276">
        <f t="shared" si="3"/>
        <v>303.89703080943838</v>
      </c>
      <c r="J52" s="222">
        <f>+J53</f>
        <v>451589.06999999995</v>
      </c>
      <c r="K52" s="267">
        <f t="shared" si="4"/>
        <v>1.196896554465942E-2</v>
      </c>
      <c r="L52" s="223">
        <f t="shared" si="5"/>
        <v>-320460.64999999991</v>
      </c>
      <c r="M52" s="276">
        <f t="shared" si="6"/>
        <v>-70.962888893657237</v>
      </c>
      <c r="BY52" s="144"/>
      <c r="BZ52" s="144"/>
      <c r="CA52" s="143"/>
      <c r="CB52" s="143"/>
      <c r="CC52" s="143"/>
      <c r="CD52" s="140"/>
    </row>
    <row r="53" spans="1:82" ht="13.5" customHeight="1">
      <c r="B53" s="80">
        <v>421</v>
      </c>
      <c r="C53" s="97" t="s">
        <v>88</v>
      </c>
      <c r="D53" s="216">
        <v>131128.42000000001</v>
      </c>
      <c r="E53" s="265">
        <f>+D53/$D$11*100</f>
        <v>3.3136667340543822E-3</v>
      </c>
      <c r="F53" s="216">
        <v>32465.804400000001</v>
      </c>
      <c r="G53" s="265">
        <f t="shared" si="0"/>
        <v>8.2042364297988475E-4</v>
      </c>
      <c r="H53" s="217">
        <f>+D53-F53</f>
        <v>98662.615600000019</v>
      </c>
      <c r="I53" s="274">
        <f>+D53/F53*100-100</f>
        <v>303.89703080943838</v>
      </c>
      <c r="J53" s="216">
        <v>451589.06999999995</v>
      </c>
      <c r="K53" s="265">
        <f t="shared" si="4"/>
        <v>1.196896554465942E-2</v>
      </c>
      <c r="L53" s="217">
        <f>+D53-J53</f>
        <v>-320460.64999999991</v>
      </c>
      <c r="M53" s="274">
        <f>+D53/J53*100-100</f>
        <v>-70.962888893657237</v>
      </c>
      <c r="BY53" s="144"/>
      <c r="BZ53" s="144"/>
      <c r="CA53" s="143"/>
      <c r="CB53" s="143"/>
      <c r="CC53" s="143"/>
      <c r="CD53" s="140"/>
    </row>
    <row r="54" spans="1:82" ht="13.5" hidden="1" customHeight="1">
      <c r="B54" s="80">
        <v>422</v>
      </c>
      <c r="C54" s="97" t="s">
        <v>90</v>
      </c>
      <c r="D54" s="216"/>
      <c r="E54" s="265">
        <f t="shared" si="1"/>
        <v>0</v>
      </c>
      <c r="F54" s="216">
        <v>0</v>
      </c>
      <c r="G54" s="265">
        <f t="shared" si="0"/>
        <v>0</v>
      </c>
      <c r="H54" s="217">
        <f t="shared" si="2"/>
        <v>0</v>
      </c>
      <c r="I54" s="274" t="e">
        <f t="shared" si="3"/>
        <v>#DIV/0!</v>
      </c>
      <c r="J54" s="216"/>
      <c r="K54" s="265">
        <f t="shared" si="4"/>
        <v>0</v>
      </c>
      <c r="L54" s="217">
        <f t="shared" si="5"/>
        <v>0</v>
      </c>
      <c r="M54" s="274" t="e">
        <f t="shared" si="6"/>
        <v>#DIV/0!</v>
      </c>
      <c r="BY54" s="144"/>
      <c r="BZ54" s="144"/>
      <c r="CA54" s="143"/>
      <c r="CB54" s="143"/>
      <c r="CC54" s="143"/>
      <c r="CD54" s="140"/>
    </row>
    <row r="55" spans="1:82" ht="13.5" customHeight="1">
      <c r="A55" s="80">
        <v>43</v>
      </c>
      <c r="C55" s="93" t="str">
        <f>+'Cental Budget'!C54</f>
        <v xml:space="preserve">Transferi institucijama, pojedincima, nevladinom i javnom sektoru </v>
      </c>
      <c r="D55" s="94">
        <f>+SUM(D56:D57)</f>
        <v>7739433.9800000004</v>
      </c>
      <c r="E55" s="243">
        <f t="shared" si="1"/>
        <v>0.1955785398766805</v>
      </c>
      <c r="F55" s="94">
        <f>+SUM(F56:F57)</f>
        <v>6157462.6217999998</v>
      </c>
      <c r="G55" s="243">
        <f t="shared" si="0"/>
        <v>0.15560150161225109</v>
      </c>
      <c r="H55" s="203">
        <f t="shared" si="2"/>
        <v>1581971.3582000006</v>
      </c>
      <c r="I55" s="256">
        <f t="shared" si="3"/>
        <v>25.691936035456521</v>
      </c>
      <c r="J55" s="152">
        <f>+J56+J57</f>
        <v>7427516.6200000001</v>
      </c>
      <c r="K55" s="246">
        <f t="shared" si="4"/>
        <v>0.19685970368407105</v>
      </c>
      <c r="L55" s="203">
        <f t="shared" si="5"/>
        <v>311917.36000000034</v>
      </c>
      <c r="M55" s="256">
        <f t="shared" si="6"/>
        <v>4.1994838377083425</v>
      </c>
      <c r="BY55" s="144"/>
      <c r="BZ55" s="144"/>
      <c r="CA55" s="143"/>
      <c r="CB55" s="143"/>
      <c r="CC55" s="143"/>
      <c r="CD55" s="140"/>
    </row>
    <row r="56" spans="1:82" ht="13.5" customHeight="1">
      <c r="A56" s="80" t="s">
        <v>427</v>
      </c>
      <c r="B56" s="80">
        <v>431</v>
      </c>
      <c r="C56" s="97" t="s">
        <v>432</v>
      </c>
      <c r="D56" s="216">
        <v>3928174.6200000006</v>
      </c>
      <c r="E56" s="265">
        <f t="shared" si="1"/>
        <v>9.9266517234408186E-2</v>
      </c>
      <c r="F56" s="216">
        <v>3263921.4504000004</v>
      </c>
      <c r="G56" s="265">
        <f t="shared" si="0"/>
        <v>8.248057844940869E-2</v>
      </c>
      <c r="H56" s="216">
        <f t="shared" si="2"/>
        <v>664253.16960000014</v>
      </c>
      <c r="I56" s="265">
        <f t="shared" si="3"/>
        <v>20.351383441491649</v>
      </c>
      <c r="J56" s="216">
        <v>3597947.94</v>
      </c>
      <c r="K56" s="265">
        <f t="shared" si="4"/>
        <v>9.5360401272197179E-2</v>
      </c>
      <c r="L56" s="216">
        <f t="shared" si="5"/>
        <v>330226.68000000063</v>
      </c>
      <c r="M56" s="265">
        <f t="shared" si="6"/>
        <v>9.1781950574860218</v>
      </c>
      <c r="BY56" s="144"/>
      <c r="BZ56" s="144"/>
      <c r="CA56" s="143"/>
      <c r="CB56" s="143"/>
      <c r="CC56" s="143"/>
      <c r="CD56" s="140"/>
    </row>
    <row r="57" spans="1:82" s="237" customFormat="1" ht="13.5" customHeight="1" thickBot="1">
      <c r="A57" s="237" t="s">
        <v>427</v>
      </c>
      <c r="B57" s="237">
        <v>432</v>
      </c>
      <c r="C57" s="238" t="s">
        <v>433</v>
      </c>
      <c r="D57" s="220">
        <v>3811259.36</v>
      </c>
      <c r="E57" s="244">
        <f t="shared" si="1"/>
        <v>9.6312022642272302E-2</v>
      </c>
      <c r="F57" s="154">
        <v>2893541.1713999994</v>
      </c>
      <c r="G57" s="244">
        <f t="shared" si="0"/>
        <v>7.3120923162842411E-2</v>
      </c>
      <c r="H57" s="220">
        <f t="shared" si="2"/>
        <v>917718.18860000046</v>
      </c>
      <c r="I57" s="244">
        <f t="shared" si="3"/>
        <v>31.716092297935916</v>
      </c>
      <c r="J57" s="154">
        <v>3829568.68</v>
      </c>
      <c r="K57" s="293">
        <f t="shared" si="4"/>
        <v>0.10149930241187385</v>
      </c>
      <c r="L57" s="220">
        <f t="shared" si="5"/>
        <v>-18309.320000000298</v>
      </c>
      <c r="M57" s="244">
        <f t="shared" si="6"/>
        <v>-0.47810397279518213</v>
      </c>
      <c r="BY57" s="239"/>
      <c r="BZ57" s="239"/>
      <c r="CA57" s="240"/>
      <c r="CB57" s="240"/>
      <c r="CC57" s="240"/>
      <c r="CD57" s="241"/>
    </row>
    <row r="58" spans="1:82" ht="13.5" customHeight="1" thickTop="1" thickBot="1">
      <c r="B58" s="80">
        <v>44</v>
      </c>
      <c r="C58" s="151" t="str">
        <f>+'Cental Budget'!C57</f>
        <v>Kapitalni budžet</v>
      </c>
      <c r="D58" s="224">
        <v>6053328.040000001</v>
      </c>
      <c r="E58" s="268">
        <f t="shared" si="1"/>
        <v>0.15296997978368546</v>
      </c>
      <c r="F58" s="225">
        <v>6317676.8465999989</v>
      </c>
      <c r="G58" s="268">
        <f t="shared" si="0"/>
        <v>0.15965017807035273</v>
      </c>
      <c r="H58" s="224">
        <f t="shared" si="2"/>
        <v>-264348.80659999792</v>
      </c>
      <c r="I58" s="268">
        <f t="shared" si="3"/>
        <v>-4.1842723681294842</v>
      </c>
      <c r="J58" s="225">
        <v>5548767.379999999</v>
      </c>
      <c r="K58" s="294">
        <f t="shared" si="4"/>
        <v>0.14706513066525309</v>
      </c>
      <c r="L58" s="224">
        <f t="shared" si="5"/>
        <v>504560.66000000201</v>
      </c>
      <c r="M58" s="268">
        <f t="shared" si="6"/>
        <v>9.0932026060173854</v>
      </c>
      <c r="BY58" s="144"/>
      <c r="BZ58" s="144"/>
      <c r="CA58" s="143"/>
      <c r="CB58" s="143"/>
      <c r="CC58" s="143"/>
      <c r="CD58" s="140"/>
    </row>
    <row r="59" spans="1:82" ht="13.5" customHeight="1" thickTop="1">
      <c r="B59" s="80">
        <v>451</v>
      </c>
      <c r="C59" s="93" t="str">
        <f>+'Cental Budget'!C58</f>
        <v>Pozajmice i krediti</v>
      </c>
      <c r="D59" s="222">
        <v>155069.94</v>
      </c>
      <c r="E59" s="267">
        <f t="shared" si="1"/>
        <v>3.9186783584352573E-3</v>
      </c>
      <c r="F59" s="222">
        <v>250882.9638</v>
      </c>
      <c r="G59" s="267">
        <f t="shared" si="0"/>
        <v>6.3399111442434038E-3</v>
      </c>
      <c r="H59" s="223">
        <f t="shared" si="2"/>
        <v>-95813.023799999995</v>
      </c>
      <c r="I59" s="276">
        <f t="shared" si="3"/>
        <v>-38.190326815646458</v>
      </c>
      <c r="J59" s="222">
        <v>90770.92</v>
      </c>
      <c r="K59" s="267">
        <f t="shared" si="4"/>
        <v>2.4058022793532999E-3</v>
      </c>
      <c r="L59" s="223">
        <f t="shared" si="5"/>
        <v>64299.020000000004</v>
      </c>
      <c r="M59" s="276">
        <f t="shared" si="6"/>
        <v>70.836585108975441</v>
      </c>
      <c r="BY59" s="144"/>
      <c r="BZ59" s="144"/>
      <c r="CA59" s="143"/>
      <c r="CB59" s="143"/>
      <c r="CC59" s="143"/>
      <c r="CD59" s="140"/>
    </row>
    <row r="60" spans="1:82" ht="13.5" customHeight="1" thickBot="1">
      <c r="B60" s="80">
        <v>47</v>
      </c>
      <c r="C60" s="93" t="str">
        <f>+'Cental Budget'!C59</f>
        <v>Rezerve</v>
      </c>
      <c r="D60" s="226">
        <v>356363.24000000005</v>
      </c>
      <c r="E60" s="269">
        <f t="shared" si="1"/>
        <v>9.0054391994339438E-3</v>
      </c>
      <c r="F60" s="226">
        <v>336454.31339999998</v>
      </c>
      <c r="G60" s="269">
        <f t="shared" si="0"/>
        <v>8.5023327959163047E-3</v>
      </c>
      <c r="H60" s="227">
        <f t="shared" si="2"/>
        <v>19908.926600000064</v>
      </c>
      <c r="I60" s="277">
        <f t="shared" si="3"/>
        <v>5.9172748890667322</v>
      </c>
      <c r="J60" s="226">
        <v>440327.22999999992</v>
      </c>
      <c r="K60" s="269">
        <f t="shared" si="4"/>
        <v>1.1670480519480518E-2</v>
      </c>
      <c r="L60" s="227">
        <f t="shared" si="5"/>
        <v>-83963.989999999874</v>
      </c>
      <c r="M60" s="277">
        <f t="shared" si="6"/>
        <v>-19.068543637421627</v>
      </c>
      <c r="BY60" s="144"/>
      <c r="BZ60" s="144"/>
      <c r="CA60" s="143"/>
      <c r="CB60" s="143"/>
      <c r="CC60" s="143"/>
      <c r="CD60" s="140"/>
    </row>
    <row r="61" spans="1:82" ht="13.5" customHeight="1" thickTop="1" thickBot="1">
      <c r="B61" s="80">
        <v>462</v>
      </c>
      <c r="C61" s="195" t="s">
        <v>112</v>
      </c>
      <c r="D61" s="228">
        <v>0</v>
      </c>
      <c r="E61" s="270">
        <f t="shared" si="1"/>
        <v>0</v>
      </c>
      <c r="F61" s="228">
        <v>0</v>
      </c>
      <c r="G61" s="270">
        <f t="shared" si="0"/>
        <v>0</v>
      </c>
      <c r="H61" s="229">
        <f t="shared" si="2"/>
        <v>0</v>
      </c>
      <c r="I61" s="277" t="e">
        <f t="shared" si="3"/>
        <v>#DIV/0!</v>
      </c>
      <c r="J61" s="228">
        <v>876429.53</v>
      </c>
      <c r="K61" s="270">
        <f t="shared" si="4"/>
        <v>2.3228983037370796E-2</v>
      </c>
      <c r="L61" s="229">
        <f t="shared" si="5"/>
        <v>-876429.53</v>
      </c>
      <c r="M61" s="278">
        <f t="shared" si="6"/>
        <v>-100</v>
      </c>
      <c r="BY61" s="144"/>
      <c r="BZ61" s="144"/>
      <c r="CA61" s="143"/>
      <c r="CB61" s="143"/>
      <c r="CC61" s="143"/>
      <c r="CD61" s="140"/>
    </row>
    <row r="62" spans="1:82" ht="13.5" customHeight="1" thickTop="1" thickBot="1">
      <c r="B62" s="80" t="s">
        <v>451</v>
      </c>
      <c r="C62" s="195" t="s">
        <v>449</v>
      </c>
      <c r="D62" s="222">
        <v>10611948.43</v>
      </c>
      <c r="E62" s="267">
        <v>0.35700057584158418</v>
      </c>
      <c r="F62" s="222">
        <v>11635969.076400001</v>
      </c>
      <c r="G62" s="267">
        <v>0.29042904290429045</v>
      </c>
      <c r="H62" s="223">
        <v>2521396.8100000005</v>
      </c>
      <c r="I62" s="276">
        <v>22.921789181818198</v>
      </c>
      <c r="J62" s="222">
        <v>13521396.809999999</v>
      </c>
      <c r="K62" s="267">
        <v>0.30767367454798328</v>
      </c>
      <c r="L62" s="223">
        <v>2460528.2100000009</v>
      </c>
      <c r="M62" s="276">
        <v>22.245343462447437</v>
      </c>
      <c r="BY62" s="144"/>
      <c r="BZ62" s="144"/>
      <c r="CA62" s="143"/>
      <c r="CB62" s="143"/>
      <c r="CC62" s="143"/>
      <c r="CD62" s="140"/>
    </row>
    <row r="63" spans="1:82" ht="13.5" customHeight="1" thickTop="1" thickBot="1">
      <c r="B63" s="80">
        <v>990</v>
      </c>
      <c r="C63" s="196" t="s">
        <v>151</v>
      </c>
      <c r="D63" s="230">
        <v>0</v>
      </c>
      <c r="E63" s="271">
        <f t="shared" si="1"/>
        <v>0</v>
      </c>
      <c r="F63" s="230">
        <v>0</v>
      </c>
      <c r="G63" s="271">
        <f t="shared" si="0"/>
        <v>0</v>
      </c>
      <c r="H63" s="231">
        <f t="shared" si="2"/>
        <v>0</v>
      </c>
      <c r="I63" s="279"/>
      <c r="J63" s="231">
        <f t="shared" si="2"/>
        <v>0</v>
      </c>
      <c r="K63" s="271">
        <f t="shared" si="4"/>
        <v>0</v>
      </c>
      <c r="L63" s="231">
        <f t="shared" si="5"/>
        <v>0</v>
      </c>
      <c r="M63" s="279"/>
      <c r="BY63" s="144"/>
      <c r="BZ63" s="144"/>
      <c r="CA63" s="143"/>
      <c r="CB63" s="143"/>
      <c r="CC63" s="143"/>
      <c r="CD63" s="140"/>
    </row>
    <row r="64" spans="1:82" ht="13.5" customHeight="1" thickTop="1" thickBot="1">
      <c r="C64" s="151" t="str">
        <f>+'Cental Budget'!C63</f>
        <v>Suficit / deficit</v>
      </c>
      <c r="D64" s="224">
        <f>+D16-D40</f>
        <v>-4456837.2070000023</v>
      </c>
      <c r="E64" s="268">
        <f t="shared" si="1"/>
        <v>-0.11262602868189636</v>
      </c>
      <c r="F64" s="224">
        <f>+F16-F40</f>
        <v>-6194966.1667999998</v>
      </c>
      <c r="G64" s="268">
        <f t="shared" si="0"/>
        <v>-0.15654923094106946</v>
      </c>
      <c r="H64" s="224">
        <f>+D64-F64</f>
        <v>1738128.9597999975</v>
      </c>
      <c r="I64" s="268">
        <f t="shared" si="3"/>
        <v>-28.057117876042014</v>
      </c>
      <c r="J64" s="224">
        <f>+J16-J40</f>
        <v>-8458959.6199999936</v>
      </c>
      <c r="K64" s="294">
        <f t="shared" si="4"/>
        <v>-0.22419718049297624</v>
      </c>
      <c r="L64" s="224">
        <f t="shared" si="5"/>
        <v>4002122.4129999913</v>
      </c>
      <c r="M64" s="268">
        <f t="shared" si="6"/>
        <v>-47.312229786953331</v>
      </c>
      <c r="BY64" s="144"/>
      <c r="BZ64" s="144"/>
      <c r="CA64" s="143"/>
      <c r="CB64" s="143"/>
      <c r="CC64" s="143"/>
      <c r="CD64" s="140"/>
    </row>
    <row r="65" spans="2:82" ht="13.5" customHeight="1" thickTop="1" thickBot="1">
      <c r="C65" s="151" t="str">
        <f>+'Cental Budget'!C64</f>
        <v>Primarni bilans</v>
      </c>
      <c r="D65" s="224">
        <f>+D64+D48</f>
        <v>-3574009.8670000024</v>
      </c>
      <c r="E65" s="268">
        <f t="shared" si="1"/>
        <v>-9.031663466592546E-2</v>
      </c>
      <c r="F65" s="224">
        <f>+F64+F48</f>
        <v>-5397645.4573999997</v>
      </c>
      <c r="G65" s="268">
        <f t="shared" si="0"/>
        <v>-0.13640062310219347</v>
      </c>
      <c r="H65" s="224">
        <f t="shared" si="2"/>
        <v>1823635.5903999973</v>
      </c>
      <c r="I65" s="268">
        <f t="shared" si="3"/>
        <v>-33.785760935814167</v>
      </c>
      <c r="J65" s="224">
        <f>+J64+J48</f>
        <v>-7606687.6299999934</v>
      </c>
      <c r="K65" s="294">
        <f t="shared" si="4"/>
        <v>-0.20160847150808356</v>
      </c>
      <c r="L65" s="224">
        <f t="shared" si="5"/>
        <v>4032677.762999991</v>
      </c>
      <c r="M65" s="268">
        <f t="shared" si="6"/>
        <v>-53.014898983041249</v>
      </c>
      <c r="BY65" s="144"/>
      <c r="BZ65" s="144"/>
      <c r="CA65" s="143"/>
      <c r="CB65" s="143"/>
      <c r="CC65" s="143"/>
      <c r="CD65" s="140"/>
    </row>
    <row r="66" spans="2:82" ht="13.5" customHeight="1" thickTop="1" thickBot="1">
      <c r="C66" s="151" t="str">
        <f>+'Cental Budget'!C65</f>
        <v>Otplata dugova</v>
      </c>
      <c r="D66" s="224">
        <f>+SUM(D67:D68)</f>
        <v>2901082.1799999997</v>
      </c>
      <c r="E66" s="268">
        <f t="shared" si="1"/>
        <v>7.3311487415344184E-2</v>
      </c>
      <c r="F66" s="224">
        <f>+SUM(F67:F68)</f>
        <v>3766986.9782000007</v>
      </c>
      <c r="G66" s="268">
        <f t="shared" si="0"/>
        <v>9.5193242145961809E-2</v>
      </c>
      <c r="H66" s="224">
        <f t="shared" si="2"/>
        <v>-865904.79820000101</v>
      </c>
      <c r="I66" s="268">
        <f t="shared" si="3"/>
        <v>-22.986668210192775</v>
      </c>
      <c r="J66" s="224">
        <f>+SUM(J67:J68)</f>
        <v>6143828.79</v>
      </c>
      <c r="K66" s="294">
        <f t="shared" si="4"/>
        <v>0.1628367026239067</v>
      </c>
      <c r="L66" s="224">
        <f t="shared" si="5"/>
        <v>-3242746.6100000003</v>
      </c>
      <c r="M66" s="268">
        <f t="shared" si="6"/>
        <v>-52.780549732734336</v>
      </c>
      <c r="BY66" s="144"/>
      <c r="BZ66" s="144"/>
      <c r="CA66" s="143"/>
      <c r="CB66" s="143"/>
      <c r="CC66" s="143"/>
      <c r="CD66" s="140"/>
    </row>
    <row r="67" spans="2:82" ht="13.5" customHeight="1" thickTop="1">
      <c r="B67" s="80">
        <v>4611</v>
      </c>
      <c r="C67" s="97" t="str">
        <f>+'Cental Budget'!C66</f>
        <v>Otplata hartija od vrijednosti i kredita rezidentima</v>
      </c>
      <c r="D67" s="232">
        <v>1883030.15</v>
      </c>
      <c r="E67" s="272">
        <f t="shared" si="1"/>
        <v>4.7584912311735568E-2</v>
      </c>
      <c r="F67" s="232">
        <v>3266986.9782000007</v>
      </c>
      <c r="G67" s="272">
        <f t="shared" si="0"/>
        <v>8.2558045542302658E-2</v>
      </c>
      <c r="H67" s="233">
        <f t="shared" si="2"/>
        <v>-1383956.8282000008</v>
      </c>
      <c r="I67" s="280">
        <f t="shared" si="3"/>
        <v>-42.3618715787632</v>
      </c>
      <c r="J67" s="232">
        <v>5346148.59</v>
      </c>
      <c r="K67" s="272">
        <f t="shared" si="4"/>
        <v>0.1416949003445534</v>
      </c>
      <c r="L67" s="233">
        <f t="shared" si="5"/>
        <v>-3463118.44</v>
      </c>
      <c r="M67" s="280">
        <f t="shared" si="6"/>
        <v>-64.777818680120163</v>
      </c>
      <c r="BY67" s="144"/>
      <c r="BZ67" s="144"/>
      <c r="CA67" s="143"/>
      <c r="CB67" s="143"/>
      <c r="CC67" s="143"/>
      <c r="CD67" s="140"/>
    </row>
    <row r="68" spans="2:82" ht="13.5" customHeight="1" thickBot="1">
      <c r="B68" s="80">
        <v>4612</v>
      </c>
      <c r="C68" s="97" t="str">
        <f>+'Cental Budget'!C67</f>
        <v>Otplata hartija od vrijednosti i kredita nerezidentima</v>
      </c>
      <c r="D68" s="234">
        <v>1018052.03</v>
      </c>
      <c r="E68" s="265">
        <f t="shared" si="1"/>
        <v>2.5726575103608613E-2</v>
      </c>
      <c r="F68" s="234">
        <v>500000</v>
      </c>
      <c r="G68" s="265">
        <f t="shared" si="0"/>
        <v>1.2635196603659153E-2</v>
      </c>
      <c r="H68" s="217">
        <f t="shared" si="2"/>
        <v>518052.03</v>
      </c>
      <c r="I68" s="274">
        <f t="shared" si="3"/>
        <v>103.61040600000001</v>
      </c>
      <c r="J68" s="234">
        <v>797680.2</v>
      </c>
      <c r="K68" s="265">
        <f t="shared" si="4"/>
        <v>2.1141802279353299E-2</v>
      </c>
      <c r="L68" s="217">
        <f t="shared" si="5"/>
        <v>220371.83000000007</v>
      </c>
      <c r="M68" s="274">
        <f t="shared" si="6"/>
        <v>27.626588951311575</v>
      </c>
      <c r="BY68" s="144"/>
      <c r="BZ68" s="144"/>
      <c r="CA68" s="143"/>
      <c r="CB68" s="143"/>
      <c r="CC68" s="143"/>
      <c r="CD68" s="140"/>
    </row>
    <row r="69" spans="2:82" ht="13.5" hidden="1" customHeight="1" thickBot="1">
      <c r="B69" s="80" t="s">
        <v>451</v>
      </c>
      <c r="C69" s="97" t="str">
        <f>+'Cental Budget'!C61</f>
        <v>Otplata obaveza iz prethodnih godina</v>
      </c>
      <c r="D69" s="234">
        <v>13521396.810000001</v>
      </c>
      <c r="E69" s="265">
        <f t="shared" si="1"/>
        <v>0.34169101410087943</v>
      </c>
      <c r="F69" s="234">
        <v>11000000</v>
      </c>
      <c r="G69" s="265">
        <f t="shared" si="0"/>
        <v>0.27797432528050137</v>
      </c>
      <c r="H69" s="217">
        <f t="shared" si="2"/>
        <v>2521396.8100000005</v>
      </c>
      <c r="I69" s="274">
        <f t="shared" si="3"/>
        <v>22.921789181818198</v>
      </c>
      <c r="J69" s="234">
        <v>11060868.6</v>
      </c>
      <c r="K69" s="265">
        <f t="shared" si="4"/>
        <v>0.29315845746090646</v>
      </c>
      <c r="L69" s="217">
        <f t="shared" si="5"/>
        <v>2460528.2100000009</v>
      </c>
      <c r="M69" s="274">
        <f t="shared" si="6"/>
        <v>22.245343462447437</v>
      </c>
      <c r="BY69" s="144"/>
      <c r="BZ69" s="144"/>
      <c r="CA69" s="143"/>
      <c r="CB69" s="143"/>
      <c r="CC69" s="143"/>
      <c r="CD69" s="140"/>
    </row>
    <row r="70" spans="2:82" ht="13.5" customHeight="1" thickTop="1" thickBot="1">
      <c r="C70" s="151" t="str">
        <f>+'Cental Budget'!C69</f>
        <v>Nedostajuća sredstva</v>
      </c>
      <c r="D70" s="224">
        <f>+D64-D66</f>
        <v>-7357919.387000002</v>
      </c>
      <c r="E70" s="268">
        <f t="shared" si="1"/>
        <v>-0.18593751609724052</v>
      </c>
      <c r="F70" s="224">
        <f>+F64-F66</f>
        <v>-9961953.1449999996</v>
      </c>
      <c r="G70" s="268">
        <f t="shared" si="0"/>
        <v>-0.25174247308703118</v>
      </c>
      <c r="H70" s="224">
        <f t="shared" si="2"/>
        <v>2604033.7579999976</v>
      </c>
      <c r="I70" s="268">
        <f t="shared" si="3"/>
        <v>-26.139791264798191</v>
      </c>
      <c r="J70" s="224">
        <f>+J64-J66</f>
        <v>-14602788.409999993</v>
      </c>
      <c r="K70" s="294">
        <f t="shared" si="4"/>
        <v>-0.38703388311688292</v>
      </c>
      <c r="L70" s="224">
        <f t="shared" si="5"/>
        <v>7244869.0229999907</v>
      </c>
      <c r="M70" s="268">
        <f t="shared" si="6"/>
        <v>-49.612915147347493</v>
      </c>
      <c r="BY70" s="144"/>
      <c r="BZ70" s="144"/>
      <c r="CA70" s="143"/>
      <c r="CB70" s="143"/>
      <c r="CC70" s="143"/>
      <c r="CD70" s="140"/>
    </row>
    <row r="71" spans="2:82" ht="13.5" customHeight="1" thickTop="1" thickBot="1">
      <c r="C71" s="151" t="str">
        <f>+'Cental Budget'!C70</f>
        <v>Finansiranje</v>
      </c>
      <c r="D71" s="224">
        <f>+SUM(D72:D76)</f>
        <v>7357919.387000002</v>
      </c>
      <c r="E71" s="268">
        <f t="shared" si="1"/>
        <v>0.18593751609724052</v>
      </c>
      <c r="F71" s="224">
        <f>+SUM(F72:F75)</f>
        <v>9961953.1449999996</v>
      </c>
      <c r="G71" s="268">
        <f t="shared" si="0"/>
        <v>0.25174247308703118</v>
      </c>
      <c r="H71" s="224">
        <f t="shared" si="2"/>
        <v>-2604033.7579999976</v>
      </c>
      <c r="I71" s="268">
        <f t="shared" si="3"/>
        <v>-26.139791264798191</v>
      </c>
      <c r="J71" s="224">
        <f>+SUM(J72:J76)</f>
        <v>14602788.409999993</v>
      </c>
      <c r="K71" s="294">
        <f t="shared" si="4"/>
        <v>0.38703388311688292</v>
      </c>
      <c r="L71" s="224">
        <f t="shared" si="5"/>
        <v>-7244869.0229999907</v>
      </c>
      <c r="M71" s="268">
        <f t="shared" si="6"/>
        <v>-49.612915147347493</v>
      </c>
      <c r="BY71" s="144"/>
      <c r="BZ71" s="144"/>
      <c r="CA71" s="143"/>
      <c r="CB71" s="143"/>
      <c r="CC71" s="143"/>
      <c r="CD71" s="140"/>
    </row>
    <row r="72" spans="2:82" ht="13.5" customHeight="1" thickTop="1">
      <c r="B72" s="80">
        <v>7511</v>
      </c>
      <c r="C72" s="97" t="str">
        <f>+'Cental Budget'!C71</f>
        <v>Pozajmice i krediti od domaćih izvora</v>
      </c>
      <c r="D72" s="232">
        <v>2765354.52</v>
      </c>
      <c r="E72" s="272">
        <f t="shared" si="1"/>
        <v>6.9881596078034985E-2</v>
      </c>
      <c r="F72" s="232">
        <v>5000000</v>
      </c>
      <c r="G72" s="272">
        <f t="shared" si="0"/>
        <v>0.12635196603659152</v>
      </c>
      <c r="H72" s="233">
        <f t="shared" si="2"/>
        <v>-2234645.48</v>
      </c>
      <c r="I72" s="280">
        <f t="shared" si="3"/>
        <v>-44.6929096</v>
      </c>
      <c r="J72" s="232">
        <v>7637693.1500000004</v>
      </c>
      <c r="K72" s="272">
        <f t="shared" si="4"/>
        <v>0.20243024516300029</v>
      </c>
      <c r="L72" s="233">
        <f t="shared" si="5"/>
        <v>-4872338.6300000008</v>
      </c>
      <c r="M72" s="280">
        <f t="shared" si="6"/>
        <v>-63.793327832239505</v>
      </c>
      <c r="BY72" s="144"/>
      <c r="BZ72" s="144"/>
      <c r="CA72" s="143"/>
      <c r="CB72" s="143"/>
      <c r="CC72" s="143"/>
      <c r="CD72" s="140"/>
    </row>
    <row r="73" spans="2:82" ht="13.5" customHeight="1">
      <c r="B73" s="80">
        <v>7512</v>
      </c>
      <c r="C73" s="97" t="str">
        <f>+'Cental Budget'!C72</f>
        <v>Pozajmice i krediti od inostranih izvora</v>
      </c>
      <c r="D73" s="234">
        <v>0</v>
      </c>
      <c r="E73" s="265">
        <f t="shared" si="1"/>
        <v>0</v>
      </c>
      <c r="F73" s="234">
        <v>34155.567000000003</v>
      </c>
      <c r="G73" s="265">
        <f t="shared" si="0"/>
        <v>8.6312460830890536E-4</v>
      </c>
      <c r="H73" s="217">
        <f t="shared" si="2"/>
        <v>-34155.567000000003</v>
      </c>
      <c r="I73" s="274">
        <f t="shared" si="3"/>
        <v>-100</v>
      </c>
      <c r="J73" s="234">
        <v>40020</v>
      </c>
      <c r="K73" s="265">
        <f t="shared" si="4"/>
        <v>1.0606944076331831E-3</v>
      </c>
      <c r="L73" s="217">
        <f t="shared" si="5"/>
        <v>-40020</v>
      </c>
      <c r="M73" s="296">
        <f t="shared" si="6"/>
        <v>-100</v>
      </c>
      <c r="BY73" s="144"/>
      <c r="BZ73" s="144"/>
      <c r="CA73" s="143"/>
      <c r="CB73" s="143"/>
      <c r="CC73" s="143"/>
      <c r="CD73" s="140"/>
    </row>
    <row r="74" spans="2:82" ht="13.5" customHeight="1" thickBot="1">
      <c r="B74" s="80">
        <v>72</v>
      </c>
      <c r="C74" s="103" t="str">
        <f>+'Cental Budget'!C73</f>
        <v>Primici od prodaje imovine</v>
      </c>
      <c r="D74" s="234">
        <v>250733.23</v>
      </c>
      <c r="E74" s="265">
        <f t="shared" si="1"/>
        <v>6.3361273122409783E-3</v>
      </c>
      <c r="F74" s="234">
        <v>459602.36100000003</v>
      </c>
      <c r="G74" s="265">
        <f t="shared" si="0"/>
        <v>1.1614332381481856E-2</v>
      </c>
      <c r="H74" s="217">
        <f t="shared" si="2"/>
        <v>-208869.13100000002</v>
      </c>
      <c r="I74" s="274">
        <f t="shared" si="3"/>
        <v>-45.44561749977607</v>
      </c>
      <c r="J74" s="234">
        <v>903758.24000000011</v>
      </c>
      <c r="K74" s="265">
        <f t="shared" si="4"/>
        <v>2.3953306122448982E-2</v>
      </c>
      <c r="L74" s="217">
        <f t="shared" si="5"/>
        <v>-653025.01000000013</v>
      </c>
      <c r="M74" s="274">
        <f t="shared" si="6"/>
        <v>-72.25660371295757</v>
      </c>
      <c r="BY74" s="144"/>
      <c r="BZ74" s="144"/>
      <c r="CA74" s="143"/>
      <c r="CB74" s="143"/>
      <c r="CC74" s="143"/>
      <c r="CD74" s="140"/>
    </row>
    <row r="75" spans="2:82" ht="13.5" customHeight="1" thickTop="1" thickBot="1">
      <c r="C75" s="146" t="str">
        <f>+'Cental Budget'!C74</f>
        <v>Povećanje / smanjenje depozita</v>
      </c>
      <c r="D75" s="147">
        <f>-D70-SUM(D72:D74)-D76</f>
        <v>4162236.8670000019</v>
      </c>
      <c r="E75" s="247">
        <f t="shared" si="1"/>
        <v>0.10518136225108668</v>
      </c>
      <c r="F75" s="147">
        <f>-F70-SUM(F72:F74)</f>
        <v>4468195.2170000002</v>
      </c>
      <c r="G75" s="247">
        <f t="shared" si="0"/>
        <v>0.11291305006064896</v>
      </c>
      <c r="H75" s="204">
        <f t="shared" si="2"/>
        <v>-305958.34999999823</v>
      </c>
      <c r="I75" s="262">
        <f t="shared" si="3"/>
        <v>-6.847470514178255</v>
      </c>
      <c r="J75" s="147">
        <f>-J70-SUM(J72:J74)-J76</f>
        <v>5822354.9699999923</v>
      </c>
      <c r="K75" s="295">
        <f t="shared" si="4"/>
        <v>0.15431632573548881</v>
      </c>
      <c r="L75" s="204">
        <f t="shared" si="5"/>
        <v>-1660118.1029999903</v>
      </c>
      <c r="M75" s="262">
        <f t="shared" si="6"/>
        <v>-28.512828770383138</v>
      </c>
      <c r="BY75" s="144"/>
      <c r="BZ75" s="144"/>
      <c r="CA75" s="143"/>
      <c r="CB75" s="143"/>
      <c r="CC75" s="143"/>
      <c r="CD75" s="140"/>
    </row>
    <row r="76" spans="2:82" ht="13.5" customHeight="1" thickTop="1" thickBot="1">
      <c r="B76" s="80">
        <v>999</v>
      </c>
      <c r="C76" s="151" t="s">
        <v>459</v>
      </c>
      <c r="D76" s="225">
        <v>179594.77000000002</v>
      </c>
      <c r="E76" s="268">
        <f t="shared" si="1"/>
        <v>4.538430455877894E-3</v>
      </c>
      <c r="F76" s="225">
        <v>185257.6734</v>
      </c>
      <c r="G76" s="268">
        <f t="shared" si="0"/>
        <v>4.6815342514909533E-3</v>
      </c>
      <c r="H76" s="224">
        <f t="shared" si="2"/>
        <v>-5662.903399999981</v>
      </c>
      <c r="I76" s="268">
        <f t="shared" si="3"/>
        <v>-3.056771304567178</v>
      </c>
      <c r="J76" s="225">
        <v>198962.05</v>
      </c>
      <c r="K76" s="294">
        <f t="shared" si="4"/>
        <v>5.2733116883116882E-3</v>
      </c>
      <c r="L76" s="224">
        <f t="shared" si="5"/>
        <v>-19367.27999999997</v>
      </c>
      <c r="M76" s="268">
        <f t="shared" si="6"/>
        <v>-9.7341578456796043</v>
      </c>
      <c r="N76" s="208"/>
      <c r="BY76" s="144"/>
      <c r="BZ76" s="144"/>
      <c r="CA76" s="143"/>
      <c r="CB76" s="143"/>
      <c r="CC76" s="143"/>
      <c r="CD76" s="140"/>
    </row>
    <row r="77" spans="2:82" ht="13.5" thickTop="1">
      <c r="C77" s="106" t="str">
        <f>IF(MasterSheet!$A$1=1,MasterSheet!C151,MasterSheet!B151)</f>
        <v>Izvor: Ministarstvo finansija Crne Gore</v>
      </c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O77" s="81"/>
    </row>
    <row r="78" spans="2:82">
      <c r="C78" s="105"/>
      <c r="D78" s="105"/>
      <c r="E78" s="105"/>
      <c r="F78" s="105"/>
      <c r="G78" s="105"/>
      <c r="H78" s="105"/>
      <c r="I78" s="105"/>
      <c r="J78" s="105"/>
      <c r="K78" s="105"/>
      <c r="L78" s="105"/>
      <c r="M78" s="105"/>
      <c r="O78" s="81"/>
    </row>
    <row r="79" spans="2:82">
      <c r="D79" s="133"/>
      <c r="E79" s="134"/>
      <c r="F79" s="134"/>
      <c r="G79" s="134"/>
      <c r="H79" s="134"/>
      <c r="I79" s="134"/>
      <c r="J79" s="134"/>
      <c r="K79" s="134"/>
      <c r="L79" s="134"/>
      <c r="M79" s="307"/>
    </row>
    <row r="80" spans="2:82">
      <c r="D80" s="133"/>
      <c r="E80" s="134"/>
      <c r="F80" s="134"/>
      <c r="G80" s="134"/>
      <c r="H80" s="134"/>
      <c r="I80" s="134"/>
      <c r="J80" s="134"/>
      <c r="K80" s="134"/>
      <c r="L80" s="134"/>
      <c r="M80" s="134"/>
    </row>
    <row r="81" spans="3:13">
      <c r="C81" s="134"/>
      <c r="D81" s="134"/>
      <c r="E81" s="134"/>
      <c r="F81" s="134"/>
      <c r="G81" s="134"/>
      <c r="H81" s="134"/>
      <c r="I81" s="134"/>
      <c r="J81" s="134"/>
      <c r="K81" s="134"/>
      <c r="L81" s="134"/>
      <c r="M81" s="134"/>
    </row>
    <row r="82" spans="3:13" ht="15">
      <c r="E82" s="134"/>
      <c r="F82" s="134"/>
      <c r="G82" s="134"/>
      <c r="H82" s="134"/>
      <c r="I82" s="134"/>
      <c r="J82" s="134"/>
      <c r="K82" s="308"/>
      <c r="L82" s="134"/>
      <c r="M82" s="134"/>
    </row>
    <row r="83" spans="3:13">
      <c r="E83" s="134"/>
      <c r="F83" s="134"/>
      <c r="G83" s="134"/>
      <c r="H83" s="134"/>
      <c r="I83" s="134"/>
      <c r="J83" s="134"/>
      <c r="K83" s="134"/>
      <c r="L83" s="134"/>
      <c r="M83" s="134"/>
    </row>
    <row r="84" spans="3:13">
      <c r="E84" s="134"/>
      <c r="F84" s="134"/>
      <c r="G84" s="134"/>
      <c r="H84" s="134"/>
      <c r="I84" s="134"/>
      <c r="J84" s="134"/>
      <c r="K84" s="134"/>
      <c r="L84" s="134"/>
      <c r="M84" s="134"/>
    </row>
    <row r="85" spans="3:13">
      <c r="E85" s="134"/>
      <c r="F85" s="134"/>
      <c r="G85" s="134"/>
      <c r="H85" s="134"/>
      <c r="I85" s="134"/>
      <c r="J85" s="134"/>
      <c r="K85" s="134"/>
      <c r="L85" s="134"/>
      <c r="M85" s="134"/>
    </row>
    <row r="86" spans="3:13">
      <c r="E86" s="134"/>
      <c r="F86" s="134"/>
      <c r="G86" s="134"/>
      <c r="H86" s="134"/>
      <c r="I86" s="134"/>
      <c r="J86" s="134"/>
      <c r="K86" s="134"/>
      <c r="L86" s="134"/>
      <c r="M86" s="134"/>
    </row>
    <row r="87" spans="3:13">
      <c r="E87" s="134"/>
      <c r="F87" s="134"/>
      <c r="G87" s="134"/>
      <c r="H87" s="134"/>
      <c r="I87" s="134"/>
      <c r="J87" s="134"/>
      <c r="K87" s="134"/>
      <c r="L87" s="134"/>
      <c r="M87" s="134"/>
    </row>
    <row r="88" spans="3:13">
      <c r="E88" s="134"/>
      <c r="F88" s="134"/>
      <c r="G88" s="134"/>
      <c r="H88" s="134"/>
      <c r="I88" s="134"/>
      <c r="J88" s="134"/>
      <c r="K88" s="134"/>
      <c r="L88" s="134"/>
      <c r="M88" s="134"/>
    </row>
    <row r="89" spans="3:13">
      <c r="E89" s="134"/>
      <c r="F89" s="134"/>
      <c r="G89" s="134"/>
      <c r="H89" s="134"/>
      <c r="I89" s="134"/>
      <c r="J89" s="134"/>
      <c r="K89" s="134"/>
      <c r="L89" s="134"/>
      <c r="M89" s="134"/>
    </row>
    <row r="90" spans="3:13">
      <c r="E90" s="134"/>
      <c r="F90" s="134"/>
      <c r="G90" s="134"/>
      <c r="H90" s="134"/>
      <c r="I90" s="134"/>
      <c r="J90" s="134"/>
      <c r="K90" s="134"/>
      <c r="L90" s="134"/>
      <c r="M90" s="134"/>
    </row>
    <row r="91" spans="3:13">
      <c r="E91" s="134"/>
      <c r="F91" s="134"/>
      <c r="G91" s="134"/>
      <c r="H91" s="134"/>
      <c r="I91" s="134"/>
      <c r="J91" s="134"/>
      <c r="K91" s="134"/>
      <c r="L91" s="134"/>
      <c r="M91" s="134"/>
    </row>
    <row r="92" spans="3:13">
      <c r="E92" s="134"/>
      <c r="F92" s="134"/>
      <c r="G92" s="134"/>
      <c r="H92" s="134"/>
      <c r="I92" s="134"/>
      <c r="J92" s="134"/>
      <c r="K92" s="134"/>
      <c r="L92" s="134"/>
      <c r="M92" s="134"/>
    </row>
    <row r="93" spans="3:13">
      <c r="E93" s="134"/>
      <c r="F93" s="134"/>
      <c r="G93" s="134"/>
      <c r="H93" s="134"/>
      <c r="I93" s="134"/>
      <c r="J93" s="134"/>
      <c r="K93" s="134"/>
      <c r="L93" s="134"/>
      <c r="M93" s="134"/>
    </row>
  </sheetData>
  <sheetProtection formatCells="0" formatColumns="0" formatRows="0" sort="0" autoFilter="0"/>
  <mergeCells count="12">
    <mergeCell ref="L14:M14"/>
    <mergeCell ref="H11:I11"/>
    <mergeCell ref="J11:K11"/>
    <mergeCell ref="L11:M11"/>
    <mergeCell ref="D11:G11"/>
    <mergeCell ref="D13:E13"/>
    <mergeCell ref="J13:K13"/>
    <mergeCell ref="C14:C15"/>
    <mergeCell ref="D14:E14"/>
    <mergeCell ref="F14:G14"/>
    <mergeCell ref="H14:I14"/>
    <mergeCell ref="J14:K14"/>
  </mergeCells>
  <printOptions horizontalCentered="1" verticalCentered="1"/>
  <pageMargins left="0" right="0" top="0.19685039370078741" bottom="0.19685039370078741" header="0" footer="0"/>
  <pageSetup paperSize="9" scale="1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3009" r:id="rId4" name="List Box 1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1000125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BM95"/>
  <sheetViews>
    <sheetView zoomScaleNormal="100" workbookViewId="0">
      <selection activeCell="O37" sqref="O37"/>
    </sheetView>
  </sheetViews>
  <sheetFormatPr defaultColWidth="9.140625" defaultRowHeight="12.75"/>
  <cols>
    <col min="1" max="2" width="9.140625" style="80" customWidth="1"/>
    <col min="3" max="3" width="38.140625" style="80" customWidth="1"/>
    <col min="4" max="13" width="7.7109375" style="80" customWidth="1"/>
    <col min="14" max="57" width="9.140625" style="80" customWidth="1"/>
    <col min="58" max="58" width="9.140625" style="80"/>
    <col min="59" max="59" width="15.42578125" style="80" customWidth="1"/>
    <col min="60" max="60" width="12.7109375" style="80" customWidth="1"/>
    <col min="61" max="61" width="11.85546875" style="80" customWidth="1"/>
    <col min="62" max="16384" width="9.140625" style="80"/>
  </cols>
  <sheetData>
    <row r="1" spans="2:57" s="135" customFormat="1" ht="15" customHeight="1">
      <c r="C1" s="132"/>
      <c r="D1" s="108">
        <v>3</v>
      </c>
      <c r="E1" s="108">
        <v>4</v>
      </c>
      <c r="F1" s="108">
        <v>5</v>
      </c>
      <c r="G1" s="108">
        <v>6</v>
      </c>
      <c r="H1" s="108">
        <v>7</v>
      </c>
      <c r="I1" s="108">
        <v>8</v>
      </c>
      <c r="J1" s="108">
        <v>9</v>
      </c>
      <c r="K1" s="108">
        <v>10</v>
      </c>
      <c r="L1" s="108">
        <v>11</v>
      </c>
      <c r="M1" s="108">
        <v>12</v>
      </c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</row>
    <row r="2" spans="2:57" ht="15" hidden="1" customHeight="1">
      <c r="C2" s="81"/>
      <c r="D2" s="82"/>
      <c r="E2" s="82"/>
      <c r="F2" s="82"/>
      <c r="G2" s="82"/>
      <c r="H2" s="82"/>
      <c r="I2" s="82"/>
      <c r="J2" s="82"/>
      <c r="K2" s="82"/>
      <c r="L2" s="82"/>
      <c r="M2" s="82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</row>
    <row r="3" spans="2:57" ht="15" hidden="1" customHeight="1"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</row>
    <row r="4" spans="2:57" ht="15" hidden="1" customHeight="1">
      <c r="C4" s="81"/>
      <c r="D4" s="82"/>
      <c r="E4" s="82"/>
      <c r="F4" s="82"/>
      <c r="G4" s="82"/>
      <c r="H4" s="82"/>
      <c r="I4" s="82"/>
      <c r="J4" s="82"/>
      <c r="K4" s="82"/>
      <c r="L4" s="82"/>
      <c r="M4" s="82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</row>
    <row r="5" spans="2:57" ht="15" hidden="1" customHeight="1">
      <c r="C5" s="81"/>
      <c r="D5" s="82"/>
      <c r="E5" s="82"/>
      <c r="F5" s="82"/>
      <c r="G5" s="82"/>
      <c r="H5" s="82"/>
      <c r="I5" s="82"/>
      <c r="J5" s="82"/>
      <c r="K5" s="82"/>
      <c r="L5" s="82"/>
      <c r="M5" s="82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</row>
    <row r="6" spans="2:57" ht="15" hidden="1" customHeight="1">
      <c r="C6" s="81"/>
      <c r="D6" s="82"/>
      <c r="E6" s="82"/>
      <c r="F6" s="82"/>
      <c r="G6" s="82"/>
      <c r="H6" s="82"/>
      <c r="I6" s="82"/>
      <c r="J6" s="82"/>
      <c r="K6" s="82"/>
      <c r="L6" s="82"/>
      <c r="M6" s="82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</row>
    <row r="7" spans="2:57" ht="15" hidden="1" customHeight="1">
      <c r="C7" s="81"/>
      <c r="D7" s="82"/>
      <c r="E7" s="82"/>
      <c r="F7" s="82"/>
      <c r="G7" s="82"/>
      <c r="H7" s="82"/>
      <c r="I7" s="82"/>
      <c r="J7" s="82"/>
      <c r="K7" s="82"/>
      <c r="L7" s="82"/>
      <c r="M7" s="82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</row>
    <row r="8" spans="2:57" ht="15" hidden="1" customHeight="1">
      <c r="C8" s="81"/>
      <c r="D8" s="82"/>
      <c r="E8" s="82"/>
      <c r="F8" s="82"/>
      <c r="G8" s="82"/>
      <c r="H8" s="82"/>
      <c r="I8" s="82"/>
      <c r="J8" s="82"/>
      <c r="K8" s="82"/>
      <c r="L8" s="82"/>
      <c r="M8" s="82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</row>
    <row r="9" spans="2:57" ht="15" hidden="1" customHeight="1"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</row>
    <row r="10" spans="2:57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</row>
    <row r="11" spans="2:57" ht="18.75" customHeight="1" thickTop="1" thickBot="1">
      <c r="C11" s="165" t="str">
        <f>IF(MasterSheet!$A$1=1,MasterSheet!B67,MasterSheet!B66)</f>
        <v>BDP (u mil. €)</v>
      </c>
      <c r="D11" s="341">
        <f>+'Cental Budget'!D11:G11</f>
        <v>3957200000</v>
      </c>
      <c r="E11" s="342"/>
      <c r="F11" s="342"/>
      <c r="G11" s="343"/>
      <c r="H11" s="330"/>
      <c r="I11" s="331"/>
      <c r="J11" s="339">
        <f>+'Cental Budget'!J11:K11</f>
        <v>3773000000</v>
      </c>
      <c r="K11" s="340"/>
      <c r="L11" s="330"/>
      <c r="M11" s="334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</row>
    <row r="12" spans="2:57" ht="19.5" customHeight="1" thickTop="1">
      <c r="C12" s="17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</row>
    <row r="13" spans="2:57" ht="27" customHeight="1" thickBot="1">
      <c r="B13" s="85"/>
      <c r="C13" s="173"/>
      <c r="D13" s="338"/>
      <c r="E13" s="338"/>
      <c r="F13" s="86"/>
      <c r="G13" s="86"/>
      <c r="H13" s="86"/>
      <c r="I13" s="86"/>
      <c r="J13" s="348"/>
      <c r="K13" s="348"/>
      <c r="L13" s="86"/>
      <c r="M13" s="86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</row>
    <row r="14" spans="2:57" ht="15.75" customHeight="1" thickTop="1">
      <c r="B14" s="87"/>
      <c r="C14" s="344" t="s">
        <v>234</v>
      </c>
      <c r="D14" s="346" t="s">
        <v>468</v>
      </c>
      <c r="E14" s="347"/>
      <c r="F14" s="346" t="s">
        <v>469</v>
      </c>
      <c r="G14" s="347"/>
      <c r="H14" s="346" t="str">
        <f>+'Cental Budget'!H14:I14</f>
        <v>Odstupanje</v>
      </c>
      <c r="I14" s="347"/>
      <c r="J14" s="346" t="s">
        <v>464</v>
      </c>
      <c r="K14" s="347"/>
      <c r="L14" s="346" t="str">
        <f>+H14</f>
        <v>Odstupanje</v>
      </c>
      <c r="M14" s="347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</row>
    <row r="15" spans="2:57" ht="15" customHeight="1" thickBot="1">
      <c r="C15" s="345" t="str">
        <f>IF(MasterSheet!$A$1=1,MasterSheet!B71,MasterSheet!B70)</f>
        <v>Budžet Crne Gore</v>
      </c>
      <c r="D15" s="166" t="str">
        <f>IF(MasterSheet!$A$1=1,MasterSheet!C71,MasterSheet!C70)</f>
        <v>mil. €</v>
      </c>
      <c r="E15" s="167" t="str">
        <f>IF(MasterSheet!$A$1=1,MasterSheet!D71,MasterSheet!D70)</f>
        <v>% BDP</v>
      </c>
      <c r="F15" s="168" t="str">
        <f>IF(MasterSheet!$A$1=1,MasterSheet!E71,MasterSheet!E70)</f>
        <v>mil. €</v>
      </c>
      <c r="G15" s="169" t="str">
        <f>IF(MasterSheet!$A$1=1,MasterSheet!F71,MasterSheet!F70)</f>
        <v>% BDP</v>
      </c>
      <c r="H15" s="170" t="str">
        <f>IF(MasterSheet!$A$1=1,MasterSheet!G71,MasterSheet!G70)</f>
        <v>mil. €</v>
      </c>
      <c r="I15" s="169" t="s">
        <v>441</v>
      </c>
      <c r="J15" s="166" t="str">
        <f>IF(MasterSheet!$A$1=1,MasterSheet!I71,MasterSheet!I70)</f>
        <v>mil. €</v>
      </c>
      <c r="K15" s="168" t="str">
        <f>IF(MasterSheet!$A$1=1,MasterSheet!J71,MasterSheet!J70)</f>
        <v>% BDP</v>
      </c>
      <c r="L15" s="166" t="str">
        <f>IF(MasterSheet!$A$1=1,MasterSheet!K71,MasterSheet!K70)</f>
        <v>mil. €</v>
      </c>
      <c r="M15" s="167" t="s">
        <v>441</v>
      </c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</row>
    <row r="16" spans="2:57" ht="15" customHeight="1" thickTop="1" thickBot="1">
      <c r="C16" s="176" t="str">
        <f>IF(MasterSheet!$A$1=1,MasterSheet!C72,MasterSheet!B72)</f>
        <v>Izvorni prihodi</v>
      </c>
      <c r="D16" s="174">
        <f>D17+D26+D31+D32+D33+D34+D35</f>
        <v>332554918.13300002</v>
      </c>
      <c r="E16" s="281">
        <f t="shared" ref="E16:E76" si="0">D16/D$11*100</f>
        <v>8.4037935442484581</v>
      </c>
      <c r="F16" s="174">
        <f>F17+F26+F31+F32+F33+F34+F35</f>
        <v>334726574.85305959</v>
      </c>
      <c r="G16" s="281">
        <f>F16/D$11*100</f>
        <v>8.4586721634756792</v>
      </c>
      <c r="H16" s="174">
        <f>+D16-F16</f>
        <v>-2171656.7200595737</v>
      </c>
      <c r="I16" s="281">
        <f>+D16/F16*100-100</f>
        <v>-0.64878527228168537</v>
      </c>
      <c r="J16" s="174">
        <f>J17+J26+J31+J32+J33+J34+J35</f>
        <v>317979282.20999992</v>
      </c>
      <c r="K16" s="281">
        <f t="shared" ref="K16:K76" si="1">J16/J$11*100</f>
        <v>8.4277572809435437</v>
      </c>
      <c r="L16" s="174">
        <f>+D16-J16</f>
        <v>14575635.923000097</v>
      </c>
      <c r="M16" s="281">
        <f>+D16/J16*100-100</f>
        <v>4.583831947068191</v>
      </c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</row>
    <row r="17" spans="2:62" ht="15" customHeight="1" thickTop="1">
      <c r="B17" s="80">
        <v>711</v>
      </c>
      <c r="C17" s="93" t="str">
        <f>IF(MasterSheet!$A$1=1,MasterSheet!C73,MasterSheet!B73)</f>
        <v>Porezi</v>
      </c>
      <c r="D17" s="152">
        <f>SUM(D18:D25)</f>
        <v>214097634.053</v>
      </c>
      <c r="E17" s="282">
        <f t="shared" si="0"/>
        <v>5.4103313972758516</v>
      </c>
      <c r="F17" s="152">
        <f>SUM(F18:F25)</f>
        <v>209448507.89347482</v>
      </c>
      <c r="G17" s="282">
        <f t="shared" ref="G17:G76" si="2">F17/D$11*100</f>
        <v>5.2928461511542206</v>
      </c>
      <c r="H17" s="205">
        <f t="shared" ref="H17:H76" si="3">+D17-F17</f>
        <v>4649126.1595251858</v>
      </c>
      <c r="I17" s="288">
        <f t="shared" ref="I17:I76" si="4">+D17/F17*100-100</f>
        <v>2.2196988683680416</v>
      </c>
      <c r="J17" s="152">
        <f>SUM(J18:J25)</f>
        <v>200753334.93999997</v>
      </c>
      <c r="K17" s="282">
        <f t="shared" si="1"/>
        <v>5.3207880980651989</v>
      </c>
      <c r="L17" s="205">
        <f t="shared" ref="L17:L76" si="5">+D17-J17</f>
        <v>13344299.113000035</v>
      </c>
      <c r="M17" s="290">
        <f t="shared" ref="M17:M76" si="6">+D17/J17*100-100</f>
        <v>6.6471120477217909</v>
      </c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</row>
    <row r="18" spans="2:62" ht="15" customHeight="1">
      <c r="B18" s="80">
        <v>7111</v>
      </c>
      <c r="C18" s="97" t="str">
        <f>IF(MasterSheet!$A$1=1,MasterSheet!C74,MasterSheet!B74)</f>
        <v>Porez na dohodak fizičkih lica</v>
      </c>
      <c r="D18" s="154">
        <f>'Cental Budget'!D18+'Local Government'!D18</f>
        <v>27028391.640000001</v>
      </c>
      <c r="E18" s="283">
        <f t="shared" si="0"/>
        <v>0.68301808450419488</v>
      </c>
      <c r="F18" s="154">
        <f>+IF(ISNUMBER(VLOOKUP($B18,'Cental Budget'!$B$16:$K$76,'Public Expenditure'!F$1,FALSE)),VLOOKUP($B18,'Cental Budget'!$B$16:$K$76,'Public Expenditure'!F$1,FALSE),0)+IF(ISNUMBER(VLOOKUP('Public Expenditure'!$B18,'Local Government'!$B$16:$M$76,'Public Expenditure'!F$1,FALSE)),VLOOKUP('Public Expenditure'!$B18,'Local Government'!$B$16:$M$76,'Public Expenditure'!F$1,FALSE),0)</f>
        <v>28309075.728948303</v>
      </c>
      <c r="G18" s="283">
        <f t="shared" si="2"/>
        <v>0.71538147500627469</v>
      </c>
      <c r="H18" s="206">
        <f t="shared" si="3"/>
        <v>-1280684.088948302</v>
      </c>
      <c r="I18" s="289">
        <f t="shared" si="4"/>
        <v>-4.5239346604265904</v>
      </c>
      <c r="J18" s="154">
        <f>+IF(ISNUMBER(VLOOKUP($B18,'Cental Budget'!$B$16:$K$76,'Public Expenditure'!J$1,FALSE)),VLOOKUP($B18,'Cental Budget'!$B$16:$K$76,'Public Expenditure'!J$1,FALSE),0)+IF(ISNUMBER(VLOOKUP('Public Expenditure'!$B18,'Local Government'!$B$16:$M$76,'Public Expenditure'!J$1,FALSE)),VLOOKUP('Public Expenditure'!$B18,'Local Government'!$B$16:$M$76,'Public Expenditure'!J$1,FALSE),0)</f>
        <v>29590533.639999993</v>
      </c>
      <c r="K18" s="283">
        <f t="shared" si="1"/>
        <v>0.78427070341902971</v>
      </c>
      <c r="L18" s="206">
        <f t="shared" si="5"/>
        <v>-2562141.9999999925</v>
      </c>
      <c r="M18" s="289">
        <f t="shared" si="6"/>
        <v>-8.6586542546719443</v>
      </c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</row>
    <row r="19" spans="2:62" ht="15" customHeight="1">
      <c r="B19" s="80">
        <v>7112</v>
      </c>
      <c r="C19" s="97" t="str">
        <f>IF(MasterSheet!$A$1=1,MasterSheet!C75,MasterSheet!B75)</f>
        <v>Porez na dobit pravnih lica</v>
      </c>
      <c r="D19" s="154">
        <f>'Cental Budget'!D19</f>
        <v>19487007.920000002</v>
      </c>
      <c r="E19" s="283">
        <f t="shared" si="0"/>
        <v>0.49244435257252606</v>
      </c>
      <c r="F19" s="154">
        <f>+IF(ISNUMBER(VLOOKUP($B19,'Cental Budget'!$B$16:$K$76,'Public Expenditure'!F$1,FALSE)),VLOOKUP($B19,'Cental Budget'!$B$16:$K$76,'Public Expenditure'!F$1,FALSE),0)+IF(ISNUMBER(VLOOKUP('Public Expenditure'!$B19,'Local Government'!$B$16:$M$76,'Public Expenditure'!F$1,FALSE)),VLOOKUP('Public Expenditure'!$B19,'Local Government'!$B$16:$M$76,'Public Expenditure'!F$1,FALSE),0)</f>
        <v>17202335.449503724</v>
      </c>
      <c r="G19" s="283">
        <f t="shared" si="2"/>
        <v>0.43470978089314977</v>
      </c>
      <c r="H19" s="206">
        <f t="shared" si="3"/>
        <v>2284672.4704962783</v>
      </c>
      <c r="I19" s="289">
        <f t="shared" si="4"/>
        <v>13.281176135663557</v>
      </c>
      <c r="J19" s="154">
        <f>+IF(ISNUMBER(VLOOKUP($B19,'Cental Budget'!$B$16:$K$76,'Public Expenditure'!J$1,FALSE)),VLOOKUP($B19,'Cental Budget'!$B$16:$K$76,'Public Expenditure'!J$1,FALSE),0)+IF(ISNUMBER(VLOOKUP('Public Expenditure'!$B19,'Local Government'!$B$16:$M$76,'Public Expenditure'!J$1,FALSE)),VLOOKUP('Public Expenditure'!$B19,'Local Government'!$B$16:$M$76,'Public Expenditure'!J$1,FALSE),0)</f>
        <v>16590793.719999999</v>
      </c>
      <c r="K19" s="283">
        <f t="shared" si="1"/>
        <v>0.43972419082957853</v>
      </c>
      <c r="L19" s="206">
        <f t="shared" si="5"/>
        <v>2896214.200000003</v>
      </c>
      <c r="M19" s="289">
        <f t="shared" si="6"/>
        <v>17.456754926129008</v>
      </c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G19" s="81"/>
    </row>
    <row r="20" spans="2:62" ht="15" customHeight="1">
      <c r="B20" s="80">
        <v>7113</v>
      </c>
      <c r="C20" s="97" t="str">
        <f>IF(MasterSheet!$A$1=1,MasterSheet!C76,MasterSheet!B76)</f>
        <v>Porez na promet nepokretnosti</v>
      </c>
      <c r="D20" s="154">
        <f>'Cental Budget'!D20+'Local Government'!D19</f>
        <v>2486819.5329999998</v>
      </c>
      <c r="E20" s="283">
        <f t="shared" si="0"/>
        <v>6.2842907434549677E-2</v>
      </c>
      <c r="F20" s="154">
        <f>+IF(ISNUMBER(VLOOKUP($B20,'Cental Budget'!$B$16:$K$76,'Public Expenditure'!F$1,FALSE)),VLOOKUP($B20,'Cental Budget'!$B$16:$K$76,'Public Expenditure'!F$1,FALSE),0)+IF(ISNUMBER(VLOOKUP('Public Expenditure'!$B20,'Local Government'!$B$16:$M$76,'Public Expenditure'!F$1,FALSE)),VLOOKUP('Public Expenditure'!$B20,'Local Government'!$B$16:$M$76,'Public Expenditure'!F$1,FALSE),0)</f>
        <v>3140143.793835476</v>
      </c>
      <c r="G20" s="283">
        <f t="shared" si="2"/>
        <v>7.9352668397742743E-2</v>
      </c>
      <c r="H20" s="206">
        <f t="shared" si="3"/>
        <v>-653324.26083547622</v>
      </c>
      <c r="I20" s="289">
        <f t="shared" si="4"/>
        <v>-20.805552348209005</v>
      </c>
      <c r="J20" s="154">
        <f>+IF(ISNUMBER(VLOOKUP($B20,'Cental Budget'!$B$16:$K$76,'Public Expenditure'!J$1,FALSE)),VLOOKUP($B20,'Cental Budget'!$B$16:$K$76,'Public Expenditure'!J$1,FALSE),0)+IF(ISNUMBER(VLOOKUP('Public Expenditure'!$B20,'Local Government'!$B$16:$M$76,'Public Expenditure'!J$1,FALSE)),VLOOKUP('Public Expenditure'!$B20,'Local Government'!$B$16:$M$76,'Public Expenditure'!J$1,FALSE),0)</f>
        <v>2715404.55</v>
      </c>
      <c r="K20" s="283">
        <f t="shared" si="1"/>
        <v>7.1969375828253371E-2</v>
      </c>
      <c r="L20" s="206">
        <f t="shared" si="5"/>
        <v>-228585.01699999999</v>
      </c>
      <c r="M20" s="289">
        <f t="shared" si="6"/>
        <v>-8.4180833018048844</v>
      </c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36"/>
      <c r="AF20" s="136"/>
      <c r="AG20" s="136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6"/>
      <c r="AU20" s="136"/>
      <c r="AV20" s="136"/>
      <c r="AW20" s="136"/>
      <c r="AX20" s="136"/>
      <c r="AY20" s="136"/>
      <c r="AZ20" s="136"/>
      <c r="BA20" s="136"/>
      <c r="BB20" s="136"/>
      <c r="BC20" s="136"/>
      <c r="BD20" s="136"/>
      <c r="BE20" s="136"/>
    </row>
    <row r="21" spans="2:62" ht="15" customHeight="1">
      <c r="B21" s="80">
        <v>7114</v>
      </c>
      <c r="C21" s="97" t="str">
        <f>IF(MasterSheet!$A$1=1,MasterSheet!C77,MasterSheet!B77)</f>
        <v>Porez na dodatu vrijednost</v>
      </c>
      <c r="D21" s="154">
        <f>'Cental Budget'!D21</f>
        <v>106205407.37</v>
      </c>
      <c r="E21" s="283">
        <f t="shared" si="0"/>
        <v>2.6838524049833214</v>
      </c>
      <c r="F21" s="154">
        <f>+IF(ISNUMBER(VLOOKUP($B21,'Cental Budget'!$B$16:$K$76,'Public Expenditure'!F$1,FALSE)),VLOOKUP($B21,'Cental Budget'!$B$16:$K$76,'Public Expenditure'!F$1,FALSE),0)+IF(ISNUMBER(VLOOKUP('Public Expenditure'!$B21,'Local Government'!$B$16:$M$76,'Public Expenditure'!F$1,FALSE)),VLOOKUP('Public Expenditure'!$B21,'Local Government'!$B$16:$M$76,'Public Expenditure'!F$1,FALSE),0)</f>
        <v>106087842.9110896</v>
      </c>
      <c r="G21" s="283">
        <f t="shared" si="2"/>
        <v>2.6808815048794501</v>
      </c>
      <c r="H21" s="206">
        <f t="shared" si="3"/>
        <v>117564.45891040564</v>
      </c>
      <c r="I21" s="289">
        <f t="shared" si="4"/>
        <v>0.11081803125070167</v>
      </c>
      <c r="J21" s="154">
        <f>+IF(ISNUMBER(VLOOKUP($B21,'Cental Budget'!$B$16:$K$76,'Public Expenditure'!J$1,FALSE)),VLOOKUP($B21,'Cental Budget'!$B$16:$K$76,'Public Expenditure'!J$1,FALSE),0)+IF(ISNUMBER(VLOOKUP('Public Expenditure'!$B21,'Local Government'!$B$16:$M$76,'Public Expenditure'!J$1,FALSE)),VLOOKUP('Public Expenditure'!$B21,'Local Government'!$B$16:$M$76,'Public Expenditure'!J$1,FALSE),0)</f>
        <v>101136918.48</v>
      </c>
      <c r="K21" s="283">
        <f t="shared" si="1"/>
        <v>2.6805438240127222</v>
      </c>
      <c r="L21" s="206">
        <f t="shared" si="5"/>
        <v>5068488.8900000006</v>
      </c>
      <c r="M21" s="289">
        <f t="shared" si="6"/>
        <v>5.0115120830009232</v>
      </c>
    </row>
    <row r="22" spans="2:62" ht="15" customHeight="1">
      <c r="B22" s="80">
        <v>7115</v>
      </c>
      <c r="C22" s="97" t="str">
        <f>IF(MasterSheet!$A$1=1,MasterSheet!C78,MasterSheet!B78)</f>
        <v>Akcize</v>
      </c>
      <c r="D22" s="154">
        <f>'Cental Budget'!D22</f>
        <v>41137630.969999999</v>
      </c>
      <c r="E22" s="283">
        <f t="shared" si="0"/>
        <v>1.0395641102294553</v>
      </c>
      <c r="F22" s="154">
        <f>+IF(ISNUMBER(VLOOKUP($B22,'Cental Budget'!$B$16:$K$76,'Public Expenditure'!F$1,FALSE)),VLOOKUP($B22,'Cental Budget'!$B$16:$K$76,'Public Expenditure'!F$1,FALSE),0)+IF(ISNUMBER(VLOOKUP('Public Expenditure'!$B22,'Local Government'!$B$16:$M$76,'Public Expenditure'!F$1,FALSE)),VLOOKUP('Public Expenditure'!$B22,'Local Government'!$B$16:$M$76,'Public Expenditure'!F$1,FALSE),0)</f>
        <v>38883013.039741859</v>
      </c>
      <c r="G22" s="283">
        <f t="shared" si="2"/>
        <v>0.98258902859956176</v>
      </c>
      <c r="H22" s="206">
        <f t="shared" si="3"/>
        <v>2254617.93025814</v>
      </c>
      <c r="I22" s="289">
        <f t="shared" si="4"/>
        <v>5.7984650725336593</v>
      </c>
      <c r="J22" s="154">
        <f>+IF(ISNUMBER(VLOOKUP($B22,'Cental Budget'!$B$16:$K$76,'Public Expenditure'!J$1,FALSE)),VLOOKUP($B22,'Cental Budget'!$B$16:$K$76,'Public Expenditure'!J$1,FALSE),0)+IF(ISNUMBER(VLOOKUP('Public Expenditure'!$B22,'Local Government'!$B$16:$M$76,'Public Expenditure'!J$1,FALSE)),VLOOKUP('Public Expenditure'!$B22,'Local Government'!$B$16:$M$76,'Public Expenditure'!J$1,FALSE),0)</f>
        <v>33745496.479999989</v>
      </c>
      <c r="K22" s="283">
        <f t="shared" si="1"/>
        <v>0.89439428783461405</v>
      </c>
      <c r="L22" s="206">
        <f t="shared" si="5"/>
        <v>7392134.4900000095</v>
      </c>
      <c r="M22" s="289">
        <f t="shared" si="6"/>
        <v>21.905543734942896</v>
      </c>
    </row>
    <row r="23" spans="2:62" ht="15" customHeight="1">
      <c r="B23" s="80">
        <v>7116</v>
      </c>
      <c r="C23" s="97" t="str">
        <f>IF(MasterSheet!$A$1=1,MasterSheet!C79,MasterSheet!B79)</f>
        <v>Porez na međunarodnu trgovinu i transakcije</v>
      </c>
      <c r="D23" s="154">
        <f>'Cental Budget'!D23</f>
        <v>4895082.8100000005</v>
      </c>
      <c r="E23" s="283">
        <f t="shared" si="0"/>
        <v>0.12370066739108461</v>
      </c>
      <c r="F23" s="154">
        <f>+IF(ISNUMBER(VLOOKUP($B23,'Cental Budget'!$B$16:$K$76,'Public Expenditure'!F$1,FALSE)),VLOOKUP($B23,'Cental Budget'!$B$16:$K$76,'Public Expenditure'!F$1,FALSE),0)+IF(ISNUMBER(VLOOKUP('Public Expenditure'!$B23,'Local Government'!$B$16:$M$76,'Public Expenditure'!F$1,FALSE)),VLOOKUP('Public Expenditure'!$B23,'Local Government'!$B$16:$M$76,'Public Expenditure'!F$1,FALSE),0)</f>
        <v>4565162.3622602774</v>
      </c>
      <c r="G23" s="283">
        <f t="shared" si="2"/>
        <v>0.11536344794956732</v>
      </c>
      <c r="H23" s="206">
        <f t="shared" si="3"/>
        <v>329920.44773972314</v>
      </c>
      <c r="I23" s="289">
        <f t="shared" si="4"/>
        <v>7.2269159683594495</v>
      </c>
      <c r="J23" s="154">
        <f>+IF(ISNUMBER(VLOOKUP($B23,'Cental Budget'!$B$16:$K$76,'Public Expenditure'!J$1,FALSE)),VLOOKUP($B23,'Cental Budget'!$B$16:$K$76,'Public Expenditure'!J$1,FALSE),0)+IF(ISNUMBER(VLOOKUP('Public Expenditure'!$B23,'Local Government'!$B$16:$M$76,'Public Expenditure'!J$1,FALSE)),VLOOKUP('Public Expenditure'!$B23,'Local Government'!$B$16:$M$76,'Public Expenditure'!J$1,FALSE),0)</f>
        <v>4538417.9700000007</v>
      </c>
      <c r="K23" s="283">
        <f t="shared" si="1"/>
        <v>0.12028672064670026</v>
      </c>
      <c r="L23" s="206">
        <f t="shared" si="5"/>
        <v>356664.83999999985</v>
      </c>
      <c r="M23" s="289">
        <f t="shared" si="6"/>
        <v>7.8587922566329667</v>
      </c>
      <c r="BH23" s="138"/>
      <c r="BI23" s="138"/>
      <c r="BJ23" s="81"/>
    </row>
    <row r="24" spans="2:62" ht="15" customHeight="1">
      <c r="B24" s="80">
        <v>7117</v>
      </c>
      <c r="C24" s="97" t="s">
        <v>11</v>
      </c>
      <c r="D24" s="154">
        <f>'Local Government'!D20</f>
        <v>10886580.140000001</v>
      </c>
      <c r="E24" s="283">
        <f t="shared" si="0"/>
        <v>0.27510816082078238</v>
      </c>
      <c r="F24" s="154">
        <f>+IF(ISNUMBER(VLOOKUP($B24,'Cental Budget'!$B$16:$K$76,'Public Expenditure'!F$1,FALSE)),VLOOKUP($B24,'Cental Budget'!$B$16:$K$76,'Public Expenditure'!F$1,FALSE),0)+IF(ISNUMBER(VLOOKUP('Public Expenditure'!$B24,'Local Government'!$B$16:$M$76,'Public Expenditure'!F$1,FALSE)),VLOOKUP('Public Expenditure'!$B24,'Local Government'!$B$16:$M$76,'Public Expenditure'!F$1,FALSE),0)</f>
        <v>9326071.0106000006</v>
      </c>
      <c r="G24" s="283">
        <f t="shared" si="2"/>
        <v>0.23567348151723441</v>
      </c>
      <c r="H24" s="206">
        <f t="shared" si="3"/>
        <v>1560509.1294</v>
      </c>
      <c r="I24" s="289">
        <f t="shared" si="4"/>
        <v>16.732760533630156</v>
      </c>
      <c r="J24" s="154">
        <f>+IF(ISNUMBER(VLOOKUP($B24,'Cental Budget'!$B$16:$K$76,'Public Expenditure'!J$1,FALSE)),VLOOKUP($B24,'Cental Budget'!$B$16:$K$76,'Public Expenditure'!J$1,FALSE),0)+IF(ISNUMBER(VLOOKUP('Public Expenditure'!$B24,'Local Government'!$B$16:$M$76,'Public Expenditure'!J$1,FALSE)),VLOOKUP('Public Expenditure'!$B24,'Local Government'!$B$16:$M$76,'Public Expenditure'!J$1,FALSE),0)</f>
        <v>10592714.32</v>
      </c>
      <c r="K24" s="283">
        <f t="shared" si="1"/>
        <v>0.28075044579909886</v>
      </c>
      <c r="L24" s="206">
        <f t="shared" si="5"/>
        <v>293865.8200000003</v>
      </c>
      <c r="M24" s="289">
        <f t="shared" si="6"/>
        <v>2.7742258605535568</v>
      </c>
      <c r="BH24" s="138"/>
      <c r="BI24" s="138"/>
      <c r="BJ24" s="81"/>
    </row>
    <row r="25" spans="2:62" ht="15" customHeight="1">
      <c r="B25" s="80">
        <v>7118</v>
      </c>
      <c r="C25" s="97" t="s">
        <v>461</v>
      </c>
      <c r="D25" s="154">
        <f>'Cental Budget'!D24</f>
        <v>1970713.67</v>
      </c>
      <c r="E25" s="283">
        <f t="shared" si="0"/>
        <v>4.9800709339937327E-2</v>
      </c>
      <c r="F25" s="154">
        <f>+IF(ISNUMBER(VLOOKUP($B25,'Cental Budget'!$B$16:$K$76,'Public Expenditure'!F$1,FALSE)),VLOOKUP($B25,'Cental Budget'!$B$16:$K$76,'Public Expenditure'!F$1,FALSE),0)+IF(ISNUMBER(VLOOKUP('Public Expenditure'!$B25,'Local Government'!$B$16:$M$76,'Public Expenditure'!F$1,FALSE)),VLOOKUP('Public Expenditure'!$B25,'Local Government'!$B$16:$M$76,'Public Expenditure'!F$1,FALSE),0)</f>
        <v>1934863.5974955964</v>
      </c>
      <c r="G25" s="283">
        <f t="shared" si="2"/>
        <v>4.8894763911240174E-2</v>
      </c>
      <c r="H25" s="206">
        <f t="shared" si="3"/>
        <v>35850.072504403535</v>
      </c>
      <c r="I25" s="289">
        <f t="shared" si="4"/>
        <v>1.8528475366845782</v>
      </c>
      <c r="J25" s="154">
        <f>+IF(ISNUMBER(VLOOKUP($B25,'Cental Budget'!$B$16:$K$76,'Public Expenditure'!J$1,FALSE)),VLOOKUP($B25,'Cental Budget'!$B$16:$K$76,'Public Expenditure'!J$1,FALSE),0)+IF(ISNUMBER(VLOOKUP('Public Expenditure'!$B25,'Local Government'!$B$16:$M$76,'Public Expenditure'!J$1,FALSE)),VLOOKUP('Public Expenditure'!$B25,'Local Government'!$B$16:$M$76,'Public Expenditure'!J$1,FALSE),0)</f>
        <v>1843055.7799999993</v>
      </c>
      <c r="K25" s="283">
        <f t="shared" si="1"/>
        <v>4.8848549695202734E-2</v>
      </c>
      <c r="L25" s="206">
        <f t="shared" si="5"/>
        <v>127657.8900000006</v>
      </c>
      <c r="M25" s="289">
        <f t="shared" si="6"/>
        <v>6.9264257427955158</v>
      </c>
      <c r="BH25" s="138"/>
      <c r="BI25" s="138"/>
      <c r="BJ25" s="81"/>
    </row>
    <row r="26" spans="2:62" ht="15" customHeight="1">
      <c r="B26" s="80">
        <v>712</v>
      </c>
      <c r="C26" s="93" t="str">
        <f>IF(MasterSheet!$A$1=1,MasterSheet!C81,MasterSheet!B81)</f>
        <v>Doprinosi</v>
      </c>
      <c r="D26" s="152">
        <f>'Cental Budget'!D25</f>
        <v>85700155.700000003</v>
      </c>
      <c r="E26" s="284">
        <f t="shared" si="0"/>
        <v>2.1656766324674015</v>
      </c>
      <c r="F26" s="152">
        <f>SUM(F27:F30)</f>
        <v>95293122.329963237</v>
      </c>
      <c r="G26" s="284">
        <f t="shared" si="2"/>
        <v>2.4080946712312556</v>
      </c>
      <c r="H26" s="205">
        <f t="shared" si="3"/>
        <v>-9592966.6299632341</v>
      </c>
      <c r="I26" s="290">
        <f t="shared" si="4"/>
        <v>-10.066798521667181</v>
      </c>
      <c r="J26" s="152">
        <f>SUM(J27:J30)</f>
        <v>90140128.719999999</v>
      </c>
      <c r="K26" s="284">
        <f t="shared" si="1"/>
        <v>2.3890837190564538</v>
      </c>
      <c r="L26" s="205">
        <f t="shared" si="5"/>
        <v>-4439973.0199999958</v>
      </c>
      <c r="M26" s="290">
        <f t="shared" si="6"/>
        <v>-4.9256342131391619</v>
      </c>
      <c r="BH26" s="138"/>
      <c r="BI26" s="138"/>
      <c r="BJ26" s="81"/>
    </row>
    <row r="27" spans="2:62" ht="15" hidden="1" customHeight="1">
      <c r="B27" s="80">
        <v>7121</v>
      </c>
      <c r="C27" s="97" t="str">
        <f>IF(MasterSheet!$A$1=1,MasterSheet!C82,MasterSheet!B82)</f>
        <v>Doprinosi za penzijsko i invalidsko osiguranje</v>
      </c>
      <c r="D27" s="154">
        <f>+IF(ISNUMBER(VLOOKUP($B27,'Cental Budget'!$B$16:$K$76,'Public Expenditure'!D$1,FALSE)),VLOOKUP($B27,'Cental Budget'!$B$16:$K$76,'Public Expenditure'!D$1,FALSE),0)+IF(ISNUMBER(VLOOKUP('Public Expenditure'!$B27,'Local Government'!$B$16:$M$76,'Public Expenditure'!D$1,FALSE)),VLOOKUP('Public Expenditure'!$B27,'Local Government'!$B$16:$M$76,'Public Expenditure'!D$1,FALSE),0)</f>
        <v>51533607.93</v>
      </c>
      <c r="E27" s="283">
        <f t="shared" si="0"/>
        <v>1.3022745357828767</v>
      </c>
      <c r="F27" s="154">
        <f>+IF(ISNUMBER(VLOOKUP($B27,'Cental Budget'!$B$16:$K$76,'Public Expenditure'!F$1,FALSE)),VLOOKUP($B27,'Cental Budget'!$B$16:$K$76,'Public Expenditure'!F$1,FALSE),0)+IF(ISNUMBER(VLOOKUP('Public Expenditure'!$B27,'Local Government'!$B$16:$M$76,'Public Expenditure'!F$1,FALSE)),VLOOKUP('Public Expenditure'!$B27,'Local Government'!$B$16:$M$76,'Public Expenditure'!F$1,FALSE),0)</f>
        <v>57963648.693399683</v>
      </c>
      <c r="G27" s="283">
        <f t="shared" si="2"/>
        <v>1.464764194213072</v>
      </c>
      <c r="H27" s="206">
        <f t="shared" si="3"/>
        <v>-6430040.7633996829</v>
      </c>
      <c r="I27" s="289">
        <f t="shared" si="4"/>
        <v>-11.093229823076811</v>
      </c>
      <c r="J27" s="154">
        <f>+IF(ISNUMBER(VLOOKUP($B27,'Cental Budget'!$B$16:$K$76,'Public Expenditure'!J$1,FALSE)),VLOOKUP($B27,'Cental Budget'!$B$16:$K$76,'Public Expenditure'!J$1,FALSE),0)+IF(ISNUMBER(VLOOKUP('Public Expenditure'!$B27,'Local Government'!$B$16:$M$76,'Public Expenditure'!J$1,FALSE)),VLOOKUP('Public Expenditure'!$B27,'Local Government'!$B$16:$M$76,'Public Expenditure'!J$1,FALSE),0)</f>
        <v>54003599.459999993</v>
      </c>
      <c r="K27" s="283">
        <f t="shared" si="1"/>
        <v>1.4313172398621783</v>
      </c>
      <c r="L27" s="206">
        <f t="shared" si="5"/>
        <v>-2469991.5299999937</v>
      </c>
      <c r="M27" s="289">
        <f t="shared" si="6"/>
        <v>-4.5737535177252369</v>
      </c>
      <c r="BH27" s="138"/>
      <c r="BI27" s="138"/>
      <c r="BJ27" s="81"/>
    </row>
    <row r="28" spans="2:62" ht="15" hidden="1" customHeight="1">
      <c r="B28" s="80">
        <v>7122</v>
      </c>
      <c r="C28" s="97" t="str">
        <f>IF(MasterSheet!$A$1=1,MasterSheet!C83,MasterSheet!B83)</f>
        <v>Doprinosi za zdravstveno osiguranje</v>
      </c>
      <c r="D28" s="154">
        <f>+IF(ISNUMBER(VLOOKUP($B28,'Cental Budget'!$B$16:$K$76,'Public Expenditure'!D$1,FALSE)),VLOOKUP($B28,'Cental Budget'!$B$16:$K$76,'Public Expenditure'!D$1,FALSE),0)+IF(ISNUMBER(VLOOKUP('Public Expenditure'!$B28,'Local Government'!$B$16:$M$76,'Public Expenditure'!D$1,FALSE)),VLOOKUP('Public Expenditure'!$B28,'Local Government'!$B$16:$M$76,'Public Expenditure'!D$1,FALSE),0)</f>
        <v>29657420.16</v>
      </c>
      <c r="E28" s="283">
        <f t="shared" si="0"/>
        <v>0.74945466895784907</v>
      </c>
      <c r="F28" s="154">
        <f>+IF(ISNUMBER(VLOOKUP($B28,'Cental Budget'!$B$16:$K$76,'Public Expenditure'!F$1,FALSE)),VLOOKUP($B28,'Cental Budget'!$B$16:$K$76,'Public Expenditure'!F$1,FALSE),0)+IF(ISNUMBER(VLOOKUP('Public Expenditure'!$B28,'Local Government'!$B$16:$M$76,'Public Expenditure'!F$1,FALSE)),VLOOKUP('Public Expenditure'!$B28,'Local Government'!$B$16:$M$76,'Public Expenditure'!F$1,FALSE),0)</f>
        <v>32784672.767619453</v>
      </c>
      <c r="G28" s="283">
        <f t="shared" si="2"/>
        <v>0.82848157201100403</v>
      </c>
      <c r="H28" s="206">
        <f t="shared" si="3"/>
        <v>-3127252.6076194532</v>
      </c>
      <c r="I28" s="289">
        <f t="shared" si="4"/>
        <v>-9.5387641346481757</v>
      </c>
      <c r="J28" s="154">
        <f>+IF(ISNUMBER(VLOOKUP($B28,'Cental Budget'!$B$16:$K$76,'Public Expenditure'!J$1,FALSE)),VLOOKUP($B28,'Cental Budget'!$B$16:$K$76,'Public Expenditure'!J$1,FALSE),0)+IF(ISNUMBER(VLOOKUP('Public Expenditure'!$B28,'Local Government'!$B$16:$M$76,'Public Expenditure'!J$1,FALSE)),VLOOKUP('Public Expenditure'!$B28,'Local Government'!$B$16:$M$76,'Public Expenditure'!J$1,FALSE),0)</f>
        <v>31264327.100000001</v>
      </c>
      <c r="K28" s="283">
        <f t="shared" si="1"/>
        <v>0.82863310628147369</v>
      </c>
      <c r="L28" s="206">
        <f t="shared" si="5"/>
        <v>-1606906.9400000013</v>
      </c>
      <c r="M28" s="289">
        <f t="shared" si="6"/>
        <v>-5.1397458031329393</v>
      </c>
      <c r="BH28" s="138"/>
      <c r="BI28" s="138"/>
      <c r="BJ28" s="81"/>
    </row>
    <row r="29" spans="2:62" ht="15" hidden="1" customHeight="1">
      <c r="B29" s="80">
        <v>7123</v>
      </c>
      <c r="C29" s="97" t="str">
        <f>IF(MasterSheet!$A$1=1,MasterSheet!C84,MasterSheet!B84)</f>
        <v>Doprinosi za osiguranje od nezaposlenosti</v>
      </c>
      <c r="D29" s="154">
        <f>+IF(ISNUMBER(VLOOKUP($B29,'Cental Budget'!$B$16:$K$76,'Public Expenditure'!D$1,FALSE)),VLOOKUP($B29,'Cental Budget'!$B$16:$K$76,'Public Expenditure'!D$1,FALSE),0)+IF(ISNUMBER(VLOOKUP('Public Expenditure'!$B29,'Local Government'!$B$16:$M$76,'Public Expenditure'!D$1,FALSE)),VLOOKUP('Public Expenditure'!$B29,'Local Government'!$B$16:$M$76,'Public Expenditure'!D$1,FALSE),0)</f>
        <v>2358732.2199999997</v>
      </c>
      <c r="E29" s="283">
        <f t="shared" si="0"/>
        <v>5.9606090670170822E-2</v>
      </c>
      <c r="F29" s="154">
        <f>+IF(ISNUMBER(VLOOKUP($B29,'Cental Budget'!$B$16:$K$76,'Public Expenditure'!F$1,FALSE)),VLOOKUP($B29,'Cental Budget'!$B$16:$K$76,'Public Expenditure'!F$1,FALSE),0)+IF(ISNUMBER(VLOOKUP('Public Expenditure'!$B29,'Local Government'!$B$16:$M$76,'Public Expenditure'!F$1,FALSE)),VLOOKUP('Public Expenditure'!$B29,'Local Government'!$B$16:$M$76,'Public Expenditure'!F$1,FALSE),0)</f>
        <v>2142258.5001878752</v>
      </c>
      <c r="G29" s="283">
        <f t="shared" si="2"/>
        <v>5.4135714651467583E-2</v>
      </c>
      <c r="H29" s="206">
        <f t="shared" si="3"/>
        <v>216473.7198121245</v>
      </c>
      <c r="I29" s="289">
        <f t="shared" si="4"/>
        <v>10.104929904264111</v>
      </c>
      <c r="J29" s="154">
        <f>+IF(ISNUMBER(VLOOKUP($B29,'Cental Budget'!$B$16:$K$76,'Public Expenditure'!J$1,FALSE)),VLOOKUP($B29,'Cental Budget'!$B$16:$K$76,'Public Expenditure'!J$1,FALSE),0)+IF(ISNUMBER(VLOOKUP('Public Expenditure'!$B29,'Local Government'!$B$16:$M$76,'Public Expenditure'!J$1,FALSE)),VLOOKUP('Public Expenditure'!$B29,'Local Government'!$B$16:$M$76,'Public Expenditure'!J$1,FALSE),0)</f>
        <v>2530450.5399999991</v>
      </c>
      <c r="K29" s="283">
        <f t="shared" si="1"/>
        <v>6.706733474688574E-2</v>
      </c>
      <c r="L29" s="206">
        <f t="shared" si="5"/>
        <v>-171718.31999999937</v>
      </c>
      <c r="M29" s="289">
        <f t="shared" si="6"/>
        <v>-6.786076917353995</v>
      </c>
      <c r="BH29" s="138"/>
      <c r="BI29" s="138"/>
      <c r="BJ29" s="81"/>
    </row>
    <row r="30" spans="2:62" ht="15" hidden="1" customHeight="1">
      <c r="B30" s="80">
        <v>7124</v>
      </c>
      <c r="C30" s="97" t="str">
        <f>IF(MasterSheet!$A$1=1,MasterSheet!C85,MasterSheet!B85)</f>
        <v>Ostali doprinosi</v>
      </c>
      <c r="D30" s="154">
        <f>+IF(ISNUMBER(VLOOKUP($B30,'Cental Budget'!$B$16:$K$76,'Public Expenditure'!D$1,FALSE)),VLOOKUP($B30,'Cental Budget'!$B$16:$K$76,'Public Expenditure'!D$1,FALSE),0)+IF(ISNUMBER(VLOOKUP('Public Expenditure'!$B30,'Local Government'!$B$16:$M$76,'Public Expenditure'!D$1,FALSE)),VLOOKUP('Public Expenditure'!$B30,'Local Government'!$B$16:$M$76,'Public Expenditure'!D$1,FALSE),0)</f>
        <v>2150395.39</v>
      </c>
      <c r="E30" s="283">
        <f t="shared" si="0"/>
        <v>5.434133705650461E-2</v>
      </c>
      <c r="F30" s="154">
        <f>+IF(ISNUMBER(VLOOKUP($B30,'Cental Budget'!$B$16:$K$76,'Public Expenditure'!F$1,FALSE)),VLOOKUP($B30,'Cental Budget'!$B$16:$K$76,'Public Expenditure'!F$1,FALSE),0)+IF(ISNUMBER(VLOOKUP('Public Expenditure'!$B30,'Local Government'!$B$16:$M$76,'Public Expenditure'!F$1,FALSE)),VLOOKUP('Public Expenditure'!$B30,'Local Government'!$B$16:$M$76,'Public Expenditure'!F$1,FALSE),0)</f>
        <v>2402542.3687562374</v>
      </c>
      <c r="G30" s="283">
        <f t="shared" si="2"/>
        <v>6.071319035571205E-2</v>
      </c>
      <c r="H30" s="206">
        <f t="shared" si="3"/>
        <v>-252146.97875623731</v>
      </c>
      <c r="I30" s="289">
        <f t="shared" si="4"/>
        <v>-10.495006541207019</v>
      </c>
      <c r="J30" s="154">
        <f>+IF(ISNUMBER(VLOOKUP($B30,'Cental Budget'!$B$16:$K$76,'Public Expenditure'!J$1,FALSE)),VLOOKUP($B30,'Cental Budget'!$B$16:$K$76,'Public Expenditure'!J$1,FALSE),0)+IF(ISNUMBER(VLOOKUP('Public Expenditure'!$B30,'Local Government'!$B$16:$M$76,'Public Expenditure'!J$1,FALSE)),VLOOKUP('Public Expenditure'!$B30,'Local Government'!$B$16:$M$76,'Public Expenditure'!J$1,FALSE),0)</f>
        <v>2341751.62</v>
      </c>
      <c r="K30" s="283">
        <f t="shared" si="1"/>
        <v>6.2066038165915716E-2</v>
      </c>
      <c r="L30" s="206">
        <f t="shared" si="5"/>
        <v>-191356.22999999998</v>
      </c>
      <c r="M30" s="289">
        <f t="shared" si="6"/>
        <v>-8.1714998450604241</v>
      </c>
      <c r="BH30" s="81"/>
      <c r="BI30" s="81"/>
      <c r="BJ30" s="81"/>
    </row>
    <row r="31" spans="2:62" ht="15" customHeight="1">
      <c r="B31" s="80">
        <v>713</v>
      </c>
      <c r="C31" s="93" t="str">
        <f>IF(MasterSheet!$A$1=1,MasterSheet!C86,MasterSheet!B86)</f>
        <v>Takse</v>
      </c>
      <c r="D31" s="152">
        <f>'Cental Budget'!D30+'Local Government'!D21</f>
        <v>4499041.33</v>
      </c>
      <c r="E31" s="284">
        <f t="shared" si="0"/>
        <v>0.1136925434650763</v>
      </c>
      <c r="F31" s="152">
        <f>+IF(ISNUMBER(VLOOKUP($B31,'Cental Budget'!$B$16:$K$76,'Public Expenditure'!F$1,FALSE)),VLOOKUP($B31,'Cental Budget'!$B$16:$K$76,'Public Expenditure'!F$1,FALSE),0)+IF(ISNUMBER(VLOOKUP('Public Expenditure'!$B31,'Local Government'!$B$16:$M$76,'Public Expenditure'!F$1,FALSE)),VLOOKUP('Public Expenditure'!$B31,'Local Government'!$B$16:$M$76,'Public Expenditure'!F$1,FALSE),0)</f>
        <v>3782112.0729126977</v>
      </c>
      <c r="G31" s="284">
        <f t="shared" si="2"/>
        <v>9.557545923664959E-2</v>
      </c>
      <c r="H31" s="205">
        <f t="shared" si="3"/>
        <v>716929.25708730239</v>
      </c>
      <c r="I31" s="290">
        <f t="shared" si="4"/>
        <v>18.955790924915064</v>
      </c>
      <c r="J31" s="152">
        <f>+IF(ISNUMBER(VLOOKUP($B31,'Cental Budget'!$B$16:$K$76,'Public Expenditure'!J$1,FALSE)),VLOOKUP($B31,'Cental Budget'!$B$16:$K$76,'Public Expenditure'!J$1,FALSE),0)+IF(ISNUMBER(VLOOKUP('Public Expenditure'!$B31,'Local Government'!$B$16:$M$76,'Public Expenditure'!J$1,FALSE)),VLOOKUP('Public Expenditure'!$B31,'Local Government'!$B$16:$M$76,'Public Expenditure'!J$1,FALSE),0)</f>
        <v>3800509.5100000002</v>
      </c>
      <c r="K31" s="284">
        <f t="shared" si="1"/>
        <v>0.10072911502782933</v>
      </c>
      <c r="L31" s="205">
        <f t="shared" si="5"/>
        <v>698531.81999999983</v>
      </c>
      <c r="M31" s="290">
        <f t="shared" si="6"/>
        <v>18.379951902817353</v>
      </c>
      <c r="BH31" s="81"/>
      <c r="BI31" s="81"/>
      <c r="BJ31" s="81"/>
    </row>
    <row r="32" spans="2:62" ht="15" customHeight="1">
      <c r="B32" s="80">
        <v>714</v>
      </c>
      <c r="C32" s="93" t="str">
        <f>IF(MasterSheet!$A$1=1,MasterSheet!C91,MasterSheet!B91)</f>
        <v>Naknade</v>
      </c>
      <c r="D32" s="152">
        <f>'Cental Budget'!D31+'Local Government'!D27</f>
        <v>14900975.919999998</v>
      </c>
      <c r="E32" s="284">
        <f t="shared" si="0"/>
        <v>0.37655352067118159</v>
      </c>
      <c r="F32" s="152">
        <f>+IF(ISNUMBER(VLOOKUP($B32,'Cental Budget'!$B$16:$K$76,'Public Expenditure'!F$1,FALSE)),VLOOKUP($B32,'Cental Budget'!$B$16:$K$76,'Public Expenditure'!F$1,FALSE),0)+IF(ISNUMBER(VLOOKUP('Public Expenditure'!$B32,'Local Government'!$B$16:$M$76,'Public Expenditure'!F$1,FALSE)),VLOOKUP('Public Expenditure'!$B32,'Local Government'!$B$16:$M$76,'Public Expenditure'!F$1,FALSE),0)</f>
        <v>12750875.130558265</v>
      </c>
      <c r="G32" s="284">
        <f t="shared" si="2"/>
        <v>0.32221962828662348</v>
      </c>
      <c r="H32" s="205">
        <f t="shared" si="3"/>
        <v>2150100.7894417327</v>
      </c>
      <c r="I32" s="290">
        <f t="shared" si="4"/>
        <v>16.862378208762181</v>
      </c>
      <c r="J32" s="152">
        <f>+IF(ISNUMBER(VLOOKUP($B32,'Cental Budget'!$B$16:$K$76,'Public Expenditure'!J$1,FALSE)),VLOOKUP($B32,'Cental Budget'!$B$16:$K$76,'Public Expenditure'!J$1,FALSE),0)+IF(ISNUMBER(VLOOKUP('Public Expenditure'!$B32,'Local Government'!$B$16:$M$76,'Public Expenditure'!J$1,FALSE)),VLOOKUP('Public Expenditure'!$B32,'Local Government'!$B$16:$M$76,'Public Expenditure'!J$1,FALSE),0)</f>
        <v>12815429.09</v>
      </c>
      <c r="K32" s="284">
        <f t="shared" si="1"/>
        <v>0.33966151842035519</v>
      </c>
      <c r="L32" s="205">
        <f t="shared" si="5"/>
        <v>2085546.8299999982</v>
      </c>
      <c r="M32" s="290">
        <f t="shared" si="6"/>
        <v>16.273718307468684</v>
      </c>
      <c r="BH32" s="138"/>
      <c r="BI32" s="138"/>
      <c r="BJ32" s="138"/>
    </row>
    <row r="33" spans="1:65" ht="15" customHeight="1">
      <c r="B33" s="80">
        <v>715</v>
      </c>
      <c r="C33" s="93" t="str">
        <f>IF(MasterSheet!$A$1=1,MasterSheet!C98,MasterSheet!B98)</f>
        <v>Ostali prihodi</v>
      </c>
      <c r="D33" s="152">
        <f>'Cental Budget'!D32+'Local Government'!D33</f>
        <v>8461358.7800000012</v>
      </c>
      <c r="E33" s="284">
        <f t="shared" si="0"/>
        <v>0.21382186343879514</v>
      </c>
      <c r="F33" s="152">
        <f>+IF(ISNUMBER(VLOOKUP($B33,'Cental Budget'!$B$16:$K$76,'Public Expenditure'!F$1,FALSE)),VLOOKUP($B33,'Cental Budget'!$B$16:$K$76,'Public Expenditure'!F$1,FALSE),0)+IF(ISNUMBER(VLOOKUP('Public Expenditure'!$B33,'Local Government'!$B$16:$M$76,'Public Expenditure'!F$1,FALSE)),VLOOKUP('Public Expenditure'!$B33,'Local Government'!$B$16:$M$76,'Public Expenditure'!F$1,FALSE),0)</f>
        <v>9305138.5826446973</v>
      </c>
      <c r="G33" s="284">
        <f t="shared" si="2"/>
        <v>0.23514451083202006</v>
      </c>
      <c r="H33" s="205">
        <f t="shared" si="3"/>
        <v>-843779.80264469609</v>
      </c>
      <c r="I33" s="290">
        <f t="shared" si="4"/>
        <v>-9.0678907697135855</v>
      </c>
      <c r="J33" s="152">
        <f>+IF(ISNUMBER(VLOOKUP($B33,'Cental Budget'!$B$16:$K$76,'Public Expenditure'!J$1,FALSE)),VLOOKUP($B33,'Cental Budget'!$B$16:$K$76,'Public Expenditure'!J$1,FALSE),0)+IF(ISNUMBER(VLOOKUP('Public Expenditure'!$B33,'Local Government'!$B$16:$M$76,'Public Expenditure'!J$1,FALSE)),VLOOKUP('Public Expenditure'!$B33,'Local Government'!$B$16:$M$76,'Public Expenditure'!J$1,FALSE),0)</f>
        <v>7801266.7100000018</v>
      </c>
      <c r="K33" s="284">
        <f t="shared" si="1"/>
        <v>0.2067656164855553</v>
      </c>
      <c r="L33" s="205">
        <f t="shared" si="5"/>
        <v>660092.06999999937</v>
      </c>
      <c r="M33" s="290">
        <f t="shared" si="6"/>
        <v>8.4613447346168158</v>
      </c>
      <c r="BH33" s="81"/>
      <c r="BI33" s="81"/>
      <c r="BJ33" s="81"/>
      <c r="BK33" s="81"/>
      <c r="BL33" s="81"/>
    </row>
    <row r="34" spans="1:65">
      <c r="B34" s="80">
        <v>73</v>
      </c>
      <c r="C34" s="101" t="str">
        <f>IF(MasterSheet!$A$1=1,MasterSheet!C103,MasterSheet!B103)</f>
        <v xml:space="preserve">Primici od otplate kredita </v>
      </c>
      <c r="D34" s="152">
        <f>'Cental Budget'!D33+'Local Government'!D38</f>
        <v>776589.92</v>
      </c>
      <c r="E34" s="284">
        <f t="shared" si="0"/>
        <v>1.9624732639239868E-2</v>
      </c>
      <c r="F34" s="152">
        <f>+IF(ISNUMBER(VLOOKUP($B34,'Cental Budget'!$B$16:$K$76,'Public Expenditure'!F$1,FALSE)),VLOOKUP($B34,'Cental Budget'!$B$16:$K$76,'Public Expenditure'!F$1,FALSE),0)+IF(ISNUMBER(VLOOKUP('Public Expenditure'!$B34,'Local Government'!$B$16:$M$76,'Public Expenditure'!F$1,FALSE)),VLOOKUP('Public Expenditure'!$B34,'Local Government'!$B$16:$M$76,'Public Expenditure'!F$1,FALSE),0)</f>
        <v>433830.05676903774</v>
      </c>
      <c r="G34" s="284">
        <f t="shared" si="2"/>
        <v>1.0963056119706806E-2</v>
      </c>
      <c r="H34" s="205">
        <f t="shared" si="3"/>
        <v>342759.86323096231</v>
      </c>
      <c r="I34" s="290">
        <f t="shared" si="4"/>
        <v>79.007864458188209</v>
      </c>
      <c r="J34" s="152">
        <f>+IF(ISNUMBER(VLOOKUP($B34,'Cental Budget'!$B$16:$K$76,'Public Expenditure'!J$1,FALSE)),VLOOKUP($B34,'Cental Budget'!$B$16:$K$76,'Public Expenditure'!J$1,FALSE),0)+IF(ISNUMBER(VLOOKUP('Public Expenditure'!$B34,'Local Government'!$B$16:$M$76,'Public Expenditure'!J$1,FALSE)),VLOOKUP('Public Expenditure'!$B34,'Local Government'!$B$16:$M$76,'Public Expenditure'!J$1,FALSE),0)</f>
        <v>349880.75</v>
      </c>
      <c r="K34" s="284">
        <f t="shared" si="1"/>
        <v>9.2732772329711111E-3</v>
      </c>
      <c r="L34" s="205">
        <f t="shared" si="5"/>
        <v>426709.17000000004</v>
      </c>
      <c r="M34" s="290">
        <f t="shared" si="6"/>
        <v>121.9584587034297</v>
      </c>
      <c r="BG34" s="100"/>
      <c r="BH34" s="100"/>
      <c r="BI34" s="99"/>
      <c r="BJ34" s="143"/>
      <c r="BK34" s="143"/>
      <c r="BL34" s="143"/>
      <c r="BM34" s="140"/>
    </row>
    <row r="35" spans="1:65" ht="13.5" customHeight="1" thickBot="1">
      <c r="B35" s="80">
        <v>74</v>
      </c>
      <c r="C35" s="93" t="s">
        <v>122</v>
      </c>
      <c r="D35" s="152">
        <f>'Cental Budget'!D34+'Local Government'!D39</f>
        <v>4119162.43</v>
      </c>
      <c r="E35" s="284">
        <f>D35/D$11*100</f>
        <v>0.10409285429091278</v>
      </c>
      <c r="F35" s="152">
        <f>+IF(ISNUMBER(VLOOKUP($B35,'Cental Budget'!$B$16:$K$76,'Public Expenditure'!F$1,FALSE)),VLOOKUP($B35,'Cental Budget'!$B$16:$K$76,'Public Expenditure'!F$1,FALSE),0)+IF(ISNUMBER(VLOOKUP('Public Expenditure'!$B35,'Local Government'!$B$16:$M$76,'Public Expenditure'!F$1,FALSE)),VLOOKUP('Public Expenditure'!$B35,'Local Government'!$B$16:$M$76,'Public Expenditure'!F$1,FALSE),0)-185257.67</f>
        <v>3712988.7867368944</v>
      </c>
      <c r="G35" s="284">
        <f t="shared" si="2"/>
        <v>9.3828686615205062E-2</v>
      </c>
      <c r="H35" s="205">
        <f t="shared" si="3"/>
        <v>406173.64326310577</v>
      </c>
      <c r="I35" s="290">
        <f t="shared" si="4"/>
        <v>10.939263935134733</v>
      </c>
      <c r="J35" s="152">
        <f>+IF(ISNUMBER(VLOOKUP($B35,'Cental Budget'!$B$16:$K$76,'Public Expenditure'!J$1,FALSE)),VLOOKUP($B35,'Cental Budget'!$B$16:$K$76,'Public Expenditure'!J$1,FALSE),0)+IF(ISNUMBER(VLOOKUP('Public Expenditure'!$B35,'Local Government'!$B$16:$M$76,'Public Expenditure'!J$1,FALSE)),VLOOKUP('Public Expenditure'!$B35,'Local Government'!$B$16:$M$76,'Public Expenditure'!J$1,FALSE),0)-181625.17</f>
        <v>2318732.4900000002</v>
      </c>
      <c r="K35" s="284">
        <f>J35/J$11*100</f>
        <v>6.1455936655181558E-2</v>
      </c>
      <c r="L35" s="205">
        <f t="shared" si="5"/>
        <v>1800429.94</v>
      </c>
      <c r="M35" s="290">
        <f t="shared" si="6"/>
        <v>77.647160582978671</v>
      </c>
      <c r="BH35" s="159"/>
      <c r="BI35" s="159"/>
      <c r="BJ35" s="143"/>
      <c r="BK35" s="143"/>
      <c r="BL35" s="143"/>
      <c r="BM35" s="140"/>
    </row>
    <row r="36" spans="1:65" ht="15" customHeight="1" thickTop="1" thickBot="1">
      <c r="B36" s="102"/>
      <c r="C36" s="176" t="s">
        <v>234</v>
      </c>
      <c r="D36" s="171">
        <f>+D38+D49+D55+SUM(D58:D63)</f>
        <v>407340840.31999999</v>
      </c>
      <c r="E36" s="281">
        <f t="shared" si="0"/>
        <v>10.29366320428586</v>
      </c>
      <c r="F36" s="171">
        <f>+F38+F49+F55+SUM(F58:F63)</f>
        <v>460331312.05269998</v>
      </c>
      <c r="G36" s="281">
        <f t="shared" si="2"/>
        <v>11.632753261212473</v>
      </c>
      <c r="H36" s="171">
        <f t="shared" si="3"/>
        <v>-52990471.73269999</v>
      </c>
      <c r="I36" s="281">
        <f t="shared" si="4"/>
        <v>-11.511376772613175</v>
      </c>
      <c r="J36" s="171">
        <f>+J38+J49+J55+SUM(J58:J63)</f>
        <v>397482075.5</v>
      </c>
      <c r="K36" s="281">
        <f t="shared" si="1"/>
        <v>10.53490791147628</v>
      </c>
      <c r="L36" s="171">
        <f t="shared" si="5"/>
        <v>9858764.8199999928</v>
      </c>
      <c r="M36" s="281">
        <f t="shared" si="6"/>
        <v>2.4803042521096046</v>
      </c>
      <c r="BH36" s="81"/>
      <c r="BI36" s="81"/>
      <c r="BJ36" s="143"/>
      <c r="BK36" s="143"/>
      <c r="BL36" s="143"/>
      <c r="BM36" s="140"/>
    </row>
    <row r="37" spans="1:65" ht="13.5" customHeight="1" thickTop="1" thickBot="1">
      <c r="C37" s="176" t="s">
        <v>125</v>
      </c>
      <c r="D37" s="171">
        <f>+D36-D58</f>
        <v>392323457.00999999</v>
      </c>
      <c r="E37" s="281">
        <f t="shared" si="0"/>
        <v>9.9141680230971385</v>
      </c>
      <c r="F37" s="171">
        <f>+F36-F58</f>
        <v>411551845.20609999</v>
      </c>
      <c r="G37" s="281">
        <f t="shared" si="2"/>
        <v>10.400076953555544</v>
      </c>
      <c r="H37" s="171">
        <f t="shared" si="3"/>
        <v>-19228388.196099997</v>
      </c>
      <c r="I37" s="281">
        <f t="shared" si="4"/>
        <v>-4.672166683269424</v>
      </c>
      <c r="J37" s="171">
        <f>+J36-J58</f>
        <v>389495383.18000001</v>
      </c>
      <c r="K37" s="281">
        <f t="shared" si="1"/>
        <v>10.32322775457196</v>
      </c>
      <c r="L37" s="171">
        <f t="shared" si="5"/>
        <v>2828073.8299999833</v>
      </c>
      <c r="M37" s="281">
        <f t="shared" si="6"/>
        <v>0.72608661158200505</v>
      </c>
      <c r="BH37" s="159"/>
      <c r="BI37" s="159"/>
      <c r="BJ37" s="143"/>
      <c r="BK37" s="143"/>
      <c r="BL37" s="143"/>
      <c r="BM37" s="140"/>
    </row>
    <row r="38" spans="1:65" ht="13.5" customHeight="1" thickTop="1">
      <c r="A38" s="80">
        <v>41</v>
      </c>
      <c r="B38" s="80">
        <v>41</v>
      </c>
      <c r="C38" s="93" t="s">
        <v>62</v>
      </c>
      <c r="D38" s="94">
        <f>+SUM(D39:D48)</f>
        <v>203262373.06</v>
      </c>
      <c r="E38" s="284">
        <f t="shared" si="0"/>
        <v>5.1365200914788236</v>
      </c>
      <c r="F38" s="94">
        <f>+SUM(F39:F48)</f>
        <v>205947062.11409998</v>
      </c>
      <c r="G38" s="284">
        <f t="shared" si="2"/>
        <v>5.2043632395153132</v>
      </c>
      <c r="H38" s="203">
        <f t="shared" si="3"/>
        <v>-2684689.054099977</v>
      </c>
      <c r="I38" s="290">
        <f t="shared" si="4"/>
        <v>-1.3035821082082748</v>
      </c>
      <c r="J38" s="94">
        <f>+SUM(J39:J48)</f>
        <v>181699500.73999998</v>
      </c>
      <c r="K38" s="284">
        <f t="shared" si="1"/>
        <v>4.815783216008481</v>
      </c>
      <c r="L38" s="203">
        <f t="shared" si="5"/>
        <v>21562872.320000023</v>
      </c>
      <c r="M38" s="290">
        <f t="shared" si="6"/>
        <v>11.867326124827969</v>
      </c>
      <c r="BH38" s="159"/>
      <c r="BI38" s="159"/>
      <c r="BJ38" s="143"/>
      <c r="BK38" s="143"/>
      <c r="BL38" s="143"/>
      <c r="BM38" s="140"/>
    </row>
    <row r="39" spans="1:65" ht="13.5" customHeight="1">
      <c r="B39" s="80">
        <v>411</v>
      </c>
      <c r="C39" s="93" t="s">
        <v>63</v>
      </c>
      <c r="D39" s="152">
        <f>'Cental Budget'!D38+'Local Government'!D43</f>
        <v>117694133.85000001</v>
      </c>
      <c r="E39" s="284">
        <f t="shared" si="0"/>
        <v>2.9741770405842516</v>
      </c>
      <c r="F39" s="152">
        <f>+IF(ISNUMBER(VLOOKUP($B39,'Cental Budget'!$B$16:$K$76,'Public Expenditure'!F$1,FALSE)),VLOOKUP($B39,'Cental Budget'!$B$16:$K$76,'Public Expenditure'!F$1,FALSE),0)+IF(ISNUMBER(VLOOKUP('Public Expenditure'!$B39,'Local Government'!$B$16:$M$76,'Public Expenditure'!F$1,FALSE)),VLOOKUP('Public Expenditure'!$B39,'Local Government'!$B$16:$M$76,'Public Expenditure'!F$1,FALSE),0)</f>
        <v>115766047.54499997</v>
      </c>
      <c r="G39" s="284">
        <f t="shared" si="2"/>
        <v>2.9254535415192553</v>
      </c>
      <c r="H39" s="205">
        <f t="shared" si="3"/>
        <v>1928086.305000037</v>
      </c>
      <c r="I39" s="290">
        <f t="shared" si="4"/>
        <v>1.6655024041056379</v>
      </c>
      <c r="J39" s="152">
        <f>+IF(ISNUMBER(VLOOKUP($B39,'Cental Budget'!$B$16:$K$76,'Public Expenditure'!J$1,FALSE)),VLOOKUP($B39,'Cental Budget'!$B$16:$K$76,'Public Expenditure'!J$1,FALSE),0)+IF(ISNUMBER(VLOOKUP('Public Expenditure'!$B39,'Local Government'!$B$16:$M$76,'Public Expenditure'!J$1,FALSE)),VLOOKUP('Public Expenditure'!$B39,'Local Government'!$B$16:$M$76,'Public Expenditure'!J$1,FALSE),0)</f>
        <v>104522292.21999998</v>
      </c>
      <c r="K39" s="284">
        <f t="shared" si="1"/>
        <v>2.7702701357010331</v>
      </c>
      <c r="L39" s="205">
        <f t="shared" si="5"/>
        <v>13171841.630000025</v>
      </c>
      <c r="M39" s="290">
        <f t="shared" si="6"/>
        <v>12.601944858112901</v>
      </c>
      <c r="BH39" s="159"/>
      <c r="BI39" s="159"/>
      <c r="BJ39" s="143"/>
      <c r="BK39" s="143"/>
      <c r="BL39" s="143"/>
      <c r="BM39" s="140"/>
    </row>
    <row r="40" spans="1:65" ht="13.5" customHeight="1">
      <c r="B40" s="80">
        <v>412</v>
      </c>
      <c r="C40" s="93" t="s">
        <v>74</v>
      </c>
      <c r="D40" s="152">
        <f>'Cental Budget'!D39+'Local Government'!D44</f>
        <v>2426111.06</v>
      </c>
      <c r="E40" s="284">
        <f t="shared" si="0"/>
        <v>6.1308780450823816E-2</v>
      </c>
      <c r="F40" s="152">
        <f>+IF(ISNUMBER(VLOOKUP($B40,'Cental Budget'!$B$16:$K$76,'Public Expenditure'!F$1,FALSE)),VLOOKUP($B40,'Cental Budget'!$B$16:$K$76,'Public Expenditure'!F$1,FALSE),0)+IF(ISNUMBER(VLOOKUP('Public Expenditure'!$B40,'Local Government'!$B$16:$M$76,'Public Expenditure'!F$1,FALSE)),VLOOKUP('Public Expenditure'!$B40,'Local Government'!$B$16:$M$76,'Public Expenditure'!F$1,FALSE),0)</f>
        <v>3747036.7425000002</v>
      </c>
      <c r="G40" s="284">
        <f t="shared" si="2"/>
        <v>9.4689091845244114E-2</v>
      </c>
      <c r="H40" s="205">
        <f t="shared" si="3"/>
        <v>-1320925.6825000001</v>
      </c>
      <c r="I40" s="290">
        <f t="shared" si="4"/>
        <v>-35.252541495461458</v>
      </c>
      <c r="J40" s="152">
        <f>+IF(ISNUMBER(VLOOKUP($B40,'Cental Budget'!$B$16:$K$76,'Public Expenditure'!J$1,FALSE)),VLOOKUP($B40,'Cental Budget'!$B$16:$K$76,'Public Expenditure'!J$1,FALSE),0)+IF(ISNUMBER(VLOOKUP('Public Expenditure'!$B40,'Local Government'!$B$16:$M$76,'Public Expenditure'!J$1,FALSE)),VLOOKUP('Public Expenditure'!$B40,'Local Government'!$B$16:$M$76,'Public Expenditure'!J$1,FALSE),0)</f>
        <v>4591208.41</v>
      </c>
      <c r="K40" s="284">
        <f t="shared" si="1"/>
        <v>0.12168588417704744</v>
      </c>
      <c r="L40" s="205">
        <f t="shared" si="5"/>
        <v>-2165097.35</v>
      </c>
      <c r="M40" s="290">
        <f t="shared" si="6"/>
        <v>-47.157461754170292</v>
      </c>
      <c r="BH40" s="159"/>
      <c r="BI40" s="159"/>
      <c r="BJ40" s="143"/>
      <c r="BK40" s="143"/>
      <c r="BL40" s="143"/>
      <c r="BM40" s="140"/>
    </row>
    <row r="41" spans="1:65" ht="13.5" customHeight="1">
      <c r="B41" s="80">
        <v>413</v>
      </c>
      <c r="C41" s="93" t="s">
        <v>428</v>
      </c>
      <c r="D41" s="152">
        <f>'Cental Budget'!D40+'Local Government'!D45</f>
        <v>7476353.6300000008</v>
      </c>
      <c r="E41" s="284">
        <f t="shared" si="0"/>
        <v>0.1889303959870616</v>
      </c>
      <c r="F41" s="152">
        <f>+IF(ISNUMBER(VLOOKUP($B41,'Cental Budget'!$B$16:$K$76,'Public Expenditure'!F$1,FALSE)),VLOOKUP($B41,'Cental Budget'!$B$16:$K$76,'Public Expenditure'!F$1,FALSE),0)+IF(ISNUMBER(VLOOKUP('Public Expenditure'!$B41,'Local Government'!$B$16:$M$76,'Public Expenditure'!F$1,FALSE)),VLOOKUP('Public Expenditure'!$B41,'Local Government'!$B$16:$M$76,'Public Expenditure'!F$1,FALSE),0)</f>
        <v>6919422.5800000001</v>
      </c>
      <c r="G41" s="284">
        <f t="shared" si="2"/>
        <v>0.17485652936419691</v>
      </c>
      <c r="H41" s="205">
        <f t="shared" si="3"/>
        <v>556931.05000000075</v>
      </c>
      <c r="I41" s="290">
        <f t="shared" si="4"/>
        <v>8.0488081709269039</v>
      </c>
      <c r="J41" s="152">
        <f>+IF(ISNUMBER(VLOOKUP($B41,'Cental Budget'!$B$16:$K$76,'Public Expenditure'!J$1,FALSE)),VLOOKUP($B41,'Cental Budget'!$B$16:$K$76,'Public Expenditure'!J$1,FALSE),0)+IF(ISNUMBER(VLOOKUP('Public Expenditure'!$B41,'Local Government'!$B$16:$M$76,'Public Expenditure'!J$1,FALSE)),VLOOKUP('Public Expenditure'!$B41,'Local Government'!$B$16:$M$76,'Public Expenditure'!J$1,FALSE),0)</f>
        <v>7036824.3200000003</v>
      </c>
      <c r="K41" s="284">
        <f t="shared" si="1"/>
        <v>0.18650475271667111</v>
      </c>
      <c r="L41" s="205">
        <f t="shared" si="5"/>
        <v>439529.31000000052</v>
      </c>
      <c r="M41" s="290">
        <f t="shared" si="6"/>
        <v>6.24613163569785</v>
      </c>
      <c r="BH41" s="159"/>
      <c r="BI41" s="159"/>
      <c r="BJ41" s="143"/>
      <c r="BK41" s="143"/>
      <c r="BL41" s="143"/>
      <c r="BM41" s="140"/>
    </row>
    <row r="42" spans="1:65" ht="13.5" customHeight="1">
      <c r="B42" s="80">
        <v>414</v>
      </c>
      <c r="C42" s="93" t="s">
        <v>429</v>
      </c>
      <c r="D42" s="152">
        <f>'Cental Budget'!D41+'Local Government'!D46</f>
        <v>12969632.170000002</v>
      </c>
      <c r="E42" s="284">
        <f t="shared" si="0"/>
        <v>0.32774770469018505</v>
      </c>
      <c r="F42" s="152">
        <f>+IF(ISNUMBER(VLOOKUP($B42,'Cental Budget'!$B$16:$K$76,'Public Expenditure'!F$1,FALSE)),VLOOKUP($B42,'Cental Budget'!$B$16:$K$76,'Public Expenditure'!F$1,FALSE),0)+IF(ISNUMBER(VLOOKUP('Public Expenditure'!$B42,'Local Government'!$B$16:$M$76,'Public Expenditure'!F$1,FALSE)),VLOOKUP('Public Expenditure'!$B42,'Local Government'!$B$16:$M$76,'Public Expenditure'!F$1,FALSE),0)</f>
        <v>11772644.6598</v>
      </c>
      <c r="G42" s="284">
        <f t="shared" si="2"/>
        <v>0.29749935964318208</v>
      </c>
      <c r="H42" s="205">
        <f t="shared" si="3"/>
        <v>1196987.5102000013</v>
      </c>
      <c r="I42" s="290">
        <f t="shared" si="4"/>
        <v>10.167532825375673</v>
      </c>
      <c r="J42" s="152">
        <f>+IF(ISNUMBER(VLOOKUP($B42,'Cental Budget'!$B$16:$K$76,'Public Expenditure'!J$1,FALSE)),VLOOKUP($B42,'Cental Budget'!$B$16:$K$76,'Public Expenditure'!J$1,FALSE),0)+IF(ISNUMBER(VLOOKUP('Public Expenditure'!$B42,'Local Government'!$B$16:$M$76,'Public Expenditure'!J$1,FALSE)),VLOOKUP('Public Expenditure'!$B42,'Local Government'!$B$16:$M$76,'Public Expenditure'!J$1,FALSE),0)</f>
        <v>12058167.5</v>
      </c>
      <c r="K42" s="284">
        <f t="shared" si="1"/>
        <v>0.31959097535117942</v>
      </c>
      <c r="L42" s="205">
        <f t="shared" si="5"/>
        <v>911464.67000000179</v>
      </c>
      <c r="M42" s="290">
        <f t="shared" si="6"/>
        <v>7.5588987298443158</v>
      </c>
      <c r="BH42" s="159"/>
      <c r="BI42" s="159"/>
      <c r="BJ42" s="143"/>
      <c r="BK42" s="143"/>
      <c r="BL42" s="143"/>
      <c r="BM42" s="140"/>
    </row>
    <row r="43" spans="1:65" ht="13.5" customHeight="1">
      <c r="B43" s="80">
        <v>415</v>
      </c>
      <c r="C43" s="93" t="s">
        <v>430</v>
      </c>
      <c r="D43" s="152">
        <f>'Cental Budget'!D42+'Local Government'!D47</f>
        <v>3273097.32</v>
      </c>
      <c r="E43" s="284">
        <f t="shared" si="0"/>
        <v>8.2712456282219737E-2</v>
      </c>
      <c r="F43" s="152">
        <f>+IF(ISNUMBER(VLOOKUP($B43,'Cental Budget'!$B$16:$K$76,'Public Expenditure'!F$1,FALSE)),VLOOKUP($B43,'Cental Budget'!$B$16:$K$76,'Public Expenditure'!F$1,FALSE),0)+IF(ISNUMBER(VLOOKUP('Public Expenditure'!$B43,'Local Government'!$B$16:$M$76,'Public Expenditure'!F$1,FALSE)),VLOOKUP('Public Expenditure'!$B43,'Local Government'!$B$16:$M$76,'Public Expenditure'!F$1,FALSE),0)</f>
        <v>4855635.8681999994</v>
      </c>
      <c r="G43" s="284">
        <f t="shared" si="2"/>
        <v>0.1227038276609724</v>
      </c>
      <c r="H43" s="205">
        <f t="shared" si="3"/>
        <v>-1582538.5481999996</v>
      </c>
      <c r="I43" s="290">
        <f t="shared" si="4"/>
        <v>-32.591787999676598</v>
      </c>
      <c r="J43" s="152">
        <f>+IF(ISNUMBER(VLOOKUP($B43,'Cental Budget'!$B$16:$K$76,'Public Expenditure'!J$1,FALSE)),VLOOKUP($B43,'Cental Budget'!$B$16:$K$76,'Public Expenditure'!J$1,FALSE),0)+IF(ISNUMBER(VLOOKUP('Public Expenditure'!$B43,'Local Government'!$B$16:$M$76,'Public Expenditure'!J$1,FALSE)),VLOOKUP('Public Expenditure'!$B43,'Local Government'!$B$16:$M$76,'Public Expenditure'!J$1,FALSE),0)</f>
        <v>2897615.5900000003</v>
      </c>
      <c r="K43" s="284">
        <f t="shared" si="1"/>
        <v>7.6798716936125111E-2</v>
      </c>
      <c r="L43" s="205">
        <f t="shared" si="5"/>
        <v>375481.72999999952</v>
      </c>
      <c r="M43" s="290">
        <f t="shared" si="6"/>
        <v>12.958300310635735</v>
      </c>
      <c r="BH43" s="159"/>
      <c r="BI43" s="159"/>
      <c r="BJ43" s="143"/>
      <c r="BK43" s="143"/>
      <c r="BL43" s="143"/>
      <c r="BM43" s="140"/>
    </row>
    <row r="44" spans="1:65" ht="13.5" customHeight="1">
      <c r="B44" s="80">
        <v>416</v>
      </c>
      <c r="C44" s="93" t="s">
        <v>79</v>
      </c>
      <c r="D44" s="152">
        <f>'Cental Budget'!D43+'Local Government'!D48</f>
        <v>44579765.509999998</v>
      </c>
      <c r="E44" s="284">
        <f t="shared" si="0"/>
        <v>1.1265482035277468</v>
      </c>
      <c r="F44" s="152">
        <f>+IF(ISNUMBER(VLOOKUP($B44,'Cental Budget'!$B$16:$K$76,'Public Expenditure'!F$1,FALSE)),VLOOKUP($B44,'Cental Budget'!$B$16:$K$76,'Public Expenditure'!F$1,FALSE),0)+IF(ISNUMBER(VLOOKUP('Public Expenditure'!$B44,'Local Government'!$B$16:$M$76,'Public Expenditure'!F$1,FALSE)),VLOOKUP('Public Expenditure'!$B44,'Local Government'!$B$16:$M$76,'Public Expenditure'!F$1,FALSE),0)</f>
        <v>41354039.849399999</v>
      </c>
      <c r="G44" s="284">
        <f t="shared" si="2"/>
        <v>1.0450328477054482</v>
      </c>
      <c r="H44" s="205">
        <f t="shared" si="3"/>
        <v>3225725.6605999991</v>
      </c>
      <c r="I44" s="290">
        <f t="shared" si="4"/>
        <v>7.8002673314317121</v>
      </c>
      <c r="J44" s="152">
        <f>+IF(ISNUMBER(VLOOKUP($B44,'Cental Budget'!$B$16:$K$76,'Public Expenditure'!J$1,FALSE)),VLOOKUP($B44,'Cental Budget'!$B$16:$K$76,'Public Expenditure'!J$1,FALSE),0)+IF(ISNUMBER(VLOOKUP('Public Expenditure'!$B44,'Local Government'!$B$16:$M$76,'Public Expenditure'!J$1,FALSE)),VLOOKUP('Public Expenditure'!$B44,'Local Government'!$B$16:$M$76,'Public Expenditure'!J$1,FALSE),0)</f>
        <v>32302437.109999996</v>
      </c>
      <c r="K44" s="284">
        <f t="shared" si="1"/>
        <v>0.85614728624436776</v>
      </c>
      <c r="L44" s="205">
        <f t="shared" si="5"/>
        <v>12277328.400000002</v>
      </c>
      <c r="M44" s="290">
        <f t="shared" si="6"/>
        <v>38.007436894596594</v>
      </c>
      <c r="BH44" s="159"/>
      <c r="BI44" s="159"/>
      <c r="BJ44" s="143"/>
      <c r="BK44" s="143"/>
      <c r="BL44" s="143"/>
      <c r="BM44" s="140"/>
    </row>
    <row r="45" spans="1:65" ht="13.5" customHeight="1">
      <c r="B45" s="80">
        <v>417</v>
      </c>
      <c r="C45" s="93" t="s">
        <v>81</v>
      </c>
      <c r="D45" s="152">
        <f>'Cental Budget'!D44+'Local Government'!D49</f>
        <v>1860343.09</v>
      </c>
      <c r="E45" s="284">
        <f t="shared" si="0"/>
        <v>4.7011601384817553E-2</v>
      </c>
      <c r="F45" s="152">
        <f>+IF(ISNUMBER(VLOOKUP($B45,'Cental Budget'!$B$16:$K$76,'Public Expenditure'!F$1,FALSE)),VLOOKUP($B45,'Cental Budget'!$B$16:$K$76,'Public Expenditure'!F$1,FALSE),0)+IF(ISNUMBER(VLOOKUP('Public Expenditure'!$B45,'Local Government'!$B$16:$M$76,'Public Expenditure'!F$1,FALSE)),VLOOKUP('Public Expenditure'!$B45,'Local Government'!$B$16:$M$76,'Public Expenditure'!F$1,FALSE),0)</f>
        <v>2392202.2141999998</v>
      </c>
      <c r="G45" s="284">
        <f t="shared" si="2"/>
        <v>6.0451890584251489E-2</v>
      </c>
      <c r="H45" s="205">
        <f t="shared" si="3"/>
        <v>-531859.12419999973</v>
      </c>
      <c r="I45" s="290">
        <f t="shared" si="4"/>
        <v>-22.233033689330654</v>
      </c>
      <c r="J45" s="152">
        <f>+IF(ISNUMBER(VLOOKUP($B45,'Cental Budget'!$B$16:$K$76,'Public Expenditure'!J$1,FALSE)),VLOOKUP($B45,'Cental Budget'!$B$16:$K$76,'Public Expenditure'!J$1,FALSE),0)+IF(ISNUMBER(VLOOKUP('Public Expenditure'!$B45,'Local Government'!$B$16:$M$76,'Public Expenditure'!J$1,FALSE)),VLOOKUP('Public Expenditure'!$B45,'Local Government'!$B$16:$M$76,'Public Expenditure'!J$1,FALSE),0)</f>
        <v>2583680.5999999996</v>
      </c>
      <c r="K45" s="284">
        <f t="shared" si="1"/>
        <v>6.847815001325204E-2</v>
      </c>
      <c r="L45" s="205">
        <f t="shared" si="5"/>
        <v>-723337.50999999954</v>
      </c>
      <c r="M45" s="290">
        <f t="shared" si="6"/>
        <v>-27.996398239008329</v>
      </c>
      <c r="BH45" s="159"/>
      <c r="BI45" s="159"/>
      <c r="BJ45" s="143"/>
      <c r="BK45" s="143"/>
      <c r="BL45" s="143"/>
      <c r="BM45" s="140"/>
    </row>
    <row r="46" spans="1:65" ht="13.5" customHeight="1">
      <c r="B46" s="80">
        <v>418</v>
      </c>
      <c r="C46" s="93" t="s">
        <v>83</v>
      </c>
      <c r="D46" s="152">
        <f>'Cental Budget'!D45+'Local Government'!D50</f>
        <v>3215088.8600000003</v>
      </c>
      <c r="E46" s="284">
        <f t="shared" si="0"/>
        <v>8.1246559688668757E-2</v>
      </c>
      <c r="F46" s="152">
        <f>+IF(ISNUMBER(VLOOKUP($B46,'Cental Budget'!$B$16:$K$76,'Public Expenditure'!F$1,FALSE)),VLOOKUP($B46,'Cental Budget'!$B$16:$K$76,'Public Expenditure'!F$1,FALSE),0)+IF(ISNUMBER(VLOOKUP('Public Expenditure'!$B46,'Local Government'!$B$16:$M$76,'Public Expenditure'!F$1,FALSE)),VLOOKUP('Public Expenditure'!$B46,'Local Government'!$B$16:$M$76,'Public Expenditure'!F$1,FALSE),0)</f>
        <v>5042651.6742000002</v>
      </c>
      <c r="G46" s="284">
        <f t="shared" si="2"/>
        <v>0.12742979061457599</v>
      </c>
      <c r="H46" s="205">
        <f t="shared" si="3"/>
        <v>-1827562.8141999999</v>
      </c>
      <c r="I46" s="290">
        <f t="shared" si="4"/>
        <v>-36.242099043851496</v>
      </c>
      <c r="J46" s="152">
        <f>+IF(ISNUMBER(VLOOKUP($B46,'Cental Budget'!$B$16:$K$76,'Public Expenditure'!J$1,FALSE)),VLOOKUP($B46,'Cental Budget'!$B$16:$K$76,'Public Expenditure'!J$1,FALSE),0)+IF(ISNUMBER(VLOOKUP('Public Expenditure'!$B46,'Local Government'!$B$16:$M$76,'Public Expenditure'!J$1,FALSE)),VLOOKUP('Public Expenditure'!$B46,'Local Government'!$B$16:$M$76,'Public Expenditure'!J$1,FALSE),0)</f>
        <v>3235086.49</v>
      </c>
      <c r="K46" s="284">
        <f t="shared" si="1"/>
        <v>8.5743082162735226E-2</v>
      </c>
      <c r="L46" s="205">
        <f t="shared" si="5"/>
        <v>-19997.629999999888</v>
      </c>
      <c r="M46" s="290">
        <f t="shared" si="6"/>
        <v>-0.61814823380503015</v>
      </c>
      <c r="BH46" s="159"/>
      <c r="BI46" s="159"/>
      <c r="BJ46" s="143"/>
      <c r="BK46" s="143"/>
      <c r="BL46" s="143"/>
      <c r="BM46" s="140"/>
    </row>
    <row r="47" spans="1:65" ht="13.5" customHeight="1">
      <c r="B47" s="80">
        <v>419</v>
      </c>
      <c r="C47" s="93" t="s">
        <v>85</v>
      </c>
      <c r="D47" s="152">
        <f>'Cental Budget'!D46+'Local Government'!D51</f>
        <v>6835821.6699999999</v>
      </c>
      <c r="E47" s="284">
        <f t="shared" si="0"/>
        <v>0.17274390149600727</v>
      </c>
      <c r="F47" s="152">
        <f>+IF(ISNUMBER(VLOOKUP($B47,'Cental Budget'!$B$16:$K$76,'Public Expenditure'!F$1,FALSE)),VLOOKUP($B47,'Cental Budget'!$B$16:$K$76,'Public Expenditure'!F$1,FALSE),0)+IF(ISNUMBER(VLOOKUP('Public Expenditure'!$B47,'Local Government'!$B$16:$M$76,'Public Expenditure'!F$1,FALSE)),VLOOKUP('Public Expenditure'!$B47,'Local Government'!$B$16:$M$76,'Public Expenditure'!F$1,FALSE),0)</f>
        <v>6875996.3207999999</v>
      </c>
      <c r="G47" s="284">
        <f t="shared" si="2"/>
        <v>0.17375913071868998</v>
      </c>
      <c r="H47" s="205">
        <f t="shared" si="3"/>
        <v>-40174.650799999945</v>
      </c>
      <c r="I47" s="290">
        <f t="shared" si="4"/>
        <v>-0.5842738844765023</v>
      </c>
      <c r="J47" s="152">
        <f>+IF(ISNUMBER(VLOOKUP($B47,'Cental Budget'!$B$16:$K$76,'Public Expenditure'!J$1,FALSE)),VLOOKUP($B47,'Cental Budget'!$B$16:$K$76,'Public Expenditure'!J$1,FALSE),0)+IF(ISNUMBER(VLOOKUP('Public Expenditure'!$B47,'Local Government'!$B$16:$M$76,'Public Expenditure'!J$1,FALSE)),VLOOKUP('Public Expenditure'!$B47,'Local Government'!$B$16:$M$76,'Public Expenditure'!J$1,FALSE),0)</f>
        <v>7803967.4200000009</v>
      </c>
      <c r="K47" s="284">
        <f t="shared" si="1"/>
        <v>0.20683719639544132</v>
      </c>
      <c r="L47" s="205">
        <f t="shared" si="5"/>
        <v>-968145.75000000093</v>
      </c>
      <c r="M47" s="290">
        <f t="shared" si="6"/>
        <v>-12.405814861795022</v>
      </c>
      <c r="BH47" s="159"/>
      <c r="BI47" s="159"/>
      <c r="BJ47" s="143"/>
      <c r="BK47" s="143"/>
      <c r="BL47" s="143"/>
      <c r="BM47" s="140"/>
    </row>
    <row r="48" spans="1:65" ht="13.5" customHeight="1">
      <c r="B48" s="80">
        <v>441</v>
      </c>
      <c r="C48" s="93" t="s">
        <v>129</v>
      </c>
      <c r="D48" s="152">
        <f>'Cental Budget'!D47</f>
        <v>2932025.9</v>
      </c>
      <c r="E48" s="284">
        <f t="shared" si="0"/>
        <v>7.409344738704135E-2</v>
      </c>
      <c r="F48" s="152">
        <f>+IF(ISNUMBER(VLOOKUP($B48,'Cental Budget'!$B$16:$K$76,'Public Expenditure'!F$1,FALSE)),VLOOKUP($B48,'Cental Budget'!$B$16:$K$76,'Public Expenditure'!F$1,FALSE),0)+IF(ISNUMBER(VLOOKUP('Public Expenditure'!$B48,'Local Government'!$B$16:$M$76,'Public Expenditure'!F$1,FALSE)),VLOOKUP('Public Expenditure'!$B48,'Local Government'!$B$16:$M$76,'Public Expenditure'!F$1,FALSE),0)</f>
        <v>7221384.6600000001</v>
      </c>
      <c r="G48" s="284">
        <f t="shared" si="2"/>
        <v>0.18248722985949661</v>
      </c>
      <c r="H48" s="205">
        <f>+D48-F48</f>
        <v>-4289358.76</v>
      </c>
      <c r="I48" s="290">
        <f t="shared" si="4"/>
        <v>-59.398009688629436</v>
      </c>
      <c r="J48" s="152">
        <f>+IF(ISNUMBER(VLOOKUP($B48,'Cental Budget'!$B$16:$K$76,'Public Expenditure'!J$1,FALSE)),VLOOKUP($B48,'Cental Budget'!$B$16:$K$76,'Public Expenditure'!J$1,FALSE),0)+IF(ISNUMBER(VLOOKUP('Public Expenditure'!$B48,'Local Government'!$B$16:$M$76,'Public Expenditure'!J$1,FALSE)),VLOOKUP('Public Expenditure'!$B48,'Local Government'!$B$16:$M$76,'Public Expenditure'!J$1,FALSE),0)</f>
        <v>4668221.08</v>
      </c>
      <c r="K48" s="284">
        <f t="shared" si="1"/>
        <v>0.12372703631062815</v>
      </c>
      <c r="L48" s="205">
        <f t="shared" si="5"/>
        <v>-1736195.1800000002</v>
      </c>
      <c r="M48" s="290">
        <f t="shared" si="6"/>
        <v>-37.191794266950183</v>
      </c>
      <c r="BH48" s="159"/>
      <c r="BI48" s="159"/>
      <c r="BJ48" s="143"/>
      <c r="BK48" s="143"/>
      <c r="BL48" s="143"/>
      <c r="BM48" s="140"/>
    </row>
    <row r="49" spans="1:65" ht="13.5" customHeight="1">
      <c r="A49" s="80">
        <v>42</v>
      </c>
      <c r="B49" s="80">
        <v>42</v>
      </c>
      <c r="C49" s="93" t="s">
        <v>86</v>
      </c>
      <c r="D49" s="94">
        <f>'Cental Budget'!D48+'Local Government'!D52</f>
        <v>136740876.13999999</v>
      </c>
      <c r="E49" s="284">
        <f t="shared" si="0"/>
        <v>3.4554957075710093</v>
      </c>
      <c r="F49" s="94">
        <f>+IF(ISNUMBER(VLOOKUP($B49,'Cental Budget'!$B$16:$K$76,'Public Expenditure'!F$1,FALSE)),VLOOKUP($B49,'Cental Budget'!$B$16:$K$76,'Public Expenditure'!F$1,FALSE),0)+IF(ISNUMBER(VLOOKUP('Public Expenditure'!$B49,'Local Government'!$B$16:$M$76,'Public Expenditure'!F$1,FALSE)),VLOOKUP('Public Expenditure'!$B49,'Local Government'!$B$16:$M$76,'Public Expenditure'!F$1,FALSE),0)</f>
        <v>142729526.25</v>
      </c>
      <c r="G49" s="284">
        <f t="shared" si="2"/>
        <v>3.6068312506317599</v>
      </c>
      <c r="H49" s="203">
        <f t="shared" si="3"/>
        <v>-5988650.1100000143</v>
      </c>
      <c r="I49" s="290">
        <f t="shared" si="4"/>
        <v>-4.1958032562306045</v>
      </c>
      <c r="J49" s="94">
        <f>+IF(ISNUMBER(VLOOKUP($B49,'Cental Budget'!$B$16:$K$76,'Public Expenditure'!J$1,FALSE)),VLOOKUP($B49,'Cental Budget'!$B$16:$K$76,'Public Expenditure'!J$1,FALSE),0)+IF(ISNUMBER(VLOOKUP('Public Expenditure'!$B49,'Local Government'!$B$16:$M$76,'Public Expenditure'!J$1,FALSE)),VLOOKUP('Public Expenditure'!$B49,'Local Government'!$B$16:$M$76,'Public Expenditure'!J$1,FALSE),0)</f>
        <v>129274435.21999998</v>
      </c>
      <c r="K49" s="284">
        <f t="shared" si="1"/>
        <v>3.4263036103896098</v>
      </c>
      <c r="L49" s="203">
        <f t="shared" si="5"/>
        <v>7466440.9200000018</v>
      </c>
      <c r="M49" s="290">
        <f t="shared" si="6"/>
        <v>5.7756515488105435</v>
      </c>
      <c r="BH49" s="159"/>
      <c r="BI49" s="159"/>
      <c r="BJ49" s="143"/>
      <c r="BK49" s="143"/>
      <c r="BL49" s="143"/>
      <c r="BM49" s="140"/>
    </row>
    <row r="50" spans="1:65" ht="13.5" customHeight="1">
      <c r="B50" s="80">
        <v>421</v>
      </c>
      <c r="C50" s="97" t="s">
        <v>88</v>
      </c>
      <c r="D50" s="154">
        <f>'Cental Budget'!D49+'Local Government'!D53</f>
        <v>29813001.75</v>
      </c>
      <c r="E50" s="283">
        <f t="shared" si="0"/>
        <v>0.75338627691296878</v>
      </c>
      <c r="F50" s="154">
        <f>+IF(ISNUMBER(VLOOKUP($B50,'Cental Budget'!$B$16:$K$76,'Public Expenditure'!F$1,FALSE)),VLOOKUP($B50,'Cental Budget'!$B$16:$K$76,'Public Expenditure'!F$1,FALSE),0)+IF(ISNUMBER(VLOOKUP('Public Expenditure'!$B50,'Local Government'!$B$16:$M$76,'Public Expenditure'!F$1,FALSE)),VLOOKUP('Public Expenditure'!$B50,'Local Government'!$B$16:$M$76,'Public Expenditure'!F$1,FALSE),0)</f>
        <v>28711372.054400001</v>
      </c>
      <c r="G50" s="283">
        <f t="shared" si="2"/>
        <v>0.72554766133629844</v>
      </c>
      <c r="H50" s="206">
        <f t="shared" si="3"/>
        <v>1101629.6955999993</v>
      </c>
      <c r="I50" s="289">
        <f t="shared" si="4"/>
        <v>3.8369106621331923</v>
      </c>
      <c r="J50" s="154">
        <f>+IF(ISNUMBER(VLOOKUP($B50,'Cental Budget'!$B$16:$K$76,'Public Expenditure'!J$1,FALSE)),VLOOKUP($B50,'Cental Budget'!$B$16:$K$76,'Public Expenditure'!J$1,FALSE),0)+IF(ISNUMBER(VLOOKUP('Public Expenditure'!$B50,'Local Government'!$B$16:$M$76,'Public Expenditure'!J$1,FALSE)),VLOOKUP('Public Expenditure'!$B50,'Local Government'!$B$16:$M$76,'Public Expenditure'!J$1,FALSE),0)</f>
        <v>20844091.219999999</v>
      </c>
      <c r="K50" s="283">
        <f t="shared" si="1"/>
        <v>0.55245404770739459</v>
      </c>
      <c r="L50" s="206">
        <f t="shared" si="5"/>
        <v>8968910.5300000012</v>
      </c>
      <c r="M50" s="289">
        <f t="shared" si="6"/>
        <v>43.028551522525902</v>
      </c>
      <c r="BH50" s="159"/>
      <c r="BI50" s="159"/>
      <c r="BJ50" s="143"/>
      <c r="BK50" s="143"/>
      <c r="BL50" s="143"/>
      <c r="BM50" s="140"/>
    </row>
    <row r="51" spans="1:65" ht="13.5" customHeight="1">
      <c r="B51" s="80">
        <v>422</v>
      </c>
      <c r="C51" s="97" t="s">
        <v>90</v>
      </c>
      <c r="D51" s="154">
        <f>'Cental Budget'!D50</f>
        <v>2264022.77</v>
      </c>
      <c r="E51" s="283">
        <f t="shared" si="0"/>
        <v>5.7212745628221977E-2</v>
      </c>
      <c r="F51" s="154">
        <f>+IF(ISNUMBER(VLOOKUP($B51,'Cental Budget'!$B$16:$K$76,'Public Expenditure'!F$1,FALSE)),VLOOKUP($B51,'Cental Budget'!$B$16:$K$76,'Public Expenditure'!F$1,FALSE),0)+IF(ISNUMBER(VLOOKUP('Public Expenditure'!$B51,'Local Government'!$B$16:$M$76,'Public Expenditure'!F$1,FALSE)),VLOOKUP('Public Expenditure'!$B51,'Local Government'!$B$16:$M$76,'Public Expenditure'!F$1,FALSE),0)</f>
        <v>5149120</v>
      </c>
      <c r="G51" s="283">
        <f t="shared" si="2"/>
        <v>0.13012028707166681</v>
      </c>
      <c r="H51" s="206">
        <f t="shared" si="3"/>
        <v>-2885097.23</v>
      </c>
      <c r="I51" s="289">
        <f t="shared" si="4"/>
        <v>-56.030879645453979</v>
      </c>
      <c r="J51" s="154">
        <f>+IF(ISNUMBER(VLOOKUP($B51,'Cental Budget'!$B$16:$K$76,'Public Expenditure'!J$1,FALSE)),VLOOKUP($B51,'Cental Budget'!$B$16:$K$76,'Public Expenditure'!J$1,FALSE),0)+IF(ISNUMBER(VLOOKUP('Public Expenditure'!$B51,'Local Government'!$B$16:$M$76,'Public Expenditure'!J$1,FALSE)),VLOOKUP('Public Expenditure'!$B51,'Local Government'!$B$16:$M$76,'Public Expenditure'!J$1,FALSE),0)</f>
        <v>5960124.3599999994</v>
      </c>
      <c r="K51" s="283">
        <f t="shared" si="1"/>
        <v>0.15796778054598462</v>
      </c>
      <c r="L51" s="206">
        <f t="shared" si="5"/>
        <v>-3696101.5899999994</v>
      </c>
      <c r="M51" s="289">
        <f t="shared" si="6"/>
        <v>-62.013833382496728</v>
      </c>
      <c r="BH51" s="159"/>
      <c r="BI51" s="159"/>
      <c r="BJ51" s="143"/>
      <c r="BK51" s="143"/>
      <c r="BL51" s="143"/>
      <c r="BM51" s="140"/>
    </row>
    <row r="52" spans="1:65" ht="13.5" customHeight="1">
      <c r="B52" s="80">
        <v>423</v>
      </c>
      <c r="C52" s="97" t="s">
        <v>92</v>
      </c>
      <c r="D52" s="154">
        <f>+'Cental Budget'!D51</f>
        <v>99398781.730000004</v>
      </c>
      <c r="E52" s="283">
        <f t="shared" si="0"/>
        <v>2.5118462986455072</v>
      </c>
      <c r="F52" s="154">
        <f>+IF(ISNUMBER(VLOOKUP($B52,'Cental Budget'!$B$16:$K$76,'Public Expenditure'!F$1,FALSE)),VLOOKUP($B52,'Cental Budget'!$B$16:$K$76,'Public Expenditure'!F$1,FALSE),0)+IF(ISNUMBER(VLOOKUP('Public Expenditure'!$B52,'Local Government'!$B$16:$M$76,'Public Expenditure'!F$1,FALSE)),VLOOKUP('Public Expenditure'!$B52,'Local Government'!$B$16:$M$76,'Public Expenditure'!F$1,FALSE),0)</f>
        <v>102787500</v>
      </c>
      <c r="G52" s="283">
        <f t="shared" si="2"/>
        <v>2.5974805417972302</v>
      </c>
      <c r="H52" s="206">
        <f t="shared" si="3"/>
        <v>-3388718.2699999958</v>
      </c>
      <c r="I52" s="289">
        <f t="shared" si="4"/>
        <v>-3.2968194284324426</v>
      </c>
      <c r="J52" s="154">
        <f>+IF(ISNUMBER(VLOOKUP($B52,'Cental Budget'!$B$16:$K$76,'Public Expenditure'!J$1,FALSE)),VLOOKUP($B52,'Cental Budget'!$B$16:$K$76,'Public Expenditure'!J$1,FALSE),0)+IF(ISNUMBER(VLOOKUP('Public Expenditure'!$B52,'Local Government'!$B$16:$M$76,'Public Expenditure'!J$1,FALSE)),VLOOKUP('Public Expenditure'!$B52,'Local Government'!$B$16:$M$76,'Public Expenditure'!J$1,FALSE),0)</f>
        <v>97277018.590000004</v>
      </c>
      <c r="K52" s="283">
        <f t="shared" si="1"/>
        <v>2.5782406199310897</v>
      </c>
      <c r="L52" s="206">
        <f t="shared" si="5"/>
        <v>2121763.1400000006</v>
      </c>
      <c r="M52" s="289">
        <f t="shared" si="6"/>
        <v>2.1811556015534705</v>
      </c>
      <c r="BH52" s="159"/>
      <c r="BI52" s="159"/>
      <c r="BJ52" s="143"/>
      <c r="BK52" s="143"/>
      <c r="BL52" s="143"/>
      <c r="BM52" s="140"/>
    </row>
    <row r="53" spans="1:65" ht="13.5" customHeight="1">
      <c r="B53" s="80">
        <v>424</v>
      </c>
      <c r="C53" s="97" t="s">
        <v>94</v>
      </c>
      <c r="D53" s="154">
        <f>+'Cental Budget'!D52</f>
        <v>3430865.82</v>
      </c>
      <c r="E53" s="283">
        <f t="shared" si="0"/>
        <v>8.6699328312948548E-2</v>
      </c>
      <c r="F53" s="154">
        <f>+IF(ISNUMBER(VLOOKUP($B53,'Cental Budget'!$B$16:$K$76,'Public Expenditure'!F$1,FALSE)),VLOOKUP($B53,'Cental Budget'!$B$16:$K$76,'Public Expenditure'!F$1,FALSE),0)+IF(ISNUMBER(VLOOKUP('Public Expenditure'!$B53,'Local Government'!$B$16:$M$76,'Public Expenditure'!F$1,FALSE)),VLOOKUP('Public Expenditure'!$B53,'Local Government'!$B$16:$M$76,'Public Expenditure'!F$1,FALSE),0)</f>
        <v>3982750</v>
      </c>
      <c r="G53" s="283">
        <f t="shared" si="2"/>
        <v>0.10064565854644698</v>
      </c>
      <c r="H53" s="206">
        <f t="shared" si="3"/>
        <v>-551884.18000000017</v>
      </c>
      <c r="I53" s="289">
        <f t="shared" si="4"/>
        <v>-13.856862218316493</v>
      </c>
      <c r="J53" s="154">
        <f>+IF(ISNUMBER(VLOOKUP($B53,'Cental Budget'!$B$16:$K$76,'Public Expenditure'!J$1,FALSE)),VLOOKUP($B53,'Cental Budget'!$B$16:$K$76,'Public Expenditure'!J$1,FALSE),0)+IF(ISNUMBER(VLOOKUP('Public Expenditure'!$B53,'Local Government'!$B$16:$M$76,'Public Expenditure'!J$1,FALSE)),VLOOKUP('Public Expenditure'!$B53,'Local Government'!$B$16:$M$76,'Public Expenditure'!J$1,FALSE),0)</f>
        <v>3553912.0699999989</v>
      </c>
      <c r="K53" s="283">
        <f t="shared" si="1"/>
        <v>9.4193269811820801E-2</v>
      </c>
      <c r="L53" s="206">
        <f t="shared" si="5"/>
        <v>-123046.24999999907</v>
      </c>
      <c r="M53" s="289">
        <f t="shared" si="6"/>
        <v>-3.4622761502368604</v>
      </c>
      <c r="BH53" s="159"/>
      <c r="BI53" s="159"/>
      <c r="BJ53" s="143"/>
      <c r="BK53" s="143"/>
      <c r="BL53" s="143"/>
      <c r="BM53" s="140"/>
    </row>
    <row r="54" spans="1:65" ht="13.5" customHeight="1">
      <c r="B54" s="80">
        <v>425</v>
      </c>
      <c r="C54" s="97" t="s">
        <v>431</v>
      </c>
      <c r="D54" s="154">
        <f>+'Cental Budget'!D53</f>
        <v>1834204.0699999998</v>
      </c>
      <c r="E54" s="283">
        <f t="shared" si="0"/>
        <v>4.6351058071363582E-2</v>
      </c>
      <c r="F54" s="154">
        <f>+IF(ISNUMBER(VLOOKUP($B54,'Cental Budget'!$B$16:$K$76,'Public Expenditure'!F$1,FALSE)),VLOOKUP($B54,'Cental Budget'!$B$16:$K$76,'Public Expenditure'!F$1,FALSE),0)+IF(ISNUMBER(VLOOKUP('Public Expenditure'!$B54,'Local Government'!$B$16:$M$76,'Public Expenditure'!F$1,FALSE)),VLOOKUP('Public Expenditure'!$B54,'Local Government'!$B$16:$M$76,'Public Expenditure'!F$1,FALSE),0)</f>
        <v>2131250</v>
      </c>
      <c r="G54" s="283">
        <f t="shared" si="2"/>
        <v>5.3857525523097138E-2</v>
      </c>
      <c r="H54" s="206">
        <f t="shared" si="3"/>
        <v>-297045.93000000017</v>
      </c>
      <c r="I54" s="289">
        <f t="shared" si="4"/>
        <v>-13.937638944281531</v>
      </c>
      <c r="J54" s="154">
        <f>+IF(ISNUMBER(VLOOKUP($B54,'Cental Budget'!$B$16:$K$76,'Public Expenditure'!J$1,FALSE)),VLOOKUP($B54,'Cental Budget'!$B$16:$K$76,'Public Expenditure'!J$1,FALSE),0)+IF(ISNUMBER(VLOOKUP('Public Expenditure'!$B54,'Local Government'!$B$16:$M$76,'Public Expenditure'!J$1,FALSE)),VLOOKUP('Public Expenditure'!$B54,'Local Government'!$B$16:$M$76,'Public Expenditure'!J$1,FALSE),0)</f>
        <v>2090878.0499999998</v>
      </c>
      <c r="K54" s="283">
        <f t="shared" si="1"/>
        <v>5.5416857937980388E-2</v>
      </c>
      <c r="L54" s="206">
        <f t="shared" si="5"/>
        <v>-256673.97999999998</v>
      </c>
      <c r="M54" s="289">
        <f t="shared" si="6"/>
        <v>-12.27589433061388</v>
      </c>
      <c r="BH54" s="159"/>
      <c r="BI54" s="159"/>
      <c r="BJ54" s="143"/>
      <c r="BK54" s="143"/>
      <c r="BL54" s="143"/>
      <c r="BM54" s="140"/>
    </row>
    <row r="55" spans="1:65" ht="13.5" customHeight="1">
      <c r="A55" s="80">
        <v>43</v>
      </c>
      <c r="B55" s="80">
        <v>43</v>
      </c>
      <c r="C55" s="93" t="s">
        <v>432</v>
      </c>
      <c r="D55" s="94">
        <f>+SUM(D56:D57)</f>
        <v>33430249.350000001</v>
      </c>
      <c r="E55" s="284">
        <f t="shared" si="0"/>
        <v>0.84479554609319729</v>
      </c>
      <c r="F55" s="94">
        <f>+SUM(F56:F57)</f>
        <v>46471032.018399999</v>
      </c>
      <c r="G55" s="284">
        <f t="shared" si="2"/>
        <v>1.1743412518548468</v>
      </c>
      <c r="H55" s="203">
        <f t="shared" si="3"/>
        <v>-13040782.668399997</v>
      </c>
      <c r="I55" s="290">
        <f t="shared" si="4"/>
        <v>-28.06217572968157</v>
      </c>
      <c r="J55" s="94">
        <f>+SUM(J56:J57)</f>
        <v>41658201.119999997</v>
      </c>
      <c r="K55" s="284">
        <f t="shared" si="1"/>
        <v>1.1041134672674264</v>
      </c>
      <c r="L55" s="203">
        <f t="shared" si="5"/>
        <v>-8227951.7699999958</v>
      </c>
      <c r="M55" s="290">
        <f t="shared" si="6"/>
        <v>-19.751097140029344</v>
      </c>
      <c r="BH55" s="159"/>
      <c r="BI55" s="159"/>
      <c r="BJ55" s="143"/>
      <c r="BK55" s="143"/>
      <c r="BL55" s="143"/>
      <c r="BM55" s="140"/>
    </row>
    <row r="56" spans="1:65" ht="13.5" customHeight="1">
      <c r="A56" s="80">
        <v>999</v>
      </c>
      <c r="B56" s="80">
        <v>431</v>
      </c>
      <c r="C56" s="97" t="s">
        <v>432</v>
      </c>
      <c r="D56" s="154">
        <f>'Cental Budget'!D55+'Local Government'!D56-'Local Government'!D76</f>
        <v>29418989.990000002</v>
      </c>
      <c r="E56" s="283">
        <f t="shared" si="0"/>
        <v>0.74342944480946127</v>
      </c>
      <c r="F56" s="154">
        <f>'Cental Budget'!F55+'Local Government'!F56-'Local Government'!F76</f>
        <v>43577490.847000003</v>
      </c>
      <c r="G56" s="283">
        <f t="shared" si="2"/>
        <v>1.1012203286920046</v>
      </c>
      <c r="H56" s="206">
        <f t="shared" si="3"/>
        <v>-14158500.857000001</v>
      </c>
      <c r="I56" s="289">
        <f t="shared" si="4"/>
        <v>-32.49039947414667</v>
      </c>
      <c r="J56" s="154">
        <f>'Cental Budget'!J55+'Local Government'!J56-'Local Government'!J76</f>
        <v>37828632.439999998</v>
      </c>
      <c r="K56" s="283">
        <f t="shared" si="1"/>
        <v>1.0026141648555527</v>
      </c>
      <c r="L56" s="206">
        <f t="shared" si="5"/>
        <v>-8409642.4499999955</v>
      </c>
      <c r="M56" s="289">
        <f t="shared" si="6"/>
        <v>-22.230892071867871</v>
      </c>
      <c r="BH56" s="159"/>
      <c r="BI56" s="159"/>
      <c r="BJ56" s="143"/>
      <c r="BK56" s="143"/>
      <c r="BL56" s="143"/>
      <c r="BM56" s="140"/>
    </row>
    <row r="57" spans="1:65" ht="13.5" customHeight="1" thickBot="1">
      <c r="A57" s="80" t="s">
        <v>427</v>
      </c>
      <c r="B57" s="80">
        <v>432</v>
      </c>
      <c r="C57" s="97" t="s">
        <v>433</v>
      </c>
      <c r="D57" s="154">
        <f>'Cental Budget'!D56+'Local Government'!D57</f>
        <v>4011259.36</v>
      </c>
      <c r="E57" s="283">
        <f t="shared" si="0"/>
        <v>0.10136610128373598</v>
      </c>
      <c r="F57" s="154">
        <f>+IF(ISNUMBER(VLOOKUP($B57,'Cental Budget'!$B$16:$K$76,'Public Expenditure'!F$1,FALSE)),VLOOKUP($B57,'Cental Budget'!$B$16:$K$76,'Public Expenditure'!F$1,FALSE),0)+IF(ISNUMBER(VLOOKUP('Public Expenditure'!$B57,'Local Government'!$B$16:$M$76,'Public Expenditure'!F$1,FALSE)),VLOOKUP('Public Expenditure'!$B57,'Local Government'!$B$16:$M$76,'Public Expenditure'!F$1,FALSE),0)</f>
        <v>2893541.1713999994</v>
      </c>
      <c r="G57" s="283">
        <f t="shared" si="2"/>
        <v>7.3120923162842411E-2</v>
      </c>
      <c r="H57" s="206">
        <f t="shared" si="3"/>
        <v>1117718.1886000005</v>
      </c>
      <c r="I57" s="289">
        <f t="shared" si="4"/>
        <v>38.628038185446258</v>
      </c>
      <c r="J57" s="154">
        <f>+IF(ISNUMBER(VLOOKUP($B57,'Cental Budget'!$B$16:$K$76,'Public Expenditure'!J$1,FALSE)),VLOOKUP($B57,'Cental Budget'!$B$16:$K$76,'Public Expenditure'!J$1,FALSE),0)+IF(ISNUMBER(VLOOKUP('Public Expenditure'!$B57,'Local Government'!$B$16:$M$76,'Public Expenditure'!J$1,FALSE)),VLOOKUP('Public Expenditure'!$B57,'Local Government'!$B$16:$M$76,'Public Expenditure'!J$1,FALSE),0)</f>
        <v>3829568.68</v>
      </c>
      <c r="K57" s="283">
        <f t="shared" si="1"/>
        <v>0.10149930241187385</v>
      </c>
      <c r="L57" s="206">
        <f t="shared" si="5"/>
        <v>181690.6799999997</v>
      </c>
      <c r="M57" s="289">
        <f t="shared" si="6"/>
        <v>4.7444162824101568</v>
      </c>
      <c r="BH57" s="159"/>
      <c r="BI57" s="159"/>
      <c r="BJ57" s="143"/>
      <c r="BK57" s="143"/>
      <c r="BL57" s="143"/>
      <c r="BM57" s="140"/>
    </row>
    <row r="58" spans="1:65" ht="13.5" customHeight="1" thickTop="1" thickBot="1">
      <c r="B58" s="80">
        <v>44</v>
      </c>
      <c r="C58" s="176" t="s">
        <v>130</v>
      </c>
      <c r="D58" s="175">
        <f>'Cental Budget'!D57+'Local Government'!D58</f>
        <v>15017383.310000001</v>
      </c>
      <c r="E58" s="281">
        <f t="shared" si="0"/>
        <v>0.37949518118871933</v>
      </c>
      <c r="F58" s="175">
        <f>+IF(ISNUMBER(VLOOKUP($B58,'Cental Budget'!$B$16:$K$76,'Public Expenditure'!F$1,FALSE)),VLOOKUP($B58,'Cental Budget'!$B$16:$K$76,'Public Expenditure'!F$1,FALSE),0)+IF(ISNUMBER(VLOOKUP('Public Expenditure'!$B58,'Local Government'!$B$16:$M$76,'Public Expenditure'!F$1,FALSE)),VLOOKUP('Public Expenditure'!$B58,'Local Government'!$B$16:$M$76,'Public Expenditure'!F$1,FALSE),0)</f>
        <v>48779466.846599996</v>
      </c>
      <c r="G58" s="281">
        <f t="shared" si="2"/>
        <v>1.2326763076569289</v>
      </c>
      <c r="H58" s="175">
        <f t="shared" si="3"/>
        <v>-33762083.536599994</v>
      </c>
      <c r="I58" s="281">
        <f t="shared" si="4"/>
        <v>-69.213719868595206</v>
      </c>
      <c r="J58" s="175">
        <f>+IF(ISNUMBER(VLOOKUP($B58,'Cental Budget'!$B$16:$K$76,'Public Expenditure'!J$1,FALSE)),VLOOKUP($B58,'Cental Budget'!$B$16:$K$76,'Public Expenditure'!J$1,FALSE),0)+IF(ISNUMBER(VLOOKUP('Public Expenditure'!$B58,'Local Government'!$B$16:$M$76,'Public Expenditure'!J$1,FALSE)),VLOOKUP('Public Expenditure'!$B58,'Local Government'!$B$16:$M$76,'Public Expenditure'!J$1,FALSE),0)</f>
        <v>7986692.3199999984</v>
      </c>
      <c r="K58" s="281">
        <f t="shared" si="1"/>
        <v>0.21168015690432013</v>
      </c>
      <c r="L58" s="175">
        <f t="shared" si="5"/>
        <v>7030690.9900000021</v>
      </c>
      <c r="M58" s="281">
        <f t="shared" si="6"/>
        <v>88.030071878366812</v>
      </c>
      <c r="BH58" s="159"/>
      <c r="BI58" s="159"/>
      <c r="BJ58" s="143"/>
      <c r="BK58" s="143"/>
      <c r="BL58" s="143"/>
      <c r="BM58" s="140"/>
    </row>
    <row r="59" spans="1:65" ht="13.5" customHeight="1" thickTop="1">
      <c r="B59" s="80">
        <v>451</v>
      </c>
      <c r="C59" s="93" t="s">
        <v>110</v>
      </c>
      <c r="D59" s="152">
        <f>'Cental Budget'!D58+'Local Government'!D59</f>
        <v>440871.94</v>
      </c>
      <c r="E59" s="284">
        <f t="shared" si="0"/>
        <v>1.1141007277873245E-2</v>
      </c>
      <c r="F59" s="152">
        <f>+IF(ISNUMBER(VLOOKUP($B59,'Cental Budget'!$B$16:$K$76,'Public Expenditure'!F$1,FALSE)),VLOOKUP($B59,'Cental Budget'!$B$16:$K$76,'Public Expenditure'!F$1,FALSE),0)+IF(ISNUMBER(VLOOKUP('Public Expenditure'!$B59,'Local Government'!$B$16:$M$76,'Public Expenditure'!F$1,FALSE)),VLOOKUP('Public Expenditure'!$B59,'Local Government'!$B$16:$M$76,'Public Expenditure'!F$1,FALSE),0)</f>
        <v>857132.96380000003</v>
      </c>
      <c r="G59" s="284">
        <f t="shared" si="2"/>
        <v>2.1660087026180126E-2</v>
      </c>
      <c r="H59" s="205">
        <f t="shared" si="3"/>
        <v>-416261.02380000002</v>
      </c>
      <c r="I59" s="290">
        <f t="shared" si="4"/>
        <v>-48.564346651020728</v>
      </c>
      <c r="J59" s="152">
        <f>+IF(ISNUMBER(VLOOKUP($B59,'Cental Budget'!$B$16:$K$76,'Public Expenditure'!J$1,FALSE)),VLOOKUP($B59,'Cental Budget'!$B$16:$K$76,'Public Expenditure'!J$1,FALSE),0)+IF(ISNUMBER(VLOOKUP('Public Expenditure'!$B59,'Local Government'!$B$16:$M$76,'Public Expenditure'!J$1,FALSE)),VLOOKUP('Public Expenditure'!$B59,'Local Government'!$B$16:$M$76,'Public Expenditure'!J$1,FALSE),0)</f>
        <v>681897.59</v>
      </c>
      <c r="K59" s="284">
        <f t="shared" si="1"/>
        <v>1.8073087463556851E-2</v>
      </c>
      <c r="L59" s="205">
        <f t="shared" si="5"/>
        <v>-241025.64999999997</v>
      </c>
      <c r="M59" s="290">
        <f t="shared" si="6"/>
        <v>-35.346312046652045</v>
      </c>
      <c r="BH59" s="159"/>
      <c r="BI59" s="159"/>
      <c r="BJ59" s="143"/>
      <c r="BK59" s="143"/>
      <c r="BL59" s="143"/>
      <c r="BM59" s="140"/>
    </row>
    <row r="60" spans="1:65" ht="13.5" customHeight="1" thickBot="1">
      <c r="B60" s="80">
        <v>47</v>
      </c>
      <c r="C60" s="93" t="s">
        <v>117</v>
      </c>
      <c r="D60" s="152">
        <f>'Cental Budget'!D59+'Local Government'!D60</f>
        <v>880463.24</v>
      </c>
      <c r="E60" s="284">
        <f t="shared" si="0"/>
        <v>2.2249652279389465E-2</v>
      </c>
      <c r="F60" s="152">
        <f>+IF(ISNUMBER(VLOOKUP($B60,'Cental Budget'!$B$16:$K$76,'Public Expenditure'!F$1,FALSE)),VLOOKUP($B60,'Cental Budget'!$B$16:$K$76,'Public Expenditure'!F$1,FALSE),0)+IF(ISNUMBER(VLOOKUP('Public Expenditure'!$B60,'Local Government'!$B$16:$M$76,'Public Expenditure'!F$1,FALSE)),VLOOKUP('Public Expenditure'!$B60,'Local Government'!$B$16:$M$76,'Public Expenditure'!F$1,FALSE),0)</f>
        <v>3911122.7834000001</v>
      </c>
      <c r="G60" s="284">
        <f t="shared" si="2"/>
        <v>9.883561061861923E-2</v>
      </c>
      <c r="H60" s="205">
        <f t="shared" si="3"/>
        <v>-3030659.5433999998</v>
      </c>
      <c r="I60" s="290">
        <f t="shared" si="4"/>
        <v>-77.488222979422815</v>
      </c>
      <c r="J60" s="152">
        <f>+IF(ISNUMBER(VLOOKUP($B60,'Cental Budget'!$B$16:$K$76,'Public Expenditure'!J$1,FALSE)),VLOOKUP($B60,'Cental Budget'!$B$16:$K$76,'Public Expenditure'!J$1,FALSE),0)+IF(ISNUMBER(VLOOKUP('Public Expenditure'!$B60,'Local Government'!$B$16:$M$76,'Public Expenditure'!J$1,FALSE)),VLOOKUP('Public Expenditure'!$B60,'Local Government'!$B$16:$M$76,'Public Expenditure'!J$1,FALSE),0)</f>
        <v>4966241.4099999992</v>
      </c>
      <c r="K60" s="284">
        <f t="shared" si="1"/>
        <v>0.1316257993639014</v>
      </c>
      <c r="L60" s="205">
        <f t="shared" si="5"/>
        <v>-4085778.169999999</v>
      </c>
      <c r="M60" s="290">
        <f t="shared" si="6"/>
        <v>-82.271034222639599</v>
      </c>
      <c r="BH60" s="159"/>
      <c r="BI60" s="159"/>
      <c r="BJ60" s="143"/>
      <c r="BK60" s="143"/>
      <c r="BL60" s="143"/>
      <c r="BM60" s="140"/>
    </row>
    <row r="61" spans="1:65" ht="13.5" customHeight="1" thickTop="1" thickBot="1">
      <c r="B61" s="80">
        <v>462</v>
      </c>
      <c r="C61" s="146" t="s">
        <v>112</v>
      </c>
      <c r="D61" s="161">
        <f>'Cental Budget'!D60+'Local Government'!D61</f>
        <v>0</v>
      </c>
      <c r="E61" s="285">
        <f t="shared" si="0"/>
        <v>0</v>
      </c>
      <c r="F61" s="161">
        <f>+IF(ISNUMBER(VLOOKUP($B61,'Cental Budget'!$B$16:$K$76,'Public Expenditure'!F$1,FALSE)),VLOOKUP($B61,'Cental Budget'!$B$16:$K$76,'Public Expenditure'!F$1,FALSE),0)+IF(ISNUMBER(VLOOKUP('Public Expenditure'!$B61,'Local Government'!$B$16:$M$76,'Public Expenditure'!F$1,FALSE)),VLOOKUP('Public Expenditure'!$B61,'Local Government'!$B$16:$M$76,'Public Expenditure'!F$1,FALSE),0)</f>
        <v>0</v>
      </c>
      <c r="G61" s="285">
        <f t="shared" si="2"/>
        <v>0</v>
      </c>
      <c r="H61" s="207">
        <f t="shared" si="3"/>
        <v>0</v>
      </c>
      <c r="I61" s="262" t="e">
        <f t="shared" si="4"/>
        <v>#DIV/0!</v>
      </c>
      <c r="J61" s="161">
        <f>+IF(ISNUMBER(VLOOKUP($B61,'Cental Budget'!$B$16:$K$76,'Public Expenditure'!J$1,FALSE)),VLOOKUP($B61,'Cental Budget'!$B$16:$K$76,'Public Expenditure'!J$1,FALSE),0)+IF(ISNUMBER(VLOOKUP('Public Expenditure'!$B61,'Local Government'!$B$16:$M$76,'Public Expenditure'!J$1,FALSE)),VLOOKUP('Public Expenditure'!$B61,'Local Government'!$B$16:$M$76,'Public Expenditure'!J$1,FALSE),0)</f>
        <v>876429.53</v>
      </c>
      <c r="K61" s="285">
        <f t="shared" si="1"/>
        <v>2.3228983037370796E-2</v>
      </c>
      <c r="L61" s="207">
        <f t="shared" si="5"/>
        <v>-876429.53</v>
      </c>
      <c r="M61" s="291">
        <f t="shared" si="6"/>
        <v>-100</v>
      </c>
      <c r="BH61" s="159"/>
      <c r="BI61" s="159"/>
      <c r="BJ61" s="143"/>
      <c r="BK61" s="143"/>
      <c r="BL61" s="143"/>
      <c r="BM61" s="140"/>
    </row>
    <row r="62" spans="1:65" ht="13.5" customHeight="1" thickTop="1" thickBot="1">
      <c r="B62" s="305" t="s">
        <v>450</v>
      </c>
      <c r="C62" s="209" t="s">
        <v>115</v>
      </c>
      <c r="D62" s="210">
        <f>'Cental Budget'!D61+'Local Government'!D62</f>
        <v>17568623.280000001</v>
      </c>
      <c r="E62" s="286">
        <f>D62/D$11*100</f>
        <v>0.44396601839684624</v>
      </c>
      <c r="F62" s="210">
        <f>'Cental Budget'!F61+'Local Government'!F62</f>
        <v>11635969.076400001</v>
      </c>
      <c r="G62" s="286">
        <f>F62/D$11*100</f>
        <v>0.29404551390882444</v>
      </c>
      <c r="H62" s="211">
        <f>+D62-F62</f>
        <v>5932654.2036000006</v>
      </c>
      <c r="I62" s="262">
        <f t="shared" si="4"/>
        <v>50.985475852050627</v>
      </c>
      <c r="J62" s="210">
        <f>'Cental Budget'!J61+'Local Government'!J62</f>
        <v>30338677.569999997</v>
      </c>
      <c r="K62" s="286">
        <f>J62/J$11*100</f>
        <v>0.80409959104161133</v>
      </c>
      <c r="L62" s="211">
        <f>+D62-J62</f>
        <v>-12770054.289999995</v>
      </c>
      <c r="M62" s="292">
        <f>+D62/J62*100-100</f>
        <v>-42.091664214881582</v>
      </c>
      <c r="BH62" s="159"/>
      <c r="BI62" s="159"/>
      <c r="BJ62" s="143"/>
      <c r="BK62" s="143"/>
      <c r="BL62" s="143"/>
      <c r="BM62" s="140"/>
    </row>
    <row r="63" spans="1:65" ht="13.5" customHeight="1" thickTop="1" thickBot="1">
      <c r="B63" s="80">
        <v>990</v>
      </c>
      <c r="C63" s="145" t="s">
        <v>151</v>
      </c>
      <c r="D63" s="152">
        <f>'Cental Budget'!D62+'Local Government'!D63</f>
        <v>0</v>
      </c>
      <c r="E63" s="284">
        <f t="shared" si="0"/>
        <v>0</v>
      </c>
      <c r="F63" s="152">
        <f>+IF(ISNUMBER(VLOOKUP($B63,'Cental Budget'!$B$16:$K$76,'Public Expenditure'!F$1,FALSE)),VLOOKUP($B63,'Cental Budget'!$B$16:$K$76,'Public Expenditure'!F$1,FALSE),0)+IF(ISNUMBER(VLOOKUP('Public Expenditure'!$B63,'Local Government'!$B$16:$M$76,'Public Expenditure'!F$1,FALSE)),VLOOKUP('Public Expenditure'!$B63,'Local Government'!$B$16:$M$76,'Public Expenditure'!F$1,FALSE),0)</f>
        <v>0</v>
      </c>
      <c r="G63" s="284">
        <f t="shared" si="2"/>
        <v>0</v>
      </c>
      <c r="H63" s="205">
        <f t="shared" si="3"/>
        <v>0</v>
      </c>
      <c r="I63" s="262" t="e">
        <f t="shared" si="4"/>
        <v>#DIV/0!</v>
      </c>
      <c r="J63" s="152">
        <f>+IF(ISNUMBER(VLOOKUP($B63,'Cental Budget'!$B$16:$K$76,'Public Expenditure'!J$1,FALSE)),VLOOKUP($B63,'Cental Budget'!$B$16:$K$76,'Public Expenditure'!J$1,FALSE),0)+IF(ISNUMBER(VLOOKUP('Public Expenditure'!$B63,'Local Government'!$B$16:$M$76,'Public Expenditure'!J$1,FALSE)),VLOOKUP('Public Expenditure'!$B63,'Local Government'!$B$16:$M$76,'Public Expenditure'!J$1,FALSE),0)</f>
        <v>0</v>
      </c>
      <c r="K63" s="284">
        <f t="shared" si="1"/>
        <v>0</v>
      </c>
      <c r="L63" s="205">
        <f t="shared" si="5"/>
        <v>0</v>
      </c>
      <c r="M63" s="290" t="e">
        <f t="shared" si="6"/>
        <v>#DIV/0!</v>
      </c>
      <c r="BH63" s="159"/>
      <c r="BI63" s="159"/>
      <c r="BJ63" s="143"/>
      <c r="BK63" s="143"/>
      <c r="BL63" s="143"/>
      <c r="BM63" s="140"/>
    </row>
    <row r="64" spans="1:65" ht="13.5" customHeight="1" thickTop="1" thickBot="1">
      <c r="C64" s="176" t="s">
        <v>131</v>
      </c>
      <c r="D64" s="171">
        <f>+D16-D36</f>
        <v>-74785922.186999977</v>
      </c>
      <c r="E64" s="281">
        <f t="shared" si="0"/>
        <v>-1.8898696600373996</v>
      </c>
      <c r="F64" s="171">
        <f>+F16-F36</f>
        <v>-125604737.19964039</v>
      </c>
      <c r="G64" s="281">
        <f t="shared" si="2"/>
        <v>-3.1740810977367939</v>
      </c>
      <c r="H64" s="171">
        <f>+D64-F64</f>
        <v>50818815.012640417</v>
      </c>
      <c r="I64" s="281">
        <f t="shared" si="4"/>
        <v>-40.459313992168369</v>
      </c>
      <c r="J64" s="171">
        <f>+J16-J36-J63</f>
        <v>-79502793.290000081</v>
      </c>
      <c r="K64" s="281">
        <f>J64/J$11*100</f>
        <v>-2.1071506305327348</v>
      </c>
      <c r="L64" s="171">
        <f t="shared" si="5"/>
        <v>4716871.1030001044</v>
      </c>
      <c r="M64" s="281">
        <f t="shared" si="6"/>
        <v>-5.9329627398052622</v>
      </c>
      <c r="BH64" s="159"/>
      <c r="BI64" s="159"/>
      <c r="BJ64" s="143"/>
      <c r="BK64" s="143"/>
      <c r="BL64" s="143"/>
      <c r="BM64" s="140"/>
    </row>
    <row r="65" spans="2:65" ht="13.5" customHeight="1" thickTop="1" thickBot="1">
      <c r="C65" s="176" t="s">
        <v>132</v>
      </c>
      <c r="D65" s="171">
        <f>+D64+D44</f>
        <v>-30206156.676999979</v>
      </c>
      <c r="E65" s="281">
        <f t="shared" si="0"/>
        <v>-0.76332145650965277</v>
      </c>
      <c r="F65" s="171">
        <f>+F64+F44</f>
        <v>-84250697.350240394</v>
      </c>
      <c r="G65" s="281">
        <f t="shared" si="2"/>
        <v>-2.1290482500313455</v>
      </c>
      <c r="H65" s="171">
        <f t="shared" si="3"/>
        <v>54044540.673240416</v>
      </c>
      <c r="I65" s="281">
        <f t="shared" si="4"/>
        <v>-64.147291800530368</v>
      </c>
      <c r="J65" s="171">
        <f>+J64+J44</f>
        <v>-47200356.180000082</v>
      </c>
      <c r="K65" s="281">
        <f t="shared" si="1"/>
        <v>-1.251003344288367</v>
      </c>
      <c r="L65" s="171">
        <f t="shared" si="5"/>
        <v>16994199.503000103</v>
      </c>
      <c r="M65" s="281">
        <f t="shared" si="6"/>
        <v>-36.004388268156653</v>
      </c>
      <c r="BH65" s="159"/>
      <c r="BI65" s="159"/>
      <c r="BJ65" s="143"/>
      <c r="BK65" s="143"/>
      <c r="BL65" s="143"/>
      <c r="BM65" s="140"/>
    </row>
    <row r="66" spans="2:65" ht="13.5" customHeight="1" thickTop="1" thickBot="1">
      <c r="C66" s="176" t="s">
        <v>0</v>
      </c>
      <c r="D66" s="171">
        <f>+SUM(D67:D68)</f>
        <v>30103074.309999999</v>
      </c>
      <c r="E66" s="281">
        <f t="shared" si="0"/>
        <v>0.76071652456282213</v>
      </c>
      <c r="F66" s="171">
        <f>+SUM(F67:F68)</f>
        <v>23669155.438200004</v>
      </c>
      <c r="G66" s="281">
        <f t="shared" si="2"/>
        <v>0.59812886480845062</v>
      </c>
      <c r="H66" s="171">
        <f t="shared" si="3"/>
        <v>6433918.8717999943</v>
      </c>
      <c r="I66" s="281">
        <f t="shared" si="4"/>
        <v>27.18271418090481</v>
      </c>
      <c r="J66" s="171">
        <f>+SUM(J67:J68)</f>
        <v>126921845.05000001</v>
      </c>
      <c r="K66" s="281">
        <f t="shared" si="1"/>
        <v>3.3639503061224492</v>
      </c>
      <c r="L66" s="171">
        <f t="shared" si="5"/>
        <v>-96818770.74000001</v>
      </c>
      <c r="M66" s="281">
        <f t="shared" si="6"/>
        <v>-76.282196104113439</v>
      </c>
      <c r="BH66" s="159"/>
      <c r="BI66" s="159"/>
      <c r="BJ66" s="143"/>
      <c r="BK66" s="143"/>
      <c r="BL66" s="143"/>
      <c r="BM66" s="140"/>
    </row>
    <row r="67" spans="2:65" ht="13.5" customHeight="1" thickTop="1">
      <c r="B67" s="80">
        <v>4611</v>
      </c>
      <c r="C67" s="97" t="s">
        <v>134</v>
      </c>
      <c r="D67" s="154">
        <f>'Cental Budget'!D66+'Local Government'!D67</f>
        <v>17445669.59</v>
      </c>
      <c r="E67" s="283">
        <f t="shared" si="0"/>
        <v>0.44085893030425555</v>
      </c>
      <c r="F67" s="154">
        <f>+IF(ISNUMBER(VLOOKUP($B67,'Cental Budget'!$B$16:$K$76,'Public Expenditure'!F$1,FALSE)),VLOOKUP($B67,'Cental Budget'!$B$16:$K$76,'Public Expenditure'!F$1,FALSE),0)+IF(ISNUMBER(VLOOKUP('Public Expenditure'!$B67,'Local Government'!$B$16:$M$76,'Public Expenditure'!F$1,FALSE)),VLOOKUP('Public Expenditure'!$B67,'Local Government'!$B$16:$M$76,'Public Expenditure'!F$1,FALSE),0)</f>
        <v>11306433.448200002</v>
      </c>
      <c r="G67" s="283">
        <f t="shared" si="2"/>
        <v>0.28571801900838983</v>
      </c>
      <c r="H67" s="206">
        <f t="shared" si="3"/>
        <v>6139236.1417999975</v>
      </c>
      <c r="I67" s="289">
        <f t="shared" si="4"/>
        <v>54.298609459178067</v>
      </c>
      <c r="J67" s="154">
        <f>+IF(ISNUMBER(VLOOKUP($B67,'Cental Budget'!$B$16:$K$76,'Public Expenditure'!J$1,FALSE)),VLOOKUP($B67,'Cental Budget'!$B$16:$K$76,'Public Expenditure'!J$1,FALSE),0)+IF(ISNUMBER(VLOOKUP('Public Expenditure'!$B67,'Local Government'!$B$16:$M$76,'Public Expenditure'!J$1,FALSE)),VLOOKUP('Public Expenditure'!$B67,'Local Government'!$B$16:$M$76,'Public Expenditure'!J$1,FALSE),0)</f>
        <v>96189188.180000007</v>
      </c>
      <c r="K67" s="283">
        <f t="shared" si="1"/>
        <v>2.5494086451099922</v>
      </c>
      <c r="L67" s="206">
        <f t="shared" si="5"/>
        <v>-78743518.590000004</v>
      </c>
      <c r="M67" s="289">
        <f t="shared" si="6"/>
        <v>-81.863169946549817</v>
      </c>
      <c r="BH67" s="159"/>
      <c r="BI67" s="159"/>
      <c r="BJ67" s="143"/>
      <c r="BK67" s="143"/>
      <c r="BL67" s="143"/>
      <c r="BM67" s="140"/>
    </row>
    <row r="68" spans="2:65" ht="13.5" customHeight="1" thickBot="1">
      <c r="B68" s="80">
        <v>4612</v>
      </c>
      <c r="C68" s="97" t="s">
        <v>136</v>
      </c>
      <c r="D68" s="154">
        <f>'Cental Budget'!D67+'Local Government'!D68</f>
        <v>12657404.719999999</v>
      </c>
      <c r="E68" s="283">
        <f t="shared" si="0"/>
        <v>0.31985759425856664</v>
      </c>
      <c r="F68" s="154">
        <f>+IF(ISNUMBER(VLOOKUP($B68,'Cental Budget'!$B$16:$K$76,'Public Expenditure'!F$1,FALSE)),VLOOKUP($B68,'Cental Budget'!$B$16:$K$76,'Public Expenditure'!F$1,FALSE),0)+IF(ISNUMBER(VLOOKUP('Public Expenditure'!$B68,'Local Government'!$B$16:$M$76,'Public Expenditure'!F$1,FALSE)),VLOOKUP('Public Expenditure'!$B68,'Local Government'!$B$16:$M$76,'Public Expenditure'!F$1,FALSE),0)</f>
        <v>12362721.99</v>
      </c>
      <c r="G68" s="283">
        <f t="shared" si="2"/>
        <v>0.31241084580006068</v>
      </c>
      <c r="H68" s="206">
        <f t="shared" si="3"/>
        <v>294682.72999999858</v>
      </c>
      <c r="I68" s="289">
        <f t="shared" si="4"/>
        <v>2.3836395434465203</v>
      </c>
      <c r="J68" s="154">
        <f>+IF(ISNUMBER(VLOOKUP($B68,'Cental Budget'!$B$16:$K$76,'Public Expenditure'!J$1,FALSE)),VLOOKUP($B68,'Cental Budget'!$B$16:$K$76,'Public Expenditure'!J$1,FALSE),0)+IF(ISNUMBER(VLOOKUP('Public Expenditure'!$B68,'Local Government'!$B$16:$M$76,'Public Expenditure'!J$1,FALSE)),VLOOKUP('Public Expenditure'!$B68,'Local Government'!$B$16:$M$76,'Public Expenditure'!J$1,FALSE),0)</f>
        <v>30732656.869999997</v>
      </c>
      <c r="K68" s="283">
        <f t="shared" si="1"/>
        <v>0.81454166101245684</v>
      </c>
      <c r="L68" s="206">
        <f t="shared" si="5"/>
        <v>-18075252.149999999</v>
      </c>
      <c r="M68" s="289">
        <f t="shared" si="6"/>
        <v>-58.814479419917461</v>
      </c>
      <c r="BH68" s="159"/>
      <c r="BI68" s="159"/>
      <c r="BJ68" s="143"/>
      <c r="BK68" s="143"/>
      <c r="BL68" s="143"/>
      <c r="BM68" s="140"/>
    </row>
    <row r="69" spans="2:65" ht="13.5" hidden="1" customHeight="1" thickBot="1">
      <c r="B69" s="80" t="s">
        <v>451</v>
      </c>
      <c r="C69" s="97" t="s">
        <v>115</v>
      </c>
      <c r="D69" s="154">
        <f>+IF(ISNUMBER(VLOOKUP($B69,'Cental Budget'!$B$16:$K$76,'Public Expenditure'!D$1,FALSE)),VLOOKUP($B69,'Cental Budget'!$B$16:$K$76,'Public Expenditure'!D$1,FALSE),0)+IF(ISNUMBER(VLOOKUP('Public Expenditure'!$B69,'Local Government'!$B$16:$M$76,'Public Expenditure'!D$1,FALSE)),VLOOKUP('Public Expenditure'!$B69,'Local Government'!$B$16:$M$76,'Public Expenditure'!D$1,FALSE),0)</f>
        <v>10611948.43</v>
      </c>
      <c r="E69" s="283">
        <f t="shared" si="0"/>
        <v>0.26816810952188413</v>
      </c>
      <c r="F69" s="154">
        <f>+IF(ISNUMBER(VLOOKUP($B69,'Cental Budget'!$B$16:$K$76,'Public Expenditure'!F$1,FALSE)),VLOOKUP($B69,'Cental Budget'!$B$16:$K$76,'Public Expenditure'!F$1,FALSE),0)+IF(ISNUMBER(VLOOKUP('Public Expenditure'!$B69,'Local Government'!$B$16:$M$76,'Public Expenditure'!F$1,FALSE)),VLOOKUP('Public Expenditure'!$B69,'Local Government'!$B$16:$M$76,'Public Expenditure'!F$1,FALSE),0)</f>
        <v>20065093.7764</v>
      </c>
      <c r="G69" s="283">
        <f t="shared" si="2"/>
        <v>0.50705280947134335</v>
      </c>
      <c r="H69" s="206">
        <f t="shared" si="3"/>
        <v>-9453145.3464000002</v>
      </c>
      <c r="I69" s="289">
        <f t="shared" si="4"/>
        <v>-47.112390561157127</v>
      </c>
      <c r="J69" s="154">
        <f>+IF(ISNUMBER(VLOOKUP($B69,'Cental Budget'!$B$16:$K$76,'Public Expenditure'!J$1,FALSE)),VLOOKUP($B69,'Cental Budget'!$B$16:$K$76,'Public Expenditure'!J$1,FALSE),0)+IF(ISNUMBER(VLOOKUP('Public Expenditure'!$B69,'Local Government'!$B$16:$M$76,'Public Expenditure'!J$1,FALSE)),VLOOKUP('Public Expenditure'!$B69,'Local Government'!$B$16:$M$76,'Public Expenditure'!J$1,FALSE),0)</f>
        <v>13521396.809999999</v>
      </c>
      <c r="K69" s="283">
        <f t="shared" si="1"/>
        <v>0.35837256321229788</v>
      </c>
      <c r="L69" s="206">
        <f t="shared" si="5"/>
        <v>-2909448.379999999</v>
      </c>
      <c r="M69" s="289">
        <f t="shared" si="6"/>
        <v>-21.517365556850336</v>
      </c>
      <c r="BH69" s="159"/>
      <c r="BI69" s="159"/>
      <c r="BJ69" s="143"/>
      <c r="BK69" s="143"/>
      <c r="BL69" s="143"/>
      <c r="BM69" s="140"/>
    </row>
    <row r="70" spans="2:65" ht="13.5" customHeight="1" thickTop="1" thickBot="1">
      <c r="C70" s="176" t="s">
        <v>140</v>
      </c>
      <c r="D70" s="171">
        <f>+D64-D66</f>
        <v>-104888996.49699998</v>
      </c>
      <c r="E70" s="281">
        <f t="shared" si="0"/>
        <v>-2.6505861846002219</v>
      </c>
      <c r="F70" s="171">
        <f>+F64-F66</f>
        <v>-149273892.63784039</v>
      </c>
      <c r="G70" s="281">
        <f t="shared" si="2"/>
        <v>-3.7722099625452441</v>
      </c>
      <c r="H70" s="171">
        <f t="shared" si="3"/>
        <v>44384896.140840411</v>
      </c>
      <c r="I70" s="281">
        <f t="shared" si="4"/>
        <v>-29.733863943994848</v>
      </c>
      <c r="J70" s="171">
        <f>+J64-J66</f>
        <v>-206424638.34000009</v>
      </c>
      <c r="K70" s="281">
        <f t="shared" si="1"/>
        <v>-5.4711009366551844</v>
      </c>
      <c r="L70" s="171">
        <f t="shared" si="5"/>
        <v>101535641.84300011</v>
      </c>
      <c r="M70" s="281">
        <f t="shared" si="6"/>
        <v>-49.187753293171191</v>
      </c>
      <c r="BH70" s="159"/>
      <c r="BI70" s="159"/>
      <c r="BJ70" s="143"/>
      <c r="BK70" s="143"/>
      <c r="BL70" s="143"/>
      <c r="BM70" s="140"/>
    </row>
    <row r="71" spans="2:65" ht="13.5" customHeight="1" thickTop="1" thickBot="1">
      <c r="C71" s="176" t="s">
        <v>120</v>
      </c>
      <c r="D71" s="171">
        <f>+SUM(D72:D76)</f>
        <v>104888996.49699998</v>
      </c>
      <c r="E71" s="281">
        <f t="shared" si="0"/>
        <v>2.6505861846002219</v>
      </c>
      <c r="F71" s="171">
        <f>+SUM(F72:F76)</f>
        <v>149273892.63784039</v>
      </c>
      <c r="G71" s="281">
        <f t="shared" si="2"/>
        <v>3.7722099625452441</v>
      </c>
      <c r="H71" s="171">
        <f t="shared" si="3"/>
        <v>-44384896.140840411</v>
      </c>
      <c r="I71" s="281">
        <f t="shared" si="4"/>
        <v>-29.733863943994848</v>
      </c>
      <c r="J71" s="171">
        <f>+SUM(J72:J76)</f>
        <v>206424638.34000009</v>
      </c>
      <c r="K71" s="281">
        <f t="shared" si="1"/>
        <v>5.4711009366551844</v>
      </c>
      <c r="L71" s="171">
        <f t="shared" si="5"/>
        <v>-101535641.84300011</v>
      </c>
      <c r="M71" s="281">
        <f t="shared" si="6"/>
        <v>-49.187753293171191</v>
      </c>
      <c r="BH71" s="159"/>
      <c r="BI71" s="159"/>
      <c r="BJ71" s="143"/>
      <c r="BK71" s="143"/>
      <c r="BL71" s="143"/>
      <c r="BM71" s="140"/>
    </row>
    <row r="72" spans="2:65" ht="13.5" customHeight="1" thickTop="1">
      <c r="B72" s="80">
        <v>7511</v>
      </c>
      <c r="C72" s="97" t="s">
        <v>143</v>
      </c>
      <c r="D72" s="154">
        <f>'Cental Budget'!D71+'Local Government'!D72</f>
        <v>79434502.939999998</v>
      </c>
      <c r="E72" s="283">
        <f t="shared" si="0"/>
        <v>2.007341123521682</v>
      </c>
      <c r="F72" s="154">
        <f>+IF(ISNUMBER(VLOOKUP($B72,'Cental Budget'!$B$16:$K$76,'Public Expenditure'!F$1,FALSE)),VLOOKUP($B72,'Cental Budget'!$B$16:$K$76,'Public Expenditure'!F$1,FALSE),0)+IF(ISNUMBER(VLOOKUP('Public Expenditure'!$B72,'Local Government'!$B$16:$M$76,'Public Expenditure'!F$1,FALSE)),VLOOKUP('Public Expenditure'!$B72,'Local Government'!$B$16:$M$76,'Public Expenditure'!F$1,FALSE),0)</f>
        <v>30000000</v>
      </c>
      <c r="G72" s="283">
        <f t="shared" si="2"/>
        <v>0.75811179621954916</v>
      </c>
      <c r="H72" s="206">
        <f t="shared" si="3"/>
        <v>49434502.939999998</v>
      </c>
      <c r="I72" s="289">
        <f t="shared" si="4"/>
        <v>164.78167646666668</v>
      </c>
      <c r="J72" s="154">
        <f>+IF(ISNUMBER(VLOOKUP($B72,'Cental Budget'!$B$16:$K$76,'Public Expenditure'!J$1,FALSE)),VLOOKUP($B72,'Cental Budget'!$B$16:$K$76,'Public Expenditure'!J$1,FALSE),0)+IF(ISNUMBER(VLOOKUP('Public Expenditure'!$B72,'Local Government'!$B$16:$M$76,'Public Expenditure'!J$1,FALSE)),VLOOKUP('Public Expenditure'!$B72,'Local Government'!$B$16:$M$76,'Public Expenditure'!J$1,FALSE),0)</f>
        <v>101007693.15000001</v>
      </c>
      <c r="K72" s="283">
        <f t="shared" si="1"/>
        <v>2.6771188218923934</v>
      </c>
      <c r="L72" s="206">
        <f t="shared" si="5"/>
        <v>-21573190.210000008</v>
      </c>
      <c r="M72" s="289">
        <f t="shared" si="6"/>
        <v>-21.357967435176505</v>
      </c>
      <c r="BH72" s="159"/>
      <c r="BI72" s="159"/>
      <c r="BJ72" s="143"/>
      <c r="BK72" s="143"/>
      <c r="BL72" s="143"/>
      <c r="BM72" s="140"/>
    </row>
    <row r="73" spans="2:65" ht="13.5" customHeight="1">
      <c r="B73" s="80">
        <v>7512</v>
      </c>
      <c r="C73" s="97" t="s">
        <v>121</v>
      </c>
      <c r="D73" s="154">
        <f>'Cental Budget'!D72+'Local Government'!D73</f>
        <v>6013734.0099999998</v>
      </c>
      <c r="E73" s="283">
        <f t="shared" si="0"/>
        <v>0.15196942307692307</v>
      </c>
      <c r="F73" s="154">
        <f>+IF(ISNUMBER(VLOOKUP($B73,'Cental Budget'!$B$16:$K$76,'Public Expenditure'!F$1,FALSE)),VLOOKUP($B73,'Cental Budget'!$B$16:$K$76,'Public Expenditure'!F$1,FALSE),0)+IF(ISNUMBER(VLOOKUP('Public Expenditure'!$B73,'Local Government'!$B$16:$M$76,'Public Expenditure'!F$1,FALSE)),VLOOKUP('Public Expenditure'!$B73,'Local Government'!$B$16:$M$76,'Public Expenditure'!F$1,FALSE),0)</f>
        <v>88577611.475717485</v>
      </c>
      <c r="G73" s="283">
        <f t="shared" si="2"/>
        <v>2.2383910713564514</v>
      </c>
      <c r="H73" s="206">
        <f t="shared" si="3"/>
        <v>-82563877.46571748</v>
      </c>
      <c r="I73" s="289">
        <f t="shared" si="4"/>
        <v>-93.21077424666322</v>
      </c>
      <c r="J73" s="154">
        <f>+IF(ISNUMBER(VLOOKUP($B73,'Cental Budget'!$B$16:$K$76,'Public Expenditure'!J$1,FALSE)),VLOOKUP($B73,'Cental Budget'!$B$16:$K$76,'Public Expenditure'!J$1,FALSE),0)+IF(ISNUMBER(VLOOKUP('Public Expenditure'!$B73,'Local Government'!$B$16:$M$76,'Public Expenditure'!J$1,FALSE)),VLOOKUP('Public Expenditure'!$B73,'Local Government'!$B$16:$M$76,'Public Expenditure'!J$1,FALSE),0)</f>
        <v>306976332.91000003</v>
      </c>
      <c r="K73" s="283">
        <f t="shared" si="1"/>
        <v>8.1361339228730465</v>
      </c>
      <c r="L73" s="206">
        <f t="shared" si="5"/>
        <v>-300962598.90000004</v>
      </c>
      <c r="M73" s="289">
        <f t="shared" si="6"/>
        <v>-98.040977963026506</v>
      </c>
      <c r="BH73" s="159"/>
      <c r="BI73" s="159"/>
      <c r="BJ73" s="143"/>
      <c r="BK73" s="143"/>
      <c r="BL73" s="143"/>
      <c r="BM73" s="140"/>
    </row>
    <row r="74" spans="2:65" ht="13.5" customHeight="1">
      <c r="B74" s="80">
        <v>72</v>
      </c>
      <c r="C74" s="103" t="s">
        <v>328</v>
      </c>
      <c r="D74" s="154">
        <f>'Cental Budget'!D73+'Local Government'!D74</f>
        <v>408483.72</v>
      </c>
      <c r="E74" s="287">
        <f t="shared" si="0"/>
        <v>1.0322544223188112E-2</v>
      </c>
      <c r="F74" s="154">
        <f>+IF(ISNUMBER(VLOOKUP($B74,'Cental Budget'!$B$16:$K$76,'Public Expenditure'!F$1,FALSE)),VLOOKUP($B74,'Cental Budget'!$B$16:$K$76,'Public Expenditure'!F$1,FALSE),0)+IF(ISNUMBER(VLOOKUP('Public Expenditure'!$B74,'Local Government'!$B$16:$M$76,'Public Expenditure'!F$1,FALSE)),VLOOKUP('Public Expenditure'!$B74,'Local Government'!$B$16:$M$76,'Public Expenditure'!F$1,FALSE),0)</f>
        <v>459602.36100000003</v>
      </c>
      <c r="G74" s="287">
        <f t="shared" si="2"/>
        <v>1.1614332381481856E-2</v>
      </c>
      <c r="H74" s="206">
        <f t="shared" si="3"/>
        <v>-51118.641000000061</v>
      </c>
      <c r="I74" s="289">
        <f t="shared" si="4"/>
        <v>-11.122362576375039</v>
      </c>
      <c r="J74" s="154">
        <f>+IF(ISNUMBER(VLOOKUP($B74,'Cental Budget'!$B$16:$K$76,'Public Expenditure'!J$1,FALSE)),VLOOKUP($B74,'Cental Budget'!$B$16:$K$76,'Public Expenditure'!J$1,FALSE),0)+IF(ISNUMBER(VLOOKUP('Public Expenditure'!$B74,'Local Government'!$B$16:$M$76,'Public Expenditure'!J$1,FALSE)),VLOOKUP('Public Expenditure'!$B74,'Local Government'!$B$16:$M$76,'Public Expenditure'!J$1,FALSE),0)</f>
        <v>1652469.4300000002</v>
      </c>
      <c r="K74" s="287">
        <f t="shared" si="1"/>
        <v>4.379722846541214E-2</v>
      </c>
      <c r="L74" s="206">
        <f t="shared" si="5"/>
        <v>-1243985.7100000002</v>
      </c>
      <c r="M74" s="289">
        <f t="shared" si="6"/>
        <v>-75.280406851459887</v>
      </c>
      <c r="BH74" s="159"/>
      <c r="BI74" s="159"/>
      <c r="BJ74" s="143"/>
      <c r="BK74" s="143"/>
      <c r="BL74" s="143"/>
      <c r="BM74" s="140"/>
    </row>
    <row r="75" spans="2:65" ht="13.5" customHeight="1" thickBot="1">
      <c r="C75" s="103" t="s">
        <v>470</v>
      </c>
      <c r="D75" s="154">
        <f>+'Local Government'!D76</f>
        <v>179594.77000000002</v>
      </c>
      <c r="E75" s="287">
        <f t="shared" si="0"/>
        <v>4.538430455877894E-3</v>
      </c>
      <c r="F75" s="154">
        <f>+'Local Government'!F76</f>
        <v>185257.6734</v>
      </c>
      <c r="G75" s="287">
        <f t="shared" si="2"/>
        <v>4.6815342514909533E-3</v>
      </c>
      <c r="H75" s="206">
        <f t="shared" si="3"/>
        <v>-5662.903399999981</v>
      </c>
      <c r="I75" s="289">
        <f t="shared" si="4"/>
        <v>-3.056771304567178</v>
      </c>
      <c r="J75" s="154">
        <f>+'Local Government'!J76</f>
        <v>198962.05</v>
      </c>
      <c r="K75" s="287">
        <f t="shared" si="1"/>
        <v>5.2733116883116882E-3</v>
      </c>
      <c r="L75" s="206">
        <f t="shared" si="5"/>
        <v>-19367.27999999997</v>
      </c>
      <c r="M75" s="289">
        <f t="shared" si="6"/>
        <v>-9.7341578456796043</v>
      </c>
      <c r="BH75" s="159"/>
      <c r="BI75" s="159"/>
      <c r="BJ75" s="143"/>
      <c r="BK75" s="143"/>
      <c r="BL75" s="143"/>
      <c r="BM75" s="140"/>
    </row>
    <row r="76" spans="2:65" ht="13.5" customHeight="1" thickTop="1" thickBot="1">
      <c r="C76" s="146" t="s">
        <v>124</v>
      </c>
      <c r="D76" s="147">
        <f>-D70-SUM(D72:D75)</f>
        <v>18852681.056999981</v>
      </c>
      <c r="E76" s="285">
        <f t="shared" si="0"/>
        <v>0.47641466332255078</v>
      </c>
      <c r="F76" s="147">
        <f>-F70-SUM(F72:F75)</f>
        <v>30051421.127722904</v>
      </c>
      <c r="G76" s="285">
        <f t="shared" si="2"/>
        <v>0.75941122833627062</v>
      </c>
      <c r="H76" s="204">
        <f t="shared" si="3"/>
        <v>-11198740.070722923</v>
      </c>
      <c r="I76" s="291">
        <f t="shared" si="4"/>
        <v>-37.265259513440817</v>
      </c>
      <c r="J76" s="147">
        <f>-J70-SUM(J72:J75)</f>
        <v>-203410819.19999999</v>
      </c>
      <c r="K76" s="285">
        <f t="shared" si="1"/>
        <v>-5.3912223482639803</v>
      </c>
      <c r="L76" s="204">
        <f t="shared" si="5"/>
        <v>222263500.25699997</v>
      </c>
      <c r="M76" s="291">
        <f t="shared" si="6"/>
        <v>-109.26827841859455</v>
      </c>
      <c r="BH76" s="159"/>
      <c r="BI76" s="159"/>
      <c r="BJ76" s="143"/>
      <c r="BK76" s="143"/>
      <c r="BL76" s="143"/>
      <c r="BM76" s="140"/>
    </row>
    <row r="77" spans="2:65" ht="13.5" thickTop="1">
      <c r="C77" s="106" t="str">
        <f>IF(MasterSheet!$A$1=1,MasterSheet!C151,MasterSheet!B151)</f>
        <v>Izvor: Ministarstvo finansija Crne Gore</v>
      </c>
      <c r="D77" s="107"/>
      <c r="E77" s="107"/>
      <c r="F77" s="107"/>
      <c r="G77" s="107"/>
      <c r="H77" s="107"/>
      <c r="I77" s="107"/>
      <c r="J77" s="107"/>
      <c r="K77" s="107"/>
      <c r="L77" s="107"/>
      <c r="M77" s="107" t="s">
        <v>427</v>
      </c>
    </row>
    <row r="79" spans="2:65">
      <c r="D79" s="212"/>
    </row>
    <row r="82" spans="3:13">
      <c r="D82" s="102"/>
      <c r="F82" s="102"/>
      <c r="J82" s="102"/>
    </row>
    <row r="83" spans="3:13">
      <c r="D83" s="102">
        <f>+'Cental Budget'!D16+'Local Government'!D16</f>
        <v>332554918.13300002</v>
      </c>
      <c r="E83" s="102">
        <f>+'Cental Budget'!E16+'Local Government'!E16</f>
        <v>8.4037935442484581</v>
      </c>
      <c r="F83" s="102">
        <f>+'Cental Budget'!F16+'Local Government'!F16</f>
        <v>334911832.52305973</v>
      </c>
      <c r="G83" s="102">
        <f>+'Cental Budget'!G16+'Local Government'!G16</f>
        <v>8.4633536976412529</v>
      </c>
      <c r="H83" s="102">
        <f>+'Cental Budget'!H16+'Local Government'!H16</f>
        <v>-2356914.3900596872</v>
      </c>
      <c r="I83" s="212"/>
      <c r="J83" s="102">
        <f>+'Cental Budget'!J16+'Local Government'!J16</f>
        <v>318160907.37999994</v>
      </c>
      <c r="K83" s="102">
        <f>+'Cental Budget'!K16+'Local Government'!K16</f>
        <v>8.4325710940895835</v>
      </c>
      <c r="L83" s="102"/>
      <c r="M83" s="102"/>
    </row>
    <row r="84" spans="3:13">
      <c r="C84" s="304"/>
      <c r="D84" s="102">
        <f>+D16</f>
        <v>332554918.13300002</v>
      </c>
      <c r="E84" s="102">
        <f>+E16</f>
        <v>8.4037935442484581</v>
      </c>
      <c r="F84" s="102">
        <f>+F16</f>
        <v>334726574.85305959</v>
      </c>
      <c r="G84" s="102">
        <f>+G16</f>
        <v>8.4586721634756792</v>
      </c>
      <c r="H84" s="102">
        <f>+H16</f>
        <v>-2171656.7200595737</v>
      </c>
      <c r="I84" s="212"/>
      <c r="J84" s="102">
        <f>+J16</f>
        <v>317979282.20999992</v>
      </c>
      <c r="K84" s="102">
        <f>+K16</f>
        <v>8.4277572809435437</v>
      </c>
      <c r="L84" s="102"/>
      <c r="M84" s="102"/>
    </row>
    <row r="85" spans="3:13">
      <c r="D85" s="298">
        <f>+D83-D84</f>
        <v>0</v>
      </c>
      <c r="E85" s="298">
        <f t="shared" ref="E85:K85" si="7">+E83-E84</f>
        <v>0</v>
      </c>
      <c r="F85" s="298">
        <f t="shared" si="7"/>
        <v>185257.6700001359</v>
      </c>
      <c r="G85" s="298">
        <f t="shared" si="7"/>
        <v>4.6815341655737086E-3</v>
      </c>
      <c r="H85" s="298">
        <f t="shared" si="7"/>
        <v>-185257.67000011355</v>
      </c>
      <c r="I85" s="212"/>
      <c r="J85" s="298">
        <f t="shared" si="7"/>
        <v>181625.17000001669</v>
      </c>
      <c r="K85" s="298">
        <f t="shared" si="7"/>
        <v>4.8138131460397915E-3</v>
      </c>
      <c r="L85" s="298"/>
      <c r="M85" s="212"/>
    </row>
    <row r="87" spans="3:13">
      <c r="J87" s="301">
        <v>2015</v>
      </c>
    </row>
    <row r="88" spans="3:13">
      <c r="D88" s="102">
        <f>+'Cental Budget'!D35+'Local Government'!D40</f>
        <v>407520435.08999997</v>
      </c>
      <c r="E88" s="102">
        <f>+'Cental Budget'!E35+'Local Government'!E40</f>
        <v>10.298201634741735</v>
      </c>
      <c r="F88" s="102">
        <f>+'Cental Budget'!F35+'Local Government'!F40</f>
        <v>460974035.54049999</v>
      </c>
      <c r="G88" s="102">
        <f>+'Cental Budget'!G35+'Local Government'!G40</f>
        <v>11.648995136472758</v>
      </c>
      <c r="H88" s="102"/>
      <c r="I88" s="102"/>
      <c r="J88" s="102">
        <f>+'Cental Budget'!J35+'Local Government'!J40</f>
        <v>398435225.83999997</v>
      </c>
      <c r="K88" s="102">
        <f>+'Cental Budget'!K35+'Local Government'!K40</f>
        <v>10.560170311158229</v>
      </c>
      <c r="L88" s="102"/>
    </row>
    <row r="89" spans="3:13">
      <c r="D89" s="102">
        <f>+D36</f>
        <v>407340840.31999999</v>
      </c>
      <c r="E89" s="102">
        <f>+E36</f>
        <v>10.29366320428586</v>
      </c>
      <c r="F89" s="102">
        <f>+F36</f>
        <v>460331312.05269998</v>
      </c>
      <c r="G89" s="102">
        <f>+G36</f>
        <v>11.632753261212473</v>
      </c>
      <c r="H89" s="102"/>
      <c r="I89" s="102"/>
      <c r="J89" s="102">
        <f>+J36</f>
        <v>397482075.5</v>
      </c>
      <c r="K89" s="102">
        <f>+K36</f>
        <v>10.53490791147628</v>
      </c>
      <c r="L89" s="102"/>
    </row>
    <row r="90" spans="3:13">
      <c r="D90" s="300">
        <f>+D88-D89</f>
        <v>179594.76999998093</v>
      </c>
      <c r="E90" s="300"/>
      <c r="F90" s="300">
        <f t="shared" ref="F90:J90" si="8">+F88-F89</f>
        <v>642723.4878000021</v>
      </c>
      <c r="G90" s="300">
        <f t="shared" si="8"/>
        <v>1.6241875260284644E-2</v>
      </c>
      <c r="H90" s="300"/>
      <c r="I90" s="300"/>
      <c r="J90" s="300">
        <f t="shared" si="8"/>
        <v>953150.33999997377</v>
      </c>
      <c r="K90" s="300"/>
      <c r="L90" s="300"/>
    </row>
    <row r="91" spans="3:13">
      <c r="D91" s="212"/>
    </row>
    <row r="93" spans="3:13">
      <c r="D93" s="102">
        <f>+'Cental Budget'!D63+'Local Government'!D64</f>
        <v>-74965516.956999943</v>
      </c>
      <c r="E93" s="102">
        <f>+E64</f>
        <v>-1.8898696600373996</v>
      </c>
      <c r="F93" s="102">
        <f>+F64</f>
        <v>-125604737.19964039</v>
      </c>
      <c r="G93" s="102">
        <f>+G64</f>
        <v>-3.1740810977367939</v>
      </c>
      <c r="H93" s="102"/>
      <c r="I93" s="102"/>
      <c r="J93" s="102">
        <f>+J64</f>
        <v>-79502793.290000081</v>
      </c>
      <c r="K93" s="102">
        <f>+K64</f>
        <v>-2.1071506305327348</v>
      </c>
      <c r="L93" s="102">
        <f>+L64</f>
        <v>4716871.1030001044</v>
      </c>
    </row>
    <row r="94" spans="3:13">
      <c r="D94" s="102">
        <f>+D64</f>
        <v>-74785922.186999977</v>
      </c>
      <c r="E94" s="102">
        <f>+'Cental Budget'!E63+'Local Government'!E64</f>
        <v>-1.8944080904932765</v>
      </c>
      <c r="F94" s="102">
        <f>+'Cental Budget'!F63+'Local Government'!F64</f>
        <v>-126062203.01744029</v>
      </c>
      <c r="G94" s="102">
        <f>+'Cental Budget'!G63+'Local Government'!G64</f>
        <v>-3.1856414388315044</v>
      </c>
      <c r="H94" s="102"/>
      <c r="I94" s="102"/>
      <c r="J94" s="102">
        <f>+'Cental Budget'!J63+'Local Government'!J64</f>
        <v>-80274318.460000023</v>
      </c>
      <c r="K94" s="102">
        <f>+'Cental Budget'!K63+'Local Government'!K64</f>
        <v>-2.1275992170686462</v>
      </c>
      <c r="L94" s="102">
        <f>+'Cental Budget'!L63+'Local Government'!L64</f>
        <v>5308801.5030000843</v>
      </c>
    </row>
    <row r="95" spans="3:13">
      <c r="D95" s="299">
        <f>+D93-D94</f>
        <v>-179594.76999996603</v>
      </c>
      <c r="E95" s="299">
        <f t="shared" ref="E95:L95" si="9">+E93-E94</f>
        <v>4.538430455876874E-3</v>
      </c>
      <c r="F95" s="299">
        <f t="shared" si="9"/>
        <v>457465.817799896</v>
      </c>
      <c r="G95" s="299">
        <f t="shared" si="9"/>
        <v>1.1560341094710491E-2</v>
      </c>
      <c r="H95" s="299"/>
      <c r="I95" s="299"/>
      <c r="J95" s="299">
        <f t="shared" si="9"/>
        <v>771525.16999994218</v>
      </c>
      <c r="K95" s="299">
        <f t="shared" si="9"/>
        <v>2.0448586535911417E-2</v>
      </c>
      <c r="L95" s="299">
        <f t="shared" si="9"/>
        <v>-591930.39999997988</v>
      </c>
    </row>
  </sheetData>
  <sheetProtection formatCells="0" formatColumns="0" formatRows="0" sort="0" autoFilter="0"/>
  <mergeCells count="12">
    <mergeCell ref="H11:I11"/>
    <mergeCell ref="J11:K11"/>
    <mergeCell ref="L11:M11"/>
    <mergeCell ref="D11:G11"/>
    <mergeCell ref="C14:C15"/>
    <mergeCell ref="D14:E14"/>
    <mergeCell ref="F14:G14"/>
    <mergeCell ref="H14:I14"/>
    <mergeCell ref="J14:K14"/>
    <mergeCell ref="L14:M14"/>
    <mergeCell ref="D13:E13"/>
    <mergeCell ref="J13:K13"/>
  </mergeCells>
  <printOptions horizontalCentered="1" verticalCentered="1"/>
  <pageMargins left="0" right="0" top="0.19685039370078741" bottom="0.19685039370078741" header="0" footer="0"/>
  <pageSetup paperSize="9" scale="11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6081" r:id="rId4" name="List Box 1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1000125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2:G59"/>
  <sheetViews>
    <sheetView workbookViewId="0">
      <selection activeCell="F5" sqref="F5"/>
    </sheetView>
  </sheetViews>
  <sheetFormatPr defaultColWidth="9.140625" defaultRowHeight="15"/>
  <cols>
    <col min="1" max="2" width="9.140625" style="29"/>
    <col min="3" max="3" width="51.7109375" style="29" bestFit="1" customWidth="1"/>
    <col min="4" max="4" width="15.42578125" style="29" bestFit="1" customWidth="1"/>
    <col min="5" max="5" width="9.140625" style="29"/>
    <col min="6" max="6" width="15.5703125" style="29" bestFit="1" customWidth="1"/>
    <col min="7" max="7" width="15.42578125" style="29" bestFit="1" customWidth="1"/>
    <col min="8" max="16384" width="9.140625" style="29"/>
  </cols>
  <sheetData>
    <row r="2" spans="2:7" ht="15.75" thickBot="1">
      <c r="D2" s="177" t="s">
        <v>436</v>
      </c>
    </row>
    <row r="3" spans="2:7" ht="55.5" thickTop="1" thickBot="1">
      <c r="B3" s="30" t="s">
        <v>393</v>
      </c>
      <c r="C3" s="31" t="s">
        <v>394</v>
      </c>
      <c r="D3" s="32" t="s">
        <v>395</v>
      </c>
      <c r="G3" s="29" t="s">
        <v>396</v>
      </c>
    </row>
    <row r="4" spans="2:7" ht="16.5" thickTop="1" thickBot="1">
      <c r="B4" s="33">
        <v>7</v>
      </c>
      <c r="C4" s="34" t="s">
        <v>397</v>
      </c>
      <c r="D4" s="35" t="e">
        <f>+D5+D36+D55+D52+D44</f>
        <v>#REF!</v>
      </c>
      <c r="F4" s="70" t="e">
        <f>+#REF!+#REF!+#REF!+#REF!+#REF!</f>
        <v>#REF!</v>
      </c>
      <c r="G4" s="36" t="e">
        <f>+D4-F4</f>
        <v>#REF!</v>
      </c>
    </row>
    <row r="5" spans="2:7" ht="15.75" thickTop="1">
      <c r="B5" s="37">
        <v>71</v>
      </c>
      <c r="C5" s="38" t="s">
        <v>398</v>
      </c>
      <c r="D5" s="39" t="e">
        <f>+D6+D14+D19+D24+D31</f>
        <v>#REF!</v>
      </c>
      <c r="F5" s="40"/>
    </row>
    <row r="6" spans="2:7">
      <c r="B6" s="41">
        <v>711</v>
      </c>
      <c r="C6" s="42" t="s">
        <v>2</v>
      </c>
      <c r="D6" s="43" t="e">
        <f>SUM(D7:D13)</f>
        <v>#REF!</v>
      </c>
    </row>
    <row r="7" spans="2:7">
      <c r="B7" s="44">
        <v>7111</v>
      </c>
      <c r="C7" s="45" t="s">
        <v>3</v>
      </c>
      <c r="D7" s="46" t="e">
        <f>+#REF!</f>
        <v>#REF!</v>
      </c>
      <c r="E7" s="40"/>
    </row>
    <row r="8" spans="2:7">
      <c r="B8" s="44">
        <v>7112</v>
      </c>
      <c r="C8" s="45" t="s">
        <v>5</v>
      </c>
      <c r="D8" s="46" t="e">
        <f>+#REF!</f>
        <v>#REF!</v>
      </c>
    </row>
    <row r="9" spans="2:7">
      <c r="B9" s="44">
        <v>7113</v>
      </c>
      <c r="C9" s="45" t="s">
        <v>304</v>
      </c>
      <c r="D9" s="46" t="e">
        <f>+#REF!</f>
        <v>#REF!</v>
      </c>
    </row>
    <row r="10" spans="2:7">
      <c r="B10" s="44">
        <v>7114</v>
      </c>
      <c r="C10" s="45" t="s">
        <v>9</v>
      </c>
      <c r="D10" s="46" t="e">
        <f>+#REF!</f>
        <v>#REF!</v>
      </c>
    </row>
    <row r="11" spans="2:7">
      <c r="B11" s="44">
        <v>7115</v>
      </c>
      <c r="C11" s="45" t="s">
        <v>305</v>
      </c>
      <c r="D11" s="46" t="e">
        <f>+#REF!</f>
        <v>#REF!</v>
      </c>
    </row>
    <row r="12" spans="2:7">
      <c r="B12" s="44">
        <v>7116</v>
      </c>
      <c r="C12" s="45" t="s">
        <v>14</v>
      </c>
      <c r="D12" s="46" t="e">
        <f>+#REF!</f>
        <v>#REF!</v>
      </c>
    </row>
    <row r="13" spans="2:7">
      <c r="B13" s="44">
        <v>7118</v>
      </c>
      <c r="C13" s="45" t="s">
        <v>16</v>
      </c>
      <c r="D13" s="46" t="e">
        <f>+#REF!</f>
        <v>#REF!</v>
      </c>
    </row>
    <row r="14" spans="2:7">
      <c r="B14" s="41">
        <v>712</v>
      </c>
      <c r="C14" s="42" t="s">
        <v>19</v>
      </c>
      <c r="D14" s="43" t="e">
        <f>SUM(D15:D18)</f>
        <v>#REF!</v>
      </c>
    </row>
    <row r="15" spans="2:7">
      <c r="B15" s="44">
        <v>7121</v>
      </c>
      <c r="C15" s="45" t="s">
        <v>21</v>
      </c>
      <c r="D15" s="46" t="e">
        <f>+#REF!</f>
        <v>#REF!</v>
      </c>
      <c r="F15" s="40"/>
    </row>
    <row r="16" spans="2:7">
      <c r="B16" s="44">
        <v>7122</v>
      </c>
      <c r="C16" s="45" t="s">
        <v>23</v>
      </c>
      <c r="D16" s="46" t="e">
        <f>+#REF!</f>
        <v>#REF!</v>
      </c>
    </row>
    <row r="17" spans="2:4">
      <c r="B17" s="44">
        <v>7123</v>
      </c>
      <c r="C17" s="45" t="s">
        <v>25</v>
      </c>
      <c r="D17" s="46" t="e">
        <f>+#REF!</f>
        <v>#REF!</v>
      </c>
    </row>
    <row r="18" spans="2:4">
      <c r="B18" s="44">
        <v>7124</v>
      </c>
      <c r="C18" s="45" t="s">
        <v>27</v>
      </c>
      <c r="D18" s="46" t="e">
        <f>+#REF!</f>
        <v>#REF!</v>
      </c>
    </row>
    <row r="19" spans="2:4">
      <c r="B19" s="41">
        <v>713</v>
      </c>
      <c r="C19" s="42" t="s">
        <v>29</v>
      </c>
      <c r="D19" s="43" t="e">
        <f>SUM(D20:D23)</f>
        <v>#REF!</v>
      </c>
    </row>
    <row r="20" spans="2:4">
      <c r="B20" s="44">
        <v>7131</v>
      </c>
      <c r="C20" s="47" t="s">
        <v>31</v>
      </c>
      <c r="D20" s="46" t="e">
        <f>+#REF!</f>
        <v>#REF!</v>
      </c>
    </row>
    <row r="21" spans="2:4">
      <c r="B21" s="44">
        <v>7132</v>
      </c>
      <c r="C21" s="47" t="s">
        <v>32</v>
      </c>
      <c r="D21" s="46" t="e">
        <f>+#REF!</f>
        <v>#REF!</v>
      </c>
    </row>
    <row r="22" spans="2:4">
      <c r="B22" s="44">
        <v>7133</v>
      </c>
      <c r="C22" s="47" t="s">
        <v>34</v>
      </c>
      <c r="D22" s="46" t="e">
        <f>+#REF!</f>
        <v>#REF!</v>
      </c>
    </row>
    <row r="23" spans="2:4">
      <c r="B23" s="44">
        <v>7136</v>
      </c>
      <c r="C23" s="47" t="s">
        <v>37</v>
      </c>
      <c r="D23" s="46" t="e">
        <f>+#REF!</f>
        <v>#REF!</v>
      </c>
    </row>
    <row r="24" spans="2:4">
      <c r="B24" s="41">
        <v>714</v>
      </c>
      <c r="C24" s="42" t="s">
        <v>39</v>
      </c>
      <c r="D24" s="43" t="e">
        <f>SUM(D25:D30)</f>
        <v>#REF!</v>
      </c>
    </row>
    <row r="25" spans="2:4">
      <c r="B25" s="44">
        <v>7141</v>
      </c>
      <c r="C25" s="45" t="s">
        <v>40</v>
      </c>
      <c r="D25" s="46" t="e">
        <f>+#REF!</f>
        <v>#REF!</v>
      </c>
    </row>
    <row r="26" spans="2:4">
      <c r="B26" s="44">
        <v>7142</v>
      </c>
      <c r="C26" s="45" t="s">
        <v>399</v>
      </c>
      <c r="D26" s="46" t="e">
        <f>+#REF!</f>
        <v>#REF!</v>
      </c>
    </row>
    <row r="27" spans="2:4">
      <c r="B27" s="44">
        <v>7143</v>
      </c>
      <c r="C27" s="45" t="s">
        <v>45</v>
      </c>
      <c r="D27" s="46" t="e">
        <f>+#REF!</f>
        <v>#REF!</v>
      </c>
    </row>
    <row r="28" spans="2:4">
      <c r="B28" s="44">
        <v>7144</v>
      </c>
      <c r="C28" s="45" t="s">
        <v>47</v>
      </c>
      <c r="D28" s="46" t="e">
        <f>+#REF!</f>
        <v>#REF!</v>
      </c>
    </row>
    <row r="29" spans="2:4">
      <c r="B29" s="44">
        <v>7148</v>
      </c>
      <c r="C29" s="45" t="s">
        <v>312</v>
      </c>
      <c r="D29" s="46" t="e">
        <f>+#REF!</f>
        <v>#REF!</v>
      </c>
    </row>
    <row r="30" spans="2:4">
      <c r="B30" s="44">
        <v>7149</v>
      </c>
      <c r="C30" s="45" t="s">
        <v>51</v>
      </c>
      <c r="D30" s="46" t="e">
        <f>+#REF!</f>
        <v>#REF!</v>
      </c>
    </row>
    <row r="31" spans="2:4">
      <c r="B31" s="41">
        <v>715</v>
      </c>
      <c r="C31" s="42" t="s">
        <v>53</v>
      </c>
      <c r="D31" s="43" t="e">
        <f>SUM(D32:D35)</f>
        <v>#REF!</v>
      </c>
    </row>
    <row r="32" spans="2:4">
      <c r="B32" s="44">
        <v>7151</v>
      </c>
      <c r="C32" s="48" t="s">
        <v>55</v>
      </c>
      <c r="D32" s="46" t="e">
        <f>+#REF!</f>
        <v>#REF!</v>
      </c>
    </row>
    <row r="33" spans="2:4">
      <c r="B33" s="44">
        <v>7152</v>
      </c>
      <c r="C33" s="48" t="s">
        <v>57</v>
      </c>
      <c r="D33" s="46" t="e">
        <f>+#REF!</f>
        <v>#REF!</v>
      </c>
    </row>
    <row r="34" spans="2:4" ht="16.5" customHeight="1">
      <c r="B34" s="44">
        <v>7153</v>
      </c>
      <c r="C34" s="48" t="s">
        <v>59</v>
      </c>
      <c r="D34" s="46" t="e">
        <f>+#REF!</f>
        <v>#REF!</v>
      </c>
    </row>
    <row r="35" spans="2:4">
      <c r="B35" s="44">
        <v>7155</v>
      </c>
      <c r="C35" s="48" t="s">
        <v>53</v>
      </c>
      <c r="D35" s="46" t="e">
        <f>+#REF!</f>
        <v>#REF!</v>
      </c>
    </row>
    <row r="36" spans="2:4">
      <c r="B36" s="49">
        <v>72</v>
      </c>
      <c r="C36" s="50" t="s">
        <v>400</v>
      </c>
      <c r="D36" s="43" t="e">
        <f>+D37+D38+D41</f>
        <v>#REF!</v>
      </c>
    </row>
    <row r="37" spans="2:4">
      <c r="B37" s="51">
        <v>7200</v>
      </c>
      <c r="C37" s="48" t="s">
        <v>401</v>
      </c>
      <c r="D37" s="46" t="e">
        <f>+#REF!</f>
        <v>#REF!</v>
      </c>
    </row>
    <row r="38" spans="2:4" hidden="1">
      <c r="B38" s="52">
        <v>721</v>
      </c>
      <c r="C38" s="48" t="s">
        <v>402</v>
      </c>
      <c r="D38" s="46"/>
    </row>
    <row r="39" spans="2:4" hidden="1">
      <c r="B39" s="51">
        <v>7211</v>
      </c>
      <c r="C39" s="48" t="s">
        <v>403</v>
      </c>
      <c r="D39" s="46"/>
    </row>
    <row r="40" spans="2:4" hidden="1">
      <c r="B40" s="51">
        <v>7213</v>
      </c>
      <c r="C40" s="48" t="s">
        <v>404</v>
      </c>
      <c r="D40" s="46"/>
    </row>
    <row r="41" spans="2:4" hidden="1">
      <c r="B41" s="52">
        <v>722</v>
      </c>
      <c r="C41" s="48" t="s">
        <v>405</v>
      </c>
      <c r="D41" s="46">
        <v>0</v>
      </c>
    </row>
    <row r="42" spans="2:4" hidden="1">
      <c r="B42" s="44">
        <v>7221</v>
      </c>
      <c r="C42" s="48" t="s">
        <v>406</v>
      </c>
      <c r="D42" s="46"/>
    </row>
    <row r="43" spans="2:4" hidden="1">
      <c r="B43" s="44">
        <v>7222</v>
      </c>
      <c r="C43" s="48" t="s">
        <v>407</v>
      </c>
      <c r="D43" s="46"/>
    </row>
    <row r="44" spans="2:4">
      <c r="B44" s="49">
        <v>73</v>
      </c>
      <c r="C44" s="50" t="s">
        <v>408</v>
      </c>
      <c r="D44" s="43" t="e">
        <f>+D45</f>
        <v>#REF!</v>
      </c>
    </row>
    <row r="45" spans="2:4">
      <c r="B45" s="52">
        <v>731</v>
      </c>
      <c r="C45" s="45" t="s">
        <v>408</v>
      </c>
      <c r="D45" s="46" t="e">
        <f>+#REF!</f>
        <v>#REF!</v>
      </c>
    </row>
    <row r="46" spans="2:4" ht="27" hidden="1">
      <c r="B46" s="51">
        <v>7311</v>
      </c>
      <c r="C46" s="48" t="s">
        <v>409</v>
      </c>
      <c r="D46" s="46"/>
    </row>
    <row r="47" spans="2:4" hidden="1">
      <c r="B47" s="52">
        <v>7312</v>
      </c>
      <c r="C47" s="48" t="s">
        <v>410</v>
      </c>
      <c r="D47" s="46"/>
    </row>
    <row r="48" spans="2:4" hidden="1">
      <c r="B48" s="52">
        <v>7313</v>
      </c>
      <c r="C48" s="48" t="s">
        <v>411</v>
      </c>
      <c r="D48" s="46"/>
    </row>
    <row r="49" spans="2:4" hidden="1">
      <c r="B49" s="52">
        <v>7314</v>
      </c>
      <c r="C49" s="48" t="s">
        <v>412</v>
      </c>
      <c r="D49" s="46"/>
    </row>
    <row r="50" spans="2:4" hidden="1">
      <c r="B50" s="52">
        <v>732</v>
      </c>
      <c r="C50" s="45" t="s">
        <v>413</v>
      </c>
      <c r="D50" s="46"/>
    </row>
    <row r="51" spans="2:4" hidden="1">
      <c r="B51" s="44">
        <v>7321</v>
      </c>
      <c r="C51" s="48" t="s">
        <v>414</v>
      </c>
      <c r="D51" s="46"/>
    </row>
    <row r="52" spans="2:4">
      <c r="B52" s="49">
        <v>74</v>
      </c>
      <c r="C52" s="50" t="s">
        <v>415</v>
      </c>
      <c r="D52" s="43" t="e">
        <f>+D53</f>
        <v>#REF!</v>
      </c>
    </row>
    <row r="53" spans="2:4">
      <c r="B53" s="52">
        <v>741</v>
      </c>
      <c r="C53" s="48" t="s">
        <v>415</v>
      </c>
      <c r="D53" s="46" t="e">
        <f>+#REF!</f>
        <v>#REF!</v>
      </c>
    </row>
    <row r="54" spans="2:4" hidden="1">
      <c r="B54" s="44">
        <v>7411</v>
      </c>
      <c r="C54" s="48" t="s">
        <v>416</v>
      </c>
      <c r="D54" s="46">
        <v>0</v>
      </c>
    </row>
    <row r="55" spans="2:4">
      <c r="B55" s="49">
        <v>75</v>
      </c>
      <c r="C55" s="50" t="s">
        <v>110</v>
      </c>
      <c r="D55" s="43" t="e">
        <f>+D56</f>
        <v>#REF!</v>
      </c>
    </row>
    <row r="56" spans="2:4">
      <c r="B56" s="53">
        <v>751</v>
      </c>
      <c r="C56" s="54" t="s">
        <v>110</v>
      </c>
      <c r="D56" s="55" t="e">
        <f>+D57+D58</f>
        <v>#REF!</v>
      </c>
    </row>
    <row r="57" spans="2:4">
      <c r="B57" s="51">
        <v>7511</v>
      </c>
      <c r="C57" s="48" t="s">
        <v>143</v>
      </c>
      <c r="D57" s="46" t="e">
        <f>+#REF!</f>
        <v>#REF!</v>
      </c>
    </row>
    <row r="58" spans="2:4" ht="15.75" thickBot="1">
      <c r="B58" s="56">
        <v>7512</v>
      </c>
      <c r="C58" s="57" t="s">
        <v>121</v>
      </c>
      <c r="D58" s="58" t="e">
        <f>+#REF!</f>
        <v>#REF!</v>
      </c>
    </row>
    <row r="59" spans="2:4" ht="15.75" thickTop="1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D2:G24"/>
  <sheetViews>
    <sheetView workbookViewId="0">
      <selection activeCell="G24" sqref="G24"/>
    </sheetView>
  </sheetViews>
  <sheetFormatPr defaultColWidth="9.140625" defaultRowHeight="15"/>
  <cols>
    <col min="1" max="3" width="9.140625" style="29"/>
    <col min="4" max="4" width="44.28515625" style="29" customWidth="1"/>
    <col min="5" max="5" width="18.28515625" style="29" customWidth="1"/>
    <col min="6" max="6" width="9.140625" style="29"/>
    <col min="7" max="7" width="14.5703125" style="29" bestFit="1" customWidth="1"/>
    <col min="8" max="16384" width="9.140625" style="29"/>
  </cols>
  <sheetData>
    <row r="2" spans="4:7" ht="15.75" thickBot="1"/>
    <row r="3" spans="4:7" ht="16.5" thickTop="1" thickBot="1">
      <c r="D3" s="59" t="s">
        <v>126</v>
      </c>
      <c r="E3" s="60" t="s">
        <v>395</v>
      </c>
    </row>
    <row r="4" spans="4:7" ht="16.5" thickTop="1" thickBot="1">
      <c r="D4" s="61" t="s">
        <v>417</v>
      </c>
      <c r="E4" s="62" t="e">
        <f>+E5+E6</f>
        <v>#REF!</v>
      </c>
      <c r="G4" s="63" t="e">
        <f>+E4-#REF!</f>
        <v>#REF!</v>
      </c>
    </row>
    <row r="5" spans="4:7" ht="16.5" thickTop="1">
      <c r="D5" s="71" t="s">
        <v>418</v>
      </c>
      <c r="E5" s="72" t="e">
        <f>+PRIMICI!D6+PRIMICI!D14</f>
        <v>#REF!</v>
      </c>
      <c r="G5" s="65"/>
    </row>
    <row r="6" spans="4:7" ht="16.5" thickBot="1">
      <c r="D6" s="73" t="s">
        <v>53</v>
      </c>
      <c r="E6" s="74" t="e">
        <f>+PRIMICI!D19+PRIMICI!D24+PRIMICI!D31+PRIMICI!D44</f>
        <v>#REF!</v>
      </c>
      <c r="G6" s="65"/>
    </row>
    <row r="7" spans="4:7" ht="16.5" thickTop="1" thickBot="1">
      <c r="D7" s="66" t="s">
        <v>419</v>
      </c>
      <c r="E7" s="62" t="e">
        <f>+E8+E9</f>
        <v>#REF!</v>
      </c>
      <c r="G7" s="63" t="e">
        <f>+E7-#REF!</f>
        <v>#REF!</v>
      </c>
    </row>
    <row r="8" spans="4:7" ht="16.5" thickTop="1">
      <c r="D8" s="75" t="s">
        <v>125</v>
      </c>
      <c r="E8" s="72" t="e">
        <f>+#REF!</f>
        <v>#REF!</v>
      </c>
      <c r="G8" s="65"/>
    </row>
    <row r="9" spans="4:7" ht="16.5" thickBot="1">
      <c r="D9" s="73" t="s">
        <v>420</v>
      </c>
      <c r="E9" s="74" t="e">
        <f>+#REF!</f>
        <v>#REF!</v>
      </c>
      <c r="G9" s="65"/>
    </row>
    <row r="10" spans="4:7" ht="16.5" thickTop="1" thickBot="1">
      <c r="D10" s="67" t="s">
        <v>421</v>
      </c>
      <c r="E10" s="62" t="e">
        <f>+E4-E7</f>
        <v>#REF!</v>
      </c>
      <c r="G10" s="63" t="e">
        <f>+E10-#REF!</f>
        <v>#REF!</v>
      </c>
    </row>
    <row r="11" spans="4:7" ht="16.5" thickTop="1" thickBot="1">
      <c r="D11" s="67" t="s">
        <v>422</v>
      </c>
      <c r="E11" s="62" t="e">
        <f>+#REF!</f>
        <v>#REF!</v>
      </c>
      <c r="G11" s="65"/>
    </row>
    <row r="12" spans="4:7" ht="16.5" thickTop="1" thickBot="1">
      <c r="D12" s="67" t="s">
        <v>423</v>
      </c>
      <c r="E12" s="62" t="e">
        <f>+E13+E14+E15</f>
        <v>#REF!</v>
      </c>
      <c r="G12" s="63" t="e">
        <f>+E12-#REF!</f>
        <v>#REF!</v>
      </c>
    </row>
    <row r="13" spans="4:7" ht="16.5" thickTop="1" thickBot="1">
      <c r="D13" s="76" t="s">
        <v>157</v>
      </c>
      <c r="E13" s="72" t="e">
        <f>+#REF!</f>
        <v>#REF!</v>
      </c>
      <c r="G13" s="65"/>
    </row>
    <row r="14" spans="4:7" ht="16.5" thickTop="1" thickBot="1">
      <c r="D14" s="77" t="s">
        <v>158</v>
      </c>
      <c r="E14" s="72" t="e">
        <f>+#REF!</f>
        <v>#REF!</v>
      </c>
      <c r="G14" s="65"/>
    </row>
    <row r="15" spans="4:7" ht="16.5" thickTop="1" thickBot="1">
      <c r="D15" s="78" t="s">
        <v>159</v>
      </c>
      <c r="E15" s="72" t="e">
        <f>+#REF!</f>
        <v>#REF!</v>
      </c>
      <c r="G15" s="65"/>
    </row>
    <row r="16" spans="4:7" ht="15.75" hidden="1" thickBot="1">
      <c r="D16" s="68" t="s">
        <v>112</v>
      </c>
      <c r="E16" s="64">
        <v>0</v>
      </c>
      <c r="G16" s="65"/>
    </row>
    <row r="17" spans="4:7" ht="16.5" thickTop="1" thickBot="1">
      <c r="D17" s="67" t="s">
        <v>424</v>
      </c>
      <c r="E17" s="62" t="e">
        <f>+E10-E12</f>
        <v>#REF!</v>
      </c>
      <c r="G17" s="63" t="e">
        <f>+E17-#REF!</f>
        <v>#REF!</v>
      </c>
    </row>
    <row r="18" spans="4:7" ht="16.5" thickTop="1" thickBot="1">
      <c r="D18" s="67" t="s">
        <v>425</v>
      </c>
      <c r="E18" s="62" t="e">
        <f>SUM(E19:E23)</f>
        <v>#REF!</v>
      </c>
      <c r="G18" s="63" t="e">
        <f>+E18-#REF!</f>
        <v>#REF!</v>
      </c>
    </row>
    <row r="19" spans="4:7" ht="16.5" thickTop="1" thickBot="1">
      <c r="D19" s="76" t="s">
        <v>143</v>
      </c>
      <c r="E19" s="72" t="e">
        <f>+#REF!</f>
        <v>#REF!</v>
      </c>
      <c r="G19" s="65"/>
    </row>
    <row r="20" spans="4:7" ht="16.5" thickTop="1" thickBot="1">
      <c r="D20" s="77" t="s">
        <v>121</v>
      </c>
      <c r="E20" s="72" t="e">
        <f>+#REF!</f>
        <v>#REF!</v>
      </c>
      <c r="G20" s="65"/>
    </row>
    <row r="21" spans="4:7" ht="16.5" thickTop="1" thickBot="1">
      <c r="D21" s="77" t="s">
        <v>122</v>
      </c>
      <c r="E21" s="72" t="e">
        <f>+#REF!</f>
        <v>#REF!</v>
      </c>
      <c r="G21" s="65"/>
    </row>
    <row r="22" spans="4:7" ht="15.75" thickTop="1">
      <c r="D22" s="77" t="s">
        <v>123</v>
      </c>
      <c r="E22" s="72" t="e">
        <f>+#REF!</f>
        <v>#REF!</v>
      </c>
      <c r="G22" s="65"/>
    </row>
    <row r="23" spans="4:7" ht="15.75" thickBot="1">
      <c r="D23" s="78" t="s">
        <v>160</v>
      </c>
      <c r="E23" s="79" t="e">
        <f>-E17-SUM(E19:E22)</f>
        <v>#REF!</v>
      </c>
      <c r="G23" s="69" t="e">
        <f>+E23-#REF!</f>
        <v>#REF!</v>
      </c>
    </row>
    <row r="24" spans="4:7" ht="15.75" thickTop="1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W444"/>
  <sheetViews>
    <sheetView topLeftCell="A373" workbookViewId="0">
      <selection activeCell="C278" sqref="C278"/>
    </sheetView>
  </sheetViews>
  <sheetFormatPr defaultColWidth="9.140625" defaultRowHeight="12.75"/>
  <cols>
    <col min="1" max="1" width="2" style="11" customWidth="1"/>
    <col min="2" max="2" width="62" style="11" customWidth="1"/>
    <col min="3" max="3" width="63.140625" style="11" customWidth="1"/>
    <col min="4" max="4" width="41.7109375" style="11" customWidth="1"/>
    <col min="5" max="5" width="20" style="11" customWidth="1"/>
    <col min="6" max="6" width="8.5703125" style="11" customWidth="1"/>
    <col min="7" max="7" width="5.42578125" style="11" customWidth="1"/>
    <col min="8" max="8" width="6.42578125" style="11" customWidth="1"/>
    <col min="9" max="9" width="8" style="11" customWidth="1"/>
    <col min="10" max="10" width="6.42578125" style="11" customWidth="1"/>
    <col min="11" max="11" width="9.28515625" style="11" customWidth="1"/>
    <col min="12" max="12" width="7.42578125" style="11" customWidth="1"/>
    <col min="13" max="13" width="17" style="11" customWidth="1"/>
    <col min="14" max="14" width="8.85546875" style="11" customWidth="1"/>
    <col min="15" max="15" width="83.140625" style="11" customWidth="1"/>
    <col min="16" max="16" width="6.42578125" style="11" customWidth="1"/>
    <col min="17" max="17" width="5.42578125" style="11" customWidth="1"/>
    <col min="18" max="18" width="6.42578125" style="11" customWidth="1"/>
    <col min="19" max="19" width="2.7109375" style="11" customWidth="1"/>
    <col min="20" max="20" width="6.5703125" style="11" customWidth="1"/>
    <col min="21" max="21" width="5.7109375" style="11" customWidth="1"/>
    <col min="22" max="22" width="11.7109375" style="1" customWidth="1"/>
    <col min="23" max="16384" width="9.140625" style="1"/>
  </cols>
  <sheetData>
    <row r="1" spans="1:3">
      <c r="A1" s="10">
        <v>2</v>
      </c>
      <c r="B1" s="11" t="s">
        <v>250</v>
      </c>
    </row>
    <row r="3" spans="1:3">
      <c r="B3" s="349" t="s">
        <v>195</v>
      </c>
      <c r="C3" s="349"/>
    </row>
    <row r="5" spans="1:3" ht="15" customHeight="1">
      <c r="B5" s="11" t="s">
        <v>198</v>
      </c>
      <c r="C5" s="11" t="s">
        <v>196</v>
      </c>
    </row>
    <row r="6" spans="1:3">
      <c r="B6" s="11" t="s">
        <v>199</v>
      </c>
      <c r="C6" s="11" t="s">
        <v>197</v>
      </c>
    </row>
    <row r="8" spans="1:3">
      <c r="B8" s="11" t="s">
        <v>207</v>
      </c>
      <c r="C8" s="11" t="s">
        <v>364</v>
      </c>
    </row>
    <row r="9" spans="1:3">
      <c r="B9" s="11" t="s">
        <v>205</v>
      </c>
      <c r="C9" s="11" t="s">
        <v>206</v>
      </c>
    </row>
    <row r="10" spans="1:3">
      <c r="B10" s="11" t="s">
        <v>212</v>
      </c>
      <c r="C10" s="11" t="s">
        <v>214</v>
      </c>
    </row>
    <row r="11" spans="1:3">
      <c r="B11" s="11" t="s">
        <v>213</v>
      </c>
      <c r="C11" s="11" t="s">
        <v>211</v>
      </c>
    </row>
    <row r="12" spans="1:3">
      <c r="B12" s="11" t="s">
        <v>215</v>
      </c>
      <c r="C12" s="11" t="s">
        <v>216</v>
      </c>
    </row>
    <row r="13" spans="1:3">
      <c r="B13" s="11" t="s">
        <v>210</v>
      </c>
      <c r="C13" s="11" t="s">
        <v>365</v>
      </c>
    </row>
    <row r="14" spans="1:3">
      <c r="B14" s="11" t="s">
        <v>366</v>
      </c>
      <c r="C14" s="11" t="s">
        <v>367</v>
      </c>
    </row>
    <row r="15" spans="1:3">
      <c r="B15" s="11" t="s">
        <v>208</v>
      </c>
      <c r="C15" s="11" t="s">
        <v>209</v>
      </c>
    </row>
    <row r="16" spans="1:3">
      <c r="B16" s="11" t="s">
        <v>200</v>
      </c>
      <c r="C16" s="11" t="s">
        <v>201</v>
      </c>
    </row>
    <row r="17" spans="2:3" ht="15" customHeight="1">
      <c r="B17" s="11" t="s">
        <v>202</v>
      </c>
      <c r="C17" s="11" t="s">
        <v>289</v>
      </c>
    </row>
    <row r="18" spans="2:3">
      <c r="B18" s="11" t="s">
        <v>368</v>
      </c>
      <c r="C18" s="11" t="s">
        <v>369</v>
      </c>
    </row>
    <row r="19" spans="2:3">
      <c r="B19" s="11" t="s">
        <v>290</v>
      </c>
      <c r="C19" s="11" t="s">
        <v>291</v>
      </c>
    </row>
    <row r="21" spans="2:3">
      <c r="B21" s="11" t="s">
        <v>220</v>
      </c>
      <c r="C21" s="11" t="s">
        <v>221</v>
      </c>
    </row>
    <row r="22" spans="2:3">
      <c r="B22" s="11" t="s">
        <v>203</v>
      </c>
      <c r="C22" s="11" t="s">
        <v>204</v>
      </c>
    </row>
    <row r="24" spans="2:3">
      <c r="B24" s="11" t="s">
        <v>330</v>
      </c>
    </row>
    <row r="25" spans="2:3">
      <c r="B25" s="11" t="s">
        <v>219</v>
      </c>
    </row>
    <row r="27" spans="2:3">
      <c r="B27" s="12" t="s">
        <v>171</v>
      </c>
    </row>
    <row r="28" spans="2:3">
      <c r="B28" s="12" t="s">
        <v>170</v>
      </c>
    </row>
    <row r="30" spans="2:3">
      <c r="B30" s="11" t="s">
        <v>217</v>
      </c>
    </row>
    <row r="31" spans="2:3">
      <c r="B31" s="11" t="s">
        <v>218</v>
      </c>
    </row>
    <row r="37" spans="2:20">
      <c r="B37" s="349" t="s">
        <v>243</v>
      </c>
      <c r="C37" s="349"/>
      <c r="D37" s="349"/>
      <c r="E37" s="349"/>
      <c r="F37" s="349"/>
      <c r="G37" s="349"/>
      <c r="H37" s="349"/>
      <c r="I37" s="349"/>
      <c r="J37" s="349"/>
      <c r="K37" s="349"/>
      <c r="L37" s="349"/>
      <c r="M37" s="349"/>
      <c r="N37" s="349"/>
      <c r="O37" s="349"/>
      <c r="P37" s="349"/>
      <c r="Q37" s="349"/>
      <c r="R37" s="349"/>
      <c r="S37" s="349"/>
      <c r="T37" s="349"/>
    </row>
    <row r="40" spans="2:20" ht="12.75" customHeight="1">
      <c r="B40" s="352" t="s">
        <v>238</v>
      </c>
      <c r="C40" s="352"/>
      <c r="D40" s="353" t="s">
        <v>244</v>
      </c>
      <c r="E40" s="353"/>
      <c r="F40" s="352" t="s">
        <v>239</v>
      </c>
      <c r="G40" s="352"/>
      <c r="H40" s="352"/>
      <c r="I40" s="2" t="s">
        <v>240</v>
      </c>
      <c r="J40" s="352" t="s">
        <v>241</v>
      </c>
      <c r="K40" s="352"/>
      <c r="L40" s="352"/>
      <c r="M40" s="352" t="s">
        <v>242</v>
      </c>
      <c r="N40" s="352"/>
      <c r="O40" s="352"/>
      <c r="P40" s="352"/>
    </row>
    <row r="41" spans="2:20">
      <c r="B41" s="352"/>
      <c r="C41" s="352"/>
      <c r="D41" s="353"/>
      <c r="E41" s="353"/>
      <c r="F41" s="13">
        <v>2008</v>
      </c>
      <c r="G41" s="14">
        <v>2009</v>
      </c>
      <c r="H41" s="14">
        <v>2010</v>
      </c>
      <c r="I41" s="14">
        <v>2011</v>
      </c>
      <c r="J41" s="14">
        <v>2012</v>
      </c>
      <c r="K41" s="14">
        <v>2013</v>
      </c>
      <c r="L41" s="14">
        <v>2014</v>
      </c>
      <c r="M41" s="14">
        <v>2011</v>
      </c>
      <c r="N41" s="14">
        <v>2012</v>
      </c>
      <c r="O41" s="14">
        <v>2013</v>
      </c>
      <c r="P41" s="14">
        <v>2014</v>
      </c>
    </row>
    <row r="42" spans="2:20">
      <c r="B42" s="350" t="s">
        <v>222</v>
      </c>
      <c r="C42" s="15" t="s">
        <v>223</v>
      </c>
      <c r="D42" s="354" t="s">
        <v>180</v>
      </c>
      <c r="E42" s="16" t="s">
        <v>181</v>
      </c>
      <c r="F42" s="354" t="s">
        <v>246</v>
      </c>
      <c r="G42" s="354"/>
      <c r="H42" s="354"/>
      <c r="I42" s="17" t="s">
        <v>247</v>
      </c>
      <c r="J42" s="355" t="s">
        <v>248</v>
      </c>
      <c r="K42" s="355"/>
      <c r="L42" s="355"/>
      <c r="M42" s="354" t="s">
        <v>249</v>
      </c>
      <c r="N42" s="354"/>
      <c r="O42" s="354"/>
      <c r="P42" s="354"/>
    </row>
    <row r="43" spans="2:20">
      <c r="B43" s="350"/>
      <c r="C43" s="18" t="s">
        <v>224</v>
      </c>
      <c r="D43" s="354"/>
      <c r="E43" s="16" t="s">
        <v>182</v>
      </c>
      <c r="G43" s="16"/>
      <c r="H43" s="16"/>
      <c r="I43" s="17"/>
      <c r="J43" s="16"/>
      <c r="K43" s="17"/>
      <c r="L43" s="16"/>
      <c r="M43" s="17"/>
      <c r="N43" s="16"/>
    </row>
    <row r="44" spans="2:20">
      <c r="B44" s="350"/>
      <c r="C44" s="15" t="s">
        <v>225</v>
      </c>
      <c r="D44" s="354"/>
      <c r="E44" s="16" t="s">
        <v>183</v>
      </c>
      <c r="F44" s="16"/>
      <c r="G44" s="17"/>
      <c r="H44" s="16"/>
      <c r="I44" s="17"/>
      <c r="J44" s="17"/>
      <c r="K44" s="17"/>
      <c r="L44" s="16"/>
      <c r="M44" s="16"/>
      <c r="N44" s="16"/>
    </row>
    <row r="45" spans="2:20">
      <c r="B45" s="350"/>
      <c r="C45" s="15" t="s">
        <v>226</v>
      </c>
      <c r="D45" s="354"/>
      <c r="E45" s="17" t="s">
        <v>184</v>
      </c>
      <c r="F45" s="17"/>
      <c r="G45" s="17"/>
      <c r="H45" s="17"/>
      <c r="I45" s="17"/>
      <c r="J45" s="17"/>
      <c r="K45" s="17"/>
      <c r="L45" s="17"/>
      <c r="M45" s="17"/>
      <c r="N45" s="17"/>
    </row>
    <row r="46" spans="2:20">
      <c r="B46" s="350"/>
      <c r="C46" s="15" t="s">
        <v>227</v>
      </c>
      <c r="D46" s="354"/>
      <c r="E46" s="17" t="s">
        <v>185</v>
      </c>
      <c r="F46" s="17"/>
      <c r="G46" s="17"/>
      <c r="H46" s="17"/>
      <c r="I46" s="17"/>
      <c r="J46" s="17"/>
      <c r="K46" s="17"/>
      <c r="L46" s="17"/>
      <c r="M46" s="17"/>
      <c r="N46" s="17"/>
    </row>
    <row r="47" spans="2:20">
      <c r="B47" s="350"/>
      <c r="C47" s="15" t="s">
        <v>228</v>
      </c>
      <c r="D47" s="354"/>
      <c r="E47" s="16" t="s">
        <v>186</v>
      </c>
      <c r="F47" s="17"/>
      <c r="G47" s="17"/>
      <c r="H47" s="17"/>
      <c r="I47" s="16"/>
      <c r="J47" s="16"/>
      <c r="K47" s="16"/>
      <c r="L47" s="16"/>
      <c r="M47" s="16"/>
      <c r="N47" s="16"/>
    </row>
    <row r="48" spans="2:20">
      <c r="B48" s="350"/>
      <c r="C48" s="15" t="s">
        <v>229</v>
      </c>
      <c r="D48" s="354"/>
      <c r="E48" s="17" t="s">
        <v>187</v>
      </c>
      <c r="F48" s="17"/>
      <c r="G48" s="17"/>
      <c r="H48" s="17"/>
      <c r="I48" s="17"/>
      <c r="J48" s="17"/>
      <c r="K48" s="17"/>
      <c r="L48" s="17"/>
      <c r="M48" s="17"/>
      <c r="N48" s="17"/>
    </row>
    <row r="49" spans="2:20">
      <c r="B49" s="350"/>
      <c r="C49" s="19" t="s">
        <v>230</v>
      </c>
      <c r="D49" s="354"/>
      <c r="E49" s="16" t="s">
        <v>245</v>
      </c>
      <c r="F49" s="17"/>
      <c r="G49" s="16"/>
      <c r="H49" s="16"/>
      <c r="I49" s="16"/>
      <c r="J49" s="16"/>
      <c r="K49" s="16"/>
      <c r="L49" s="16"/>
      <c r="M49" s="16"/>
      <c r="N49" s="16"/>
    </row>
    <row r="50" spans="2:20">
      <c r="B50" s="350"/>
      <c r="C50" s="15" t="s">
        <v>231</v>
      </c>
      <c r="D50" s="354"/>
      <c r="E50" s="17" t="s">
        <v>188</v>
      </c>
      <c r="F50" s="17"/>
      <c r="G50" s="17"/>
      <c r="H50" s="17"/>
      <c r="I50" s="17"/>
      <c r="J50" s="17"/>
      <c r="K50" s="17"/>
      <c r="L50" s="17"/>
      <c r="M50" s="17"/>
      <c r="N50" s="17"/>
    </row>
    <row r="51" spans="2:20">
      <c r="B51" s="350"/>
      <c r="C51" s="15" t="s">
        <v>378</v>
      </c>
      <c r="D51" s="354"/>
      <c r="E51" s="17" t="s">
        <v>379</v>
      </c>
      <c r="F51" s="17"/>
      <c r="G51" s="17"/>
      <c r="H51" s="17"/>
      <c r="I51" s="17"/>
      <c r="J51" s="17"/>
      <c r="K51" s="17"/>
      <c r="L51" s="17"/>
      <c r="M51" s="17"/>
      <c r="N51" s="17"/>
    </row>
    <row r="52" spans="2:20">
      <c r="B52" s="351" t="s">
        <v>232</v>
      </c>
      <c r="C52" s="20" t="s">
        <v>233</v>
      </c>
      <c r="D52" s="354" t="s">
        <v>189</v>
      </c>
      <c r="E52" s="17" t="s">
        <v>190</v>
      </c>
      <c r="F52" s="17"/>
      <c r="G52" s="17"/>
      <c r="H52" s="17"/>
      <c r="I52" s="17"/>
      <c r="J52" s="17"/>
      <c r="K52" s="17"/>
      <c r="L52" s="17"/>
      <c r="M52" s="17"/>
      <c r="N52" s="17"/>
    </row>
    <row r="53" spans="2:20">
      <c r="B53" s="351"/>
      <c r="C53" s="20" t="s">
        <v>234</v>
      </c>
      <c r="D53" s="354"/>
      <c r="E53" s="17" t="s">
        <v>191</v>
      </c>
      <c r="F53" s="17"/>
      <c r="G53" s="17"/>
      <c r="H53" s="17"/>
      <c r="I53" s="17"/>
      <c r="J53" s="17"/>
      <c r="K53" s="17"/>
      <c r="L53" s="17"/>
      <c r="M53" s="17"/>
      <c r="N53" s="17"/>
    </row>
    <row r="54" spans="2:20">
      <c r="B54" s="351"/>
      <c r="C54" s="20" t="s">
        <v>235</v>
      </c>
      <c r="D54" s="354"/>
      <c r="E54" s="17" t="s">
        <v>373</v>
      </c>
      <c r="F54" s="17"/>
      <c r="G54" s="17"/>
      <c r="H54" s="17"/>
      <c r="I54" s="17"/>
      <c r="J54" s="17"/>
      <c r="K54" s="16"/>
      <c r="L54" s="17"/>
      <c r="M54" s="17"/>
      <c r="N54" s="17"/>
    </row>
    <row r="55" spans="2:20">
      <c r="B55" s="351"/>
      <c r="C55" s="20" t="s">
        <v>374</v>
      </c>
      <c r="D55" s="354"/>
      <c r="E55" s="20" t="s">
        <v>376</v>
      </c>
      <c r="F55" s="17"/>
      <c r="G55" s="17"/>
      <c r="H55" s="17"/>
      <c r="I55" s="17"/>
      <c r="J55" s="17"/>
      <c r="K55" s="16"/>
      <c r="L55" s="17"/>
      <c r="M55" s="17"/>
      <c r="N55" s="17"/>
    </row>
    <row r="56" spans="2:20">
      <c r="B56" s="351"/>
      <c r="C56" s="20" t="s">
        <v>79</v>
      </c>
      <c r="D56" s="354"/>
      <c r="E56" s="17" t="s">
        <v>192</v>
      </c>
      <c r="F56" s="17"/>
      <c r="G56" s="16"/>
      <c r="H56" s="21"/>
      <c r="I56" s="21"/>
      <c r="J56" s="21"/>
      <c r="K56" s="21"/>
      <c r="L56" s="21"/>
      <c r="M56" s="21"/>
      <c r="N56" s="16"/>
    </row>
    <row r="57" spans="2:20">
      <c r="B57" s="351"/>
      <c r="C57" s="20" t="s">
        <v>236</v>
      </c>
      <c r="D57" s="354"/>
      <c r="E57" s="17" t="s">
        <v>193</v>
      </c>
      <c r="F57" s="17"/>
      <c r="G57" s="17"/>
      <c r="H57" s="17"/>
      <c r="I57" s="17"/>
      <c r="J57" s="21"/>
      <c r="K57" s="16"/>
      <c r="L57" s="17"/>
      <c r="M57" s="17"/>
      <c r="N57" s="17"/>
    </row>
    <row r="58" spans="2:20">
      <c r="B58" s="351"/>
      <c r="C58" s="20" t="s">
        <v>375</v>
      </c>
      <c r="D58" s="354"/>
      <c r="E58" s="17" t="s">
        <v>377</v>
      </c>
      <c r="F58" s="17"/>
      <c r="G58" s="17"/>
      <c r="H58" s="17"/>
      <c r="I58" s="17"/>
      <c r="J58" s="21"/>
      <c r="K58" s="16"/>
      <c r="L58" s="17"/>
      <c r="M58" s="17"/>
      <c r="N58" s="17"/>
    </row>
    <row r="59" spans="2:20">
      <c r="B59" s="351"/>
      <c r="C59" s="20" t="s">
        <v>237</v>
      </c>
      <c r="D59" s="354"/>
      <c r="E59" s="17" t="s">
        <v>194</v>
      </c>
      <c r="F59" s="17"/>
      <c r="G59" s="17"/>
      <c r="H59" s="17"/>
      <c r="I59" s="17"/>
      <c r="J59" s="17"/>
      <c r="K59" s="17"/>
      <c r="L59" s="21"/>
      <c r="M59" s="17"/>
      <c r="N59" s="17"/>
    </row>
    <row r="60" spans="2:20">
      <c r="B60" s="11" t="s">
        <v>332</v>
      </c>
      <c r="D60" s="11" t="s">
        <v>331</v>
      </c>
    </row>
    <row r="62" spans="2:20">
      <c r="B62" s="349" t="s">
        <v>251</v>
      </c>
      <c r="C62" s="349"/>
      <c r="D62" s="349"/>
      <c r="E62" s="349"/>
      <c r="F62" s="349"/>
      <c r="G62" s="349"/>
      <c r="H62" s="349"/>
      <c r="I62" s="349"/>
      <c r="J62" s="349"/>
      <c r="K62" s="349"/>
      <c r="L62" s="349"/>
      <c r="M62" s="349"/>
      <c r="N62" s="349"/>
      <c r="O62" s="349"/>
      <c r="P62" s="349"/>
      <c r="Q62" s="349"/>
      <c r="R62" s="349"/>
      <c r="S62" s="349"/>
      <c r="T62" s="349"/>
    </row>
    <row r="66" spans="2:22">
      <c r="B66" s="11" t="s">
        <v>370</v>
      </c>
    </row>
    <row r="67" spans="2:22">
      <c r="B67" s="11" t="s">
        <v>371</v>
      </c>
      <c r="M67" s="11" t="s">
        <v>337</v>
      </c>
      <c r="O67" s="11" t="s">
        <v>380</v>
      </c>
    </row>
    <row r="68" spans="2:22">
      <c r="D68" s="22"/>
      <c r="E68" s="23"/>
      <c r="F68" s="22"/>
      <c r="G68" s="23"/>
      <c r="H68" s="22"/>
      <c r="I68" s="23"/>
      <c r="J68" s="22"/>
      <c r="K68" s="23"/>
      <c r="L68" s="22"/>
      <c r="M68" s="23" t="s">
        <v>336</v>
      </c>
      <c r="N68" s="22"/>
      <c r="O68" s="23" t="s">
        <v>381</v>
      </c>
      <c r="P68" s="22"/>
      <c r="Q68" s="23"/>
      <c r="R68" s="22"/>
      <c r="S68" s="23"/>
      <c r="T68" s="22"/>
    </row>
    <row r="69" spans="2:22">
      <c r="C69" s="4">
        <v>2006</v>
      </c>
      <c r="D69" s="4"/>
      <c r="E69" s="4">
        <v>2007</v>
      </c>
      <c r="F69" s="4"/>
      <c r="G69" s="4">
        <v>2008</v>
      </c>
      <c r="H69" s="4"/>
      <c r="I69" s="4">
        <v>2009</v>
      </c>
      <c r="J69" s="4"/>
      <c r="K69" s="4">
        <v>2010</v>
      </c>
      <c r="L69" s="4"/>
      <c r="M69" s="4">
        <v>2011</v>
      </c>
      <c r="N69" s="4"/>
      <c r="O69" s="4">
        <v>2012</v>
      </c>
      <c r="P69" s="4"/>
      <c r="Q69" s="4">
        <v>2013</v>
      </c>
      <c r="R69" s="4"/>
      <c r="S69" s="4">
        <v>2014</v>
      </c>
      <c r="T69" s="4"/>
      <c r="U69" s="11">
        <v>2015</v>
      </c>
    </row>
    <row r="70" spans="2:22">
      <c r="B70" s="5" t="s">
        <v>126</v>
      </c>
      <c r="C70" s="6" t="s">
        <v>262</v>
      </c>
      <c r="D70" s="6" t="s">
        <v>149</v>
      </c>
      <c r="E70" s="6" t="s">
        <v>262</v>
      </c>
      <c r="F70" s="6" t="s">
        <v>149</v>
      </c>
      <c r="G70" s="6" t="s">
        <v>262</v>
      </c>
      <c r="H70" s="6" t="s">
        <v>149</v>
      </c>
      <c r="I70" s="6" t="s">
        <v>262</v>
      </c>
      <c r="J70" s="6" t="s">
        <v>149</v>
      </c>
      <c r="K70" s="6" t="s">
        <v>262</v>
      </c>
      <c r="L70" s="6" t="s">
        <v>149</v>
      </c>
      <c r="M70" s="6" t="s">
        <v>262</v>
      </c>
      <c r="N70" s="6" t="s">
        <v>149</v>
      </c>
      <c r="O70" s="6" t="s">
        <v>262</v>
      </c>
      <c r="P70" s="6" t="s">
        <v>149</v>
      </c>
      <c r="Q70" s="6" t="s">
        <v>262</v>
      </c>
      <c r="R70" s="6" t="s">
        <v>149</v>
      </c>
      <c r="S70" s="6" t="s">
        <v>262</v>
      </c>
      <c r="T70" s="6" t="s">
        <v>149</v>
      </c>
      <c r="U70" s="6" t="s">
        <v>262</v>
      </c>
      <c r="V70" s="3" t="s">
        <v>149</v>
      </c>
    </row>
    <row r="71" spans="2:22">
      <c r="B71" s="5" t="s">
        <v>252</v>
      </c>
      <c r="C71" s="6" t="s">
        <v>262</v>
      </c>
      <c r="D71" s="6" t="s">
        <v>165</v>
      </c>
      <c r="E71" s="6" t="s">
        <v>262</v>
      </c>
      <c r="F71" s="6" t="s">
        <v>165</v>
      </c>
      <c r="G71" s="6" t="s">
        <v>262</v>
      </c>
      <c r="H71" s="6" t="s">
        <v>165</v>
      </c>
      <c r="I71" s="6" t="s">
        <v>262</v>
      </c>
      <c r="J71" s="6" t="s">
        <v>165</v>
      </c>
      <c r="K71" s="6" t="s">
        <v>262</v>
      </c>
      <c r="L71" s="6" t="s">
        <v>165</v>
      </c>
      <c r="M71" s="6" t="s">
        <v>262</v>
      </c>
      <c r="N71" s="6" t="s">
        <v>165</v>
      </c>
      <c r="O71" s="6" t="s">
        <v>262</v>
      </c>
      <c r="P71" s="6" t="s">
        <v>165</v>
      </c>
      <c r="Q71" s="6" t="s">
        <v>262</v>
      </c>
      <c r="R71" s="6" t="s">
        <v>165</v>
      </c>
      <c r="S71" s="6" t="s">
        <v>262</v>
      </c>
      <c r="T71" s="6" t="s">
        <v>165</v>
      </c>
      <c r="U71" s="6" t="s">
        <v>262</v>
      </c>
      <c r="V71" s="3" t="s">
        <v>165</v>
      </c>
    </row>
    <row r="72" spans="2:22">
      <c r="B72" s="7" t="s">
        <v>127</v>
      </c>
      <c r="C72" s="23" t="s">
        <v>1</v>
      </c>
      <c r="D72" s="24"/>
      <c r="E72" s="25"/>
      <c r="F72" s="24"/>
      <c r="G72" s="25"/>
      <c r="H72" s="24"/>
      <c r="I72" s="25"/>
      <c r="J72" s="24"/>
      <c r="K72" s="25"/>
      <c r="L72" s="24"/>
      <c r="M72" s="25"/>
      <c r="N72" s="24"/>
      <c r="O72" s="25"/>
      <c r="P72" s="24"/>
      <c r="Q72" s="25"/>
      <c r="R72" s="24"/>
      <c r="S72" s="25"/>
      <c r="T72" s="24"/>
    </row>
    <row r="73" spans="2:22">
      <c r="B73" s="7" t="s">
        <v>2</v>
      </c>
      <c r="C73" s="23" t="s">
        <v>166</v>
      </c>
      <c r="D73" s="22"/>
      <c r="E73" s="23"/>
      <c r="F73" s="22"/>
      <c r="G73" s="23"/>
      <c r="H73" s="22"/>
      <c r="I73" s="23"/>
      <c r="J73" s="22"/>
      <c r="K73" s="23"/>
      <c r="L73" s="22"/>
      <c r="M73" s="23"/>
      <c r="N73" s="22"/>
      <c r="O73" s="23"/>
      <c r="P73" s="22"/>
      <c r="Q73" s="23"/>
      <c r="R73" s="22"/>
      <c r="S73" s="23"/>
      <c r="T73" s="22"/>
    </row>
    <row r="74" spans="2:22">
      <c r="B74" s="8" t="s">
        <v>3</v>
      </c>
      <c r="C74" s="23" t="s">
        <v>68</v>
      </c>
      <c r="D74" s="22"/>
      <c r="E74" s="23"/>
      <c r="F74" s="22"/>
      <c r="G74" s="23"/>
      <c r="H74" s="22"/>
      <c r="I74" s="23"/>
      <c r="J74" s="22"/>
      <c r="K74" s="23"/>
      <c r="L74" s="22"/>
      <c r="M74" s="23"/>
      <c r="N74" s="22"/>
      <c r="O74" s="23"/>
      <c r="P74" s="22"/>
      <c r="Q74" s="23"/>
      <c r="R74" s="22"/>
      <c r="S74" s="23"/>
      <c r="T74" s="22"/>
    </row>
    <row r="75" spans="2:22">
      <c r="B75" s="7" t="s">
        <v>5</v>
      </c>
      <c r="C75" s="23" t="s">
        <v>253</v>
      </c>
      <c r="D75" s="22"/>
      <c r="E75" s="23"/>
      <c r="F75" s="22"/>
      <c r="G75" s="23"/>
      <c r="H75" s="22"/>
      <c r="I75" s="23"/>
      <c r="J75" s="22"/>
      <c r="K75" s="23"/>
      <c r="L75" s="22"/>
      <c r="M75" s="23"/>
      <c r="N75" s="22"/>
      <c r="O75" s="23"/>
      <c r="P75" s="22"/>
      <c r="Q75" s="23"/>
      <c r="R75" s="22"/>
      <c r="S75" s="23"/>
      <c r="T75" s="22"/>
    </row>
    <row r="76" spans="2:22">
      <c r="B76" s="7" t="s">
        <v>7</v>
      </c>
      <c r="C76" s="26" t="s">
        <v>8</v>
      </c>
      <c r="D76" s="22"/>
      <c r="E76" s="23"/>
      <c r="F76" s="22"/>
      <c r="G76" s="23"/>
      <c r="H76" s="22"/>
      <c r="I76" s="23"/>
      <c r="J76" s="22"/>
      <c r="K76" s="23"/>
      <c r="L76" s="22"/>
      <c r="M76" s="23"/>
      <c r="N76" s="22"/>
      <c r="O76" s="23"/>
      <c r="P76" s="22"/>
      <c r="Q76" s="23"/>
      <c r="R76" s="22"/>
      <c r="S76" s="23"/>
      <c r="T76" s="22"/>
    </row>
    <row r="77" spans="2:22">
      <c r="B77" s="7" t="s">
        <v>9</v>
      </c>
      <c r="C77" s="26" t="s">
        <v>10</v>
      </c>
      <c r="D77" s="24"/>
      <c r="E77" s="25"/>
      <c r="F77" s="24"/>
      <c r="G77" s="25"/>
      <c r="H77" s="24"/>
      <c r="I77" s="25"/>
      <c r="J77" s="24"/>
      <c r="K77" s="25"/>
      <c r="L77" s="24"/>
      <c r="M77" s="25"/>
      <c r="N77" s="24"/>
      <c r="O77" s="25"/>
      <c r="P77" s="24"/>
      <c r="Q77" s="25"/>
      <c r="R77" s="24"/>
      <c r="S77" s="25"/>
      <c r="T77" s="24"/>
    </row>
    <row r="78" spans="2:22">
      <c r="B78" s="7" t="s">
        <v>12</v>
      </c>
      <c r="C78" s="26" t="s">
        <v>13</v>
      </c>
      <c r="D78" s="24"/>
      <c r="E78" s="23"/>
      <c r="F78" s="24"/>
      <c r="G78" s="23"/>
      <c r="H78" s="24"/>
      <c r="I78" s="23"/>
      <c r="J78" s="24"/>
      <c r="K78" s="23"/>
      <c r="L78" s="24"/>
      <c r="M78" s="23"/>
      <c r="N78" s="24"/>
      <c r="O78" s="23"/>
      <c r="P78" s="24"/>
      <c r="Q78" s="23"/>
      <c r="R78" s="24"/>
      <c r="S78" s="23"/>
      <c r="T78" s="24"/>
    </row>
    <row r="79" spans="2:22">
      <c r="B79" s="7" t="s">
        <v>14</v>
      </c>
      <c r="C79" s="26" t="s">
        <v>15</v>
      </c>
      <c r="D79" s="24"/>
      <c r="E79" s="23"/>
      <c r="F79" s="24"/>
      <c r="G79" s="23"/>
      <c r="H79" s="24"/>
      <c r="I79" s="23"/>
      <c r="J79" s="24"/>
      <c r="K79" s="23"/>
      <c r="L79" s="24"/>
      <c r="M79" s="23"/>
      <c r="N79" s="24"/>
      <c r="O79" s="23"/>
      <c r="P79" s="24"/>
      <c r="Q79" s="23"/>
      <c r="R79" s="24"/>
      <c r="S79" s="23"/>
      <c r="T79" s="24"/>
    </row>
    <row r="80" spans="2:22">
      <c r="B80" s="7" t="s">
        <v>17</v>
      </c>
      <c r="C80" s="26" t="s">
        <v>18</v>
      </c>
      <c r="D80" s="24"/>
      <c r="E80" s="23"/>
      <c r="F80" s="24"/>
      <c r="G80" s="23"/>
      <c r="H80" s="24"/>
      <c r="I80" s="23"/>
      <c r="J80" s="24"/>
      <c r="K80" s="23"/>
      <c r="L80" s="24"/>
      <c r="M80" s="23"/>
      <c r="N80" s="24"/>
      <c r="O80" s="23"/>
      <c r="P80" s="24"/>
      <c r="Q80" s="23"/>
      <c r="R80" s="24"/>
      <c r="S80" s="23"/>
      <c r="T80" s="24"/>
    </row>
    <row r="81" spans="2:20">
      <c r="B81" s="7" t="s">
        <v>19</v>
      </c>
      <c r="C81" s="26" t="s">
        <v>20</v>
      </c>
      <c r="D81" s="24"/>
      <c r="E81" s="23"/>
      <c r="F81" s="24"/>
      <c r="G81" s="23"/>
      <c r="H81" s="24"/>
      <c r="I81" s="23"/>
      <c r="J81" s="24"/>
      <c r="K81" s="23"/>
      <c r="L81" s="24"/>
      <c r="M81" s="23"/>
      <c r="N81" s="24"/>
      <c r="O81" s="23"/>
      <c r="P81" s="24"/>
      <c r="Q81" s="23"/>
      <c r="R81" s="24"/>
      <c r="S81" s="23"/>
      <c r="T81" s="24"/>
    </row>
    <row r="82" spans="2:20">
      <c r="B82" s="7" t="s">
        <v>21</v>
      </c>
      <c r="C82" s="26" t="s">
        <v>22</v>
      </c>
      <c r="D82" s="24"/>
      <c r="E82" s="25"/>
      <c r="F82" s="24"/>
      <c r="G82" s="25"/>
      <c r="H82" s="24"/>
      <c r="I82" s="25"/>
      <c r="J82" s="24"/>
      <c r="K82" s="25"/>
      <c r="L82" s="24"/>
      <c r="M82" s="25"/>
      <c r="N82" s="24"/>
      <c r="O82" s="25"/>
      <c r="P82" s="24"/>
      <c r="Q82" s="25"/>
      <c r="R82" s="24"/>
      <c r="S82" s="25"/>
      <c r="T82" s="24"/>
    </row>
    <row r="83" spans="2:20">
      <c r="B83" s="7" t="s">
        <v>23</v>
      </c>
      <c r="C83" s="26" t="s">
        <v>24</v>
      </c>
      <c r="D83" s="24"/>
      <c r="E83" s="23"/>
      <c r="F83" s="24"/>
      <c r="G83" s="23"/>
      <c r="H83" s="24"/>
      <c r="I83" s="23"/>
      <c r="J83" s="24"/>
      <c r="K83" s="23"/>
      <c r="L83" s="24"/>
      <c r="M83" s="23"/>
      <c r="N83" s="24"/>
      <c r="O83" s="23"/>
      <c r="P83" s="24"/>
      <c r="Q83" s="23"/>
      <c r="R83" s="24"/>
      <c r="S83" s="23"/>
      <c r="T83" s="24"/>
    </row>
    <row r="84" spans="2:20">
      <c r="B84" s="7" t="s">
        <v>25</v>
      </c>
      <c r="C84" s="26" t="s">
        <v>26</v>
      </c>
      <c r="D84" s="24"/>
      <c r="E84" s="23"/>
      <c r="F84" s="24"/>
      <c r="G84" s="23"/>
      <c r="H84" s="24"/>
      <c r="I84" s="23"/>
      <c r="J84" s="24"/>
      <c r="K84" s="23"/>
      <c r="L84" s="24"/>
      <c r="M84" s="23"/>
      <c r="N84" s="24"/>
      <c r="O84" s="23"/>
      <c r="P84" s="24"/>
      <c r="Q84" s="23"/>
      <c r="R84" s="24"/>
      <c r="S84" s="23"/>
      <c r="T84" s="24"/>
    </row>
    <row r="85" spans="2:20">
      <c r="B85" s="7" t="s">
        <v>27</v>
      </c>
      <c r="C85" s="26" t="s">
        <v>28</v>
      </c>
      <c r="D85" s="24"/>
      <c r="E85" s="23"/>
      <c r="F85" s="24"/>
      <c r="G85" s="23"/>
      <c r="H85" s="24"/>
      <c r="I85" s="23"/>
      <c r="J85" s="24"/>
      <c r="K85" s="23"/>
      <c r="L85" s="24"/>
      <c r="M85" s="23"/>
      <c r="N85" s="24"/>
      <c r="O85" s="23"/>
      <c r="P85" s="24"/>
      <c r="Q85" s="23"/>
      <c r="R85" s="24"/>
      <c r="S85" s="23"/>
      <c r="T85" s="24"/>
    </row>
    <row r="86" spans="2:20">
      <c r="B86" s="7" t="s">
        <v>29</v>
      </c>
      <c r="C86" s="26" t="s">
        <v>30</v>
      </c>
      <c r="D86" s="24"/>
      <c r="E86" s="23"/>
      <c r="F86" s="24"/>
      <c r="G86" s="23"/>
      <c r="H86" s="24"/>
      <c r="I86" s="23"/>
      <c r="J86" s="24"/>
      <c r="K86" s="23"/>
      <c r="L86" s="24"/>
      <c r="M86" s="23"/>
      <c r="N86" s="24"/>
      <c r="O86" s="23"/>
      <c r="P86" s="24"/>
      <c r="Q86" s="23"/>
      <c r="R86" s="24"/>
      <c r="S86" s="23"/>
      <c r="T86" s="24"/>
    </row>
    <row r="87" spans="2:20">
      <c r="B87" s="7" t="s">
        <v>31</v>
      </c>
      <c r="C87" s="26" t="s">
        <v>174</v>
      </c>
      <c r="D87" s="24"/>
      <c r="E87" s="23"/>
      <c r="F87" s="24"/>
      <c r="G87" s="23"/>
      <c r="H87" s="24"/>
      <c r="I87" s="23"/>
      <c r="J87" s="24"/>
      <c r="K87" s="23"/>
      <c r="L87" s="24"/>
      <c r="M87" s="23"/>
      <c r="N87" s="24"/>
      <c r="O87" s="23"/>
      <c r="P87" s="24"/>
      <c r="Q87" s="23"/>
      <c r="R87" s="24"/>
      <c r="S87" s="23"/>
      <c r="T87" s="24"/>
    </row>
    <row r="88" spans="2:20">
      <c r="B88" s="7" t="s">
        <v>32</v>
      </c>
      <c r="C88" s="12" t="s">
        <v>33</v>
      </c>
      <c r="D88" s="24"/>
      <c r="E88" s="23"/>
      <c r="F88" s="24"/>
      <c r="G88" s="23"/>
      <c r="H88" s="24"/>
      <c r="I88" s="23"/>
      <c r="J88" s="24"/>
      <c r="K88" s="23"/>
      <c r="L88" s="24"/>
      <c r="M88" s="23"/>
      <c r="N88" s="24"/>
      <c r="O88" s="23"/>
      <c r="P88" s="24"/>
      <c r="Q88" s="23"/>
      <c r="R88" s="24"/>
      <c r="S88" s="23"/>
      <c r="T88" s="24"/>
    </row>
    <row r="89" spans="2:20">
      <c r="B89" s="7" t="s">
        <v>34</v>
      </c>
      <c r="C89" s="12" t="s">
        <v>35</v>
      </c>
      <c r="D89" s="24"/>
      <c r="E89" s="25"/>
      <c r="F89" s="24"/>
      <c r="G89" s="25"/>
      <c r="H89" s="24"/>
      <c r="I89" s="25"/>
      <c r="J89" s="24"/>
      <c r="K89" s="25"/>
      <c r="L89" s="24"/>
      <c r="M89" s="25"/>
      <c r="N89" s="24"/>
      <c r="O89" s="25"/>
      <c r="P89" s="24"/>
      <c r="Q89" s="25"/>
      <c r="R89" s="24"/>
      <c r="S89" s="25"/>
      <c r="T89" s="24"/>
    </row>
    <row r="90" spans="2:20">
      <c r="B90" s="7" t="s">
        <v>37</v>
      </c>
      <c r="C90" s="12" t="s">
        <v>38</v>
      </c>
      <c r="D90" s="24"/>
      <c r="E90" s="23"/>
      <c r="F90" s="24"/>
      <c r="G90" s="23"/>
      <c r="H90" s="24"/>
      <c r="I90" s="23"/>
      <c r="J90" s="24"/>
      <c r="K90" s="23"/>
      <c r="L90" s="24"/>
      <c r="M90" s="23"/>
      <c r="N90" s="24"/>
      <c r="O90" s="23"/>
      <c r="P90" s="24"/>
      <c r="Q90" s="23"/>
      <c r="R90" s="24"/>
      <c r="S90" s="23"/>
      <c r="T90" s="24"/>
    </row>
    <row r="91" spans="2:20">
      <c r="B91" s="7" t="s">
        <v>39</v>
      </c>
      <c r="C91" s="12" t="s">
        <v>167</v>
      </c>
      <c r="D91" s="24"/>
      <c r="E91" s="23"/>
      <c r="F91" s="24"/>
      <c r="G91" s="23"/>
      <c r="H91" s="24"/>
      <c r="I91" s="23"/>
      <c r="J91" s="24"/>
      <c r="K91" s="23"/>
      <c r="L91" s="24"/>
      <c r="M91" s="23"/>
      <c r="N91" s="24"/>
      <c r="O91" s="23"/>
      <c r="P91" s="24"/>
      <c r="Q91" s="23"/>
      <c r="R91" s="24"/>
      <c r="S91" s="23"/>
      <c r="T91" s="24"/>
    </row>
    <row r="92" spans="2:20">
      <c r="B92" s="7" t="s">
        <v>40</v>
      </c>
      <c r="C92" s="12" t="s">
        <v>41</v>
      </c>
      <c r="D92" s="24"/>
      <c r="E92" s="23"/>
      <c r="F92" s="24"/>
      <c r="G92" s="23"/>
      <c r="H92" s="24"/>
      <c r="I92" s="23"/>
      <c r="J92" s="24"/>
      <c r="K92" s="23"/>
      <c r="L92" s="24"/>
      <c r="M92" s="23"/>
      <c r="N92" s="24"/>
      <c r="O92" s="23"/>
      <c r="P92" s="24"/>
      <c r="Q92" s="23"/>
      <c r="R92" s="24"/>
      <c r="S92" s="23"/>
      <c r="T92" s="24"/>
    </row>
    <row r="93" spans="2:20">
      <c r="B93" s="7" t="s">
        <v>42</v>
      </c>
      <c r="C93" s="12" t="s">
        <v>43</v>
      </c>
      <c r="D93" s="24"/>
      <c r="E93" s="23"/>
      <c r="F93" s="24"/>
      <c r="G93" s="23"/>
      <c r="H93" s="24"/>
      <c r="I93" s="23"/>
      <c r="J93" s="24"/>
      <c r="K93" s="23"/>
      <c r="L93" s="24"/>
      <c r="M93" s="23"/>
      <c r="N93" s="24"/>
      <c r="O93" s="23"/>
      <c r="P93" s="24"/>
      <c r="Q93" s="23"/>
      <c r="R93" s="24"/>
      <c r="S93" s="23"/>
      <c r="T93" s="24"/>
    </row>
    <row r="94" spans="2:20">
      <c r="B94" s="7" t="s">
        <v>45</v>
      </c>
      <c r="C94" s="12" t="s">
        <v>46</v>
      </c>
      <c r="D94" s="24"/>
      <c r="E94" s="25"/>
      <c r="F94" s="24"/>
      <c r="G94" s="25"/>
      <c r="H94" s="24"/>
      <c r="I94" s="25"/>
      <c r="J94" s="24"/>
      <c r="K94" s="25"/>
      <c r="L94" s="24"/>
      <c r="M94" s="25"/>
      <c r="N94" s="24"/>
      <c r="O94" s="25"/>
      <c r="P94" s="24"/>
      <c r="Q94" s="25"/>
      <c r="R94" s="24"/>
      <c r="S94" s="25"/>
      <c r="T94" s="24"/>
    </row>
    <row r="95" spans="2:20">
      <c r="B95" s="7" t="s">
        <v>47</v>
      </c>
      <c r="C95" s="12" t="s">
        <v>48</v>
      </c>
      <c r="D95" s="24"/>
      <c r="E95" s="25"/>
      <c r="F95" s="24"/>
      <c r="G95" s="25"/>
      <c r="H95" s="24"/>
      <c r="I95" s="25"/>
      <c r="J95" s="24"/>
      <c r="K95" s="25"/>
      <c r="L95" s="24"/>
      <c r="M95" s="25"/>
      <c r="N95" s="24"/>
      <c r="O95" s="25"/>
      <c r="P95" s="24"/>
      <c r="Q95" s="25"/>
      <c r="R95" s="24"/>
      <c r="S95" s="25"/>
      <c r="T95" s="24"/>
    </row>
    <row r="96" spans="2:20">
      <c r="B96" s="7" t="s">
        <v>50</v>
      </c>
      <c r="C96" s="12" t="s">
        <v>168</v>
      </c>
      <c r="D96" s="24"/>
      <c r="E96" s="25"/>
      <c r="F96" s="24"/>
      <c r="G96" s="25"/>
      <c r="H96" s="24"/>
      <c r="I96" s="25"/>
      <c r="J96" s="24"/>
      <c r="K96" s="25"/>
      <c r="L96" s="24"/>
      <c r="M96" s="25"/>
      <c r="N96" s="24"/>
      <c r="O96" s="25"/>
      <c r="P96" s="24"/>
      <c r="Q96" s="25"/>
      <c r="R96" s="24"/>
      <c r="S96" s="25"/>
      <c r="T96" s="24"/>
    </row>
    <row r="97" spans="2:20">
      <c r="B97" s="7" t="s">
        <v>51</v>
      </c>
      <c r="C97" s="12" t="s">
        <v>52</v>
      </c>
      <c r="D97" s="22"/>
      <c r="E97" s="23"/>
      <c r="F97" s="22"/>
      <c r="G97" s="23"/>
      <c r="H97" s="22"/>
      <c r="I97" s="23"/>
      <c r="J97" s="22"/>
      <c r="K97" s="23"/>
      <c r="L97" s="22"/>
      <c r="M97" s="23"/>
      <c r="N97" s="22"/>
      <c r="O97" s="23"/>
      <c r="P97" s="22"/>
      <c r="Q97" s="23"/>
      <c r="R97" s="22"/>
      <c r="S97" s="23"/>
      <c r="T97" s="22"/>
    </row>
    <row r="98" spans="2:20">
      <c r="B98" s="7" t="s">
        <v>53</v>
      </c>
      <c r="C98" s="12" t="s">
        <v>54</v>
      </c>
      <c r="D98" s="22"/>
      <c r="E98" s="23"/>
      <c r="F98" s="22"/>
      <c r="G98" s="23"/>
      <c r="H98" s="22"/>
      <c r="I98" s="23"/>
      <c r="J98" s="22"/>
      <c r="K98" s="23"/>
      <c r="L98" s="22"/>
      <c r="M98" s="23"/>
      <c r="N98" s="22"/>
      <c r="O98" s="23"/>
      <c r="P98" s="22"/>
      <c r="Q98" s="23"/>
      <c r="R98" s="22"/>
      <c r="S98" s="23"/>
      <c r="T98" s="22"/>
    </row>
    <row r="99" spans="2:20">
      <c r="B99" s="7" t="s">
        <v>55</v>
      </c>
      <c r="C99" s="12" t="s">
        <v>56</v>
      </c>
      <c r="D99" s="22"/>
      <c r="E99" s="23"/>
      <c r="F99" s="22"/>
      <c r="G99" s="23"/>
      <c r="H99" s="22"/>
      <c r="I99" s="23"/>
      <c r="J99" s="22"/>
      <c r="K99" s="23"/>
      <c r="L99" s="22"/>
      <c r="M99" s="23"/>
      <c r="N99" s="22"/>
      <c r="O99" s="23"/>
      <c r="P99" s="22"/>
      <c r="Q99" s="23"/>
      <c r="R99" s="22"/>
      <c r="S99" s="23"/>
      <c r="T99" s="22"/>
    </row>
    <row r="100" spans="2:20">
      <c r="B100" s="7" t="s">
        <v>57</v>
      </c>
      <c r="C100" s="12" t="s">
        <v>58</v>
      </c>
      <c r="D100" s="22"/>
      <c r="E100" s="23"/>
      <c r="F100" s="22"/>
      <c r="G100" s="23"/>
      <c r="H100" s="22"/>
      <c r="I100" s="23"/>
      <c r="J100" s="22"/>
      <c r="K100" s="23"/>
      <c r="L100" s="22"/>
      <c r="M100" s="23"/>
      <c r="N100" s="22"/>
      <c r="O100" s="23"/>
      <c r="P100" s="22"/>
      <c r="Q100" s="23"/>
      <c r="R100" s="22"/>
      <c r="S100" s="23"/>
      <c r="T100" s="22"/>
    </row>
    <row r="101" spans="2:20">
      <c r="B101" s="7" t="s">
        <v>59</v>
      </c>
      <c r="C101" s="12" t="s">
        <v>60</v>
      </c>
      <c r="D101" s="22"/>
      <c r="E101" s="23"/>
      <c r="F101" s="22"/>
      <c r="G101" s="23"/>
      <c r="H101" s="22"/>
      <c r="I101" s="23"/>
      <c r="J101" s="22"/>
      <c r="K101" s="23"/>
      <c r="L101" s="22"/>
      <c r="M101" s="23"/>
      <c r="N101" s="22"/>
      <c r="O101" s="23"/>
      <c r="P101" s="22"/>
      <c r="Q101" s="23"/>
      <c r="R101" s="22"/>
      <c r="S101" s="23"/>
      <c r="T101" s="22"/>
    </row>
    <row r="102" spans="2:20">
      <c r="B102" s="7" t="s">
        <v>53</v>
      </c>
      <c r="C102" s="12" t="s">
        <v>54</v>
      </c>
      <c r="D102" s="22"/>
      <c r="E102" s="23"/>
      <c r="F102" s="22"/>
      <c r="G102" s="23"/>
      <c r="H102" s="22"/>
      <c r="I102" s="23"/>
      <c r="J102" s="22"/>
      <c r="K102" s="23"/>
      <c r="L102" s="22"/>
      <c r="M102" s="23"/>
      <c r="N102" s="22"/>
      <c r="O102" s="23"/>
      <c r="P102" s="22"/>
      <c r="Q102" s="23"/>
      <c r="R102" s="22"/>
      <c r="S102" s="23"/>
      <c r="T102" s="22"/>
    </row>
    <row r="103" spans="2:20">
      <c r="B103" s="7" t="s">
        <v>408</v>
      </c>
      <c r="C103" s="12" t="s">
        <v>466</v>
      </c>
      <c r="D103" s="22"/>
      <c r="E103" s="23"/>
      <c r="F103" s="22"/>
      <c r="G103" s="23"/>
      <c r="H103" s="22"/>
      <c r="I103" s="23"/>
      <c r="J103" s="22"/>
      <c r="K103" s="23"/>
      <c r="L103" s="22"/>
      <c r="M103" s="23"/>
      <c r="N103" s="22"/>
      <c r="O103" s="23"/>
      <c r="P103" s="22"/>
      <c r="Q103" s="23"/>
      <c r="R103" s="22"/>
      <c r="S103" s="23"/>
      <c r="T103" s="22"/>
    </row>
    <row r="104" spans="2:20">
      <c r="B104" s="7" t="s">
        <v>61</v>
      </c>
      <c r="C104" s="12" t="s">
        <v>339</v>
      </c>
      <c r="D104" s="22"/>
      <c r="E104" s="23"/>
      <c r="F104" s="22"/>
      <c r="G104" s="23"/>
      <c r="H104" s="22"/>
      <c r="I104" s="23"/>
      <c r="J104" s="22"/>
      <c r="K104" s="23"/>
      <c r="L104" s="22"/>
      <c r="M104" s="23"/>
      <c r="N104" s="22"/>
      <c r="O104" s="23"/>
      <c r="P104" s="22"/>
      <c r="Q104" s="23"/>
      <c r="R104" s="22"/>
      <c r="S104" s="23"/>
      <c r="T104" s="22"/>
    </row>
    <row r="105" spans="2:20">
      <c r="B105" s="7" t="s">
        <v>125</v>
      </c>
      <c r="C105" s="12" t="s">
        <v>169</v>
      </c>
      <c r="D105" s="22"/>
      <c r="E105" s="23"/>
      <c r="F105" s="22"/>
      <c r="G105" s="23"/>
      <c r="H105" s="22"/>
      <c r="I105" s="23"/>
      <c r="J105" s="22"/>
      <c r="K105" s="23"/>
      <c r="L105" s="22"/>
      <c r="M105" s="23"/>
      <c r="N105" s="22"/>
      <c r="O105" s="23"/>
      <c r="P105" s="22"/>
      <c r="Q105" s="23"/>
      <c r="R105" s="22"/>
      <c r="S105" s="23"/>
      <c r="T105" s="22"/>
    </row>
    <row r="106" spans="2:20">
      <c r="B106" s="9" t="s">
        <v>62</v>
      </c>
      <c r="C106" s="12" t="s">
        <v>340</v>
      </c>
      <c r="D106" s="22"/>
      <c r="E106" s="23"/>
      <c r="F106" s="22"/>
      <c r="G106" s="23"/>
      <c r="H106" s="22"/>
      <c r="I106" s="23"/>
      <c r="J106" s="22"/>
      <c r="K106" s="23"/>
      <c r="L106" s="22"/>
      <c r="M106" s="23"/>
      <c r="N106" s="22"/>
      <c r="O106" s="23"/>
      <c r="P106" s="22"/>
      <c r="Q106" s="23"/>
      <c r="R106" s="22"/>
      <c r="S106" s="23"/>
      <c r="T106" s="22"/>
    </row>
    <row r="107" spans="2:20">
      <c r="B107" s="9" t="s">
        <v>63</v>
      </c>
      <c r="C107" s="12" t="s">
        <v>64</v>
      </c>
      <c r="D107" s="22"/>
      <c r="E107" s="23"/>
      <c r="F107" s="22"/>
      <c r="G107" s="23"/>
      <c r="H107" s="22"/>
      <c r="I107" s="23"/>
      <c r="J107" s="22"/>
      <c r="K107" s="23"/>
      <c r="L107" s="22"/>
      <c r="M107" s="23"/>
      <c r="N107" s="22"/>
      <c r="O107" s="23"/>
      <c r="P107" s="22"/>
      <c r="Q107" s="23"/>
      <c r="R107" s="22"/>
      <c r="S107" s="23"/>
      <c r="T107" s="22"/>
    </row>
    <row r="108" spans="2:20">
      <c r="B108" s="9" t="s">
        <v>65</v>
      </c>
      <c r="C108" s="12" t="s">
        <v>66</v>
      </c>
      <c r="D108" s="22"/>
      <c r="E108" s="23"/>
      <c r="F108" s="22"/>
      <c r="G108" s="23"/>
      <c r="H108" s="22"/>
      <c r="I108" s="23"/>
      <c r="J108" s="22"/>
      <c r="K108" s="23"/>
      <c r="L108" s="22"/>
      <c r="M108" s="23"/>
      <c r="N108" s="22"/>
      <c r="O108" s="23"/>
      <c r="P108" s="22"/>
      <c r="Q108" s="23"/>
      <c r="R108" s="22"/>
      <c r="S108" s="23"/>
      <c r="T108" s="22"/>
    </row>
    <row r="109" spans="2:20">
      <c r="B109" s="9" t="s">
        <v>67</v>
      </c>
      <c r="C109" s="12" t="s">
        <v>68</v>
      </c>
      <c r="D109" s="22"/>
      <c r="E109" s="23"/>
      <c r="F109" s="22"/>
      <c r="G109" s="23"/>
      <c r="H109" s="22"/>
      <c r="I109" s="23"/>
      <c r="J109" s="22"/>
      <c r="K109" s="23"/>
      <c r="L109" s="22"/>
      <c r="M109" s="23"/>
      <c r="N109" s="22"/>
      <c r="O109" s="23"/>
      <c r="P109" s="22"/>
      <c r="Q109" s="23"/>
      <c r="R109" s="22"/>
      <c r="S109" s="23"/>
      <c r="T109" s="22"/>
    </row>
    <row r="110" spans="2:20">
      <c r="B110" s="9" t="s">
        <v>69</v>
      </c>
      <c r="C110" s="12" t="s">
        <v>70</v>
      </c>
      <c r="D110" s="22"/>
      <c r="E110" s="23"/>
      <c r="F110" s="22"/>
      <c r="G110" s="23"/>
      <c r="H110" s="22"/>
      <c r="I110" s="23"/>
      <c r="J110" s="22"/>
      <c r="K110" s="23"/>
      <c r="L110" s="22"/>
      <c r="M110" s="23"/>
      <c r="N110" s="22"/>
      <c r="O110" s="23"/>
      <c r="P110" s="22"/>
      <c r="Q110" s="23"/>
      <c r="R110" s="22"/>
      <c r="S110" s="23"/>
      <c r="T110" s="22"/>
    </row>
    <row r="111" spans="2:20">
      <c r="B111" s="9" t="s">
        <v>71</v>
      </c>
      <c r="C111" s="12" t="s">
        <v>72</v>
      </c>
      <c r="D111" s="22"/>
      <c r="E111" s="23"/>
      <c r="F111" s="22"/>
      <c r="G111" s="23"/>
      <c r="H111" s="22"/>
      <c r="I111" s="23"/>
      <c r="J111" s="22"/>
      <c r="K111" s="23"/>
      <c r="L111" s="22"/>
      <c r="M111" s="23"/>
      <c r="N111" s="22"/>
      <c r="O111" s="23"/>
      <c r="P111" s="22"/>
      <c r="Q111" s="23"/>
      <c r="R111" s="22"/>
      <c r="S111" s="23"/>
      <c r="T111" s="22"/>
    </row>
    <row r="112" spans="2:20">
      <c r="B112" s="9" t="s">
        <v>128</v>
      </c>
      <c r="C112" s="12" t="s">
        <v>178</v>
      </c>
      <c r="D112" s="24"/>
      <c r="E112" s="25"/>
      <c r="F112" s="24"/>
      <c r="G112" s="25"/>
      <c r="H112" s="24"/>
      <c r="I112" s="25"/>
      <c r="J112" s="24"/>
      <c r="K112" s="25"/>
      <c r="L112" s="24"/>
      <c r="M112" s="25"/>
      <c r="N112" s="24"/>
      <c r="O112" s="25"/>
      <c r="P112" s="24"/>
      <c r="Q112" s="25"/>
      <c r="R112" s="24"/>
      <c r="S112" s="25"/>
      <c r="T112" s="24"/>
    </row>
    <row r="113" spans="2:20">
      <c r="B113" s="9" t="s">
        <v>74</v>
      </c>
      <c r="C113" s="12" t="s">
        <v>75</v>
      </c>
      <c r="D113" s="22"/>
      <c r="E113" s="23"/>
      <c r="F113" s="22"/>
      <c r="G113" s="23"/>
      <c r="H113" s="22"/>
      <c r="I113" s="23"/>
      <c r="J113" s="22"/>
      <c r="K113" s="23"/>
      <c r="L113" s="22"/>
      <c r="M113" s="23"/>
      <c r="N113" s="22"/>
      <c r="O113" s="23"/>
      <c r="P113" s="22"/>
      <c r="Q113" s="23"/>
      <c r="R113" s="22"/>
      <c r="S113" s="23"/>
      <c r="T113" s="22"/>
    </row>
    <row r="114" spans="2:20">
      <c r="B114" s="9" t="s">
        <v>76</v>
      </c>
      <c r="C114" s="12" t="s">
        <v>77</v>
      </c>
      <c r="D114" s="22"/>
      <c r="E114" s="23"/>
      <c r="F114" s="22"/>
      <c r="G114" s="23"/>
      <c r="H114" s="22"/>
      <c r="I114" s="23"/>
      <c r="J114" s="22"/>
      <c r="K114" s="23"/>
      <c r="L114" s="22"/>
      <c r="M114" s="23"/>
      <c r="N114" s="22"/>
      <c r="O114" s="23"/>
      <c r="P114" s="22"/>
      <c r="Q114" s="23"/>
      <c r="R114" s="22"/>
      <c r="S114" s="23"/>
      <c r="T114" s="22"/>
    </row>
    <row r="115" spans="2:20">
      <c r="B115" s="9" t="s">
        <v>78</v>
      </c>
      <c r="C115" s="12" t="s">
        <v>150</v>
      </c>
      <c r="D115" s="22"/>
      <c r="E115" s="23"/>
      <c r="F115" s="22"/>
      <c r="G115" s="23"/>
      <c r="H115" s="22"/>
      <c r="I115" s="23"/>
      <c r="J115" s="22"/>
      <c r="K115" s="23"/>
      <c r="L115" s="22"/>
      <c r="M115" s="23"/>
      <c r="N115" s="22"/>
      <c r="O115" s="23"/>
      <c r="P115" s="22"/>
      <c r="Q115" s="23"/>
      <c r="R115" s="22"/>
      <c r="S115" s="23"/>
      <c r="T115" s="22"/>
    </row>
    <row r="116" spans="2:20">
      <c r="B116" s="9" t="s">
        <v>79</v>
      </c>
      <c r="C116" s="12" t="s">
        <v>80</v>
      </c>
      <c r="D116" s="22"/>
      <c r="E116" s="23"/>
      <c r="F116" s="22"/>
      <c r="G116" s="23"/>
      <c r="H116" s="22"/>
      <c r="I116" s="23"/>
      <c r="J116" s="22"/>
      <c r="K116" s="23"/>
      <c r="L116" s="22"/>
      <c r="M116" s="23"/>
      <c r="N116" s="22"/>
      <c r="O116" s="23"/>
      <c r="P116" s="22"/>
      <c r="Q116" s="23"/>
      <c r="R116" s="22"/>
      <c r="S116" s="23"/>
      <c r="T116" s="22"/>
    </row>
    <row r="117" spans="2:20">
      <c r="B117" s="9" t="s">
        <v>81</v>
      </c>
      <c r="C117" s="12" t="s">
        <v>82</v>
      </c>
      <c r="D117" s="22"/>
      <c r="E117" s="23"/>
      <c r="F117" s="22"/>
      <c r="G117" s="23"/>
      <c r="H117" s="22"/>
      <c r="I117" s="23"/>
      <c r="J117" s="22"/>
      <c r="K117" s="23"/>
      <c r="L117" s="22"/>
      <c r="M117" s="23"/>
      <c r="N117" s="22"/>
      <c r="O117" s="23"/>
      <c r="P117" s="22"/>
      <c r="Q117" s="23"/>
      <c r="R117" s="22"/>
      <c r="S117" s="23"/>
      <c r="T117" s="22"/>
    </row>
    <row r="118" spans="2:20">
      <c r="B118" s="9" t="s">
        <v>83</v>
      </c>
      <c r="C118" s="12" t="s">
        <v>84</v>
      </c>
      <c r="D118" s="24"/>
      <c r="E118" s="25"/>
      <c r="F118" s="24"/>
      <c r="G118" s="25"/>
      <c r="H118" s="24"/>
      <c r="I118" s="25"/>
      <c r="J118" s="24"/>
      <c r="K118" s="25"/>
      <c r="L118" s="24"/>
      <c r="M118" s="25"/>
      <c r="N118" s="24"/>
      <c r="O118" s="25"/>
      <c r="P118" s="24"/>
      <c r="Q118" s="25"/>
      <c r="R118" s="24"/>
      <c r="S118" s="25"/>
      <c r="T118" s="24"/>
    </row>
    <row r="119" spans="2:20">
      <c r="B119" s="9" t="s">
        <v>85</v>
      </c>
      <c r="C119" s="12" t="s">
        <v>341</v>
      </c>
      <c r="D119" s="22"/>
      <c r="E119" s="23"/>
      <c r="F119" s="22"/>
      <c r="G119" s="23"/>
      <c r="H119" s="22"/>
      <c r="I119" s="23"/>
      <c r="J119" s="22"/>
      <c r="K119" s="23"/>
      <c r="L119" s="22"/>
      <c r="M119" s="23"/>
      <c r="N119" s="22"/>
      <c r="O119" s="23"/>
      <c r="P119" s="22"/>
      <c r="Q119" s="23"/>
      <c r="R119" s="22"/>
      <c r="S119" s="23"/>
      <c r="T119" s="22"/>
    </row>
    <row r="120" spans="2:20">
      <c r="B120" s="9" t="s">
        <v>129</v>
      </c>
      <c r="C120" s="12" t="s">
        <v>179</v>
      </c>
      <c r="D120" s="22"/>
      <c r="E120" s="23"/>
      <c r="F120" s="22"/>
      <c r="G120" s="23"/>
      <c r="H120" s="22"/>
      <c r="I120" s="23"/>
      <c r="J120" s="22"/>
      <c r="K120" s="23"/>
      <c r="L120" s="22"/>
      <c r="M120" s="23"/>
      <c r="N120" s="22"/>
      <c r="O120" s="23"/>
      <c r="P120" s="22"/>
      <c r="Q120" s="23"/>
      <c r="R120" s="22"/>
      <c r="S120" s="23"/>
      <c r="T120" s="22"/>
    </row>
    <row r="121" spans="2:20">
      <c r="B121" s="9" t="s">
        <v>86</v>
      </c>
      <c r="C121" s="12" t="s">
        <v>87</v>
      </c>
      <c r="D121" s="22"/>
      <c r="E121" s="23"/>
      <c r="F121" s="22"/>
      <c r="G121" s="23"/>
      <c r="H121" s="22"/>
      <c r="I121" s="23"/>
      <c r="J121" s="22"/>
      <c r="K121" s="23"/>
      <c r="L121" s="22"/>
      <c r="M121" s="23"/>
      <c r="N121" s="22"/>
      <c r="O121" s="23"/>
      <c r="P121" s="22"/>
      <c r="Q121" s="23"/>
      <c r="R121" s="22"/>
      <c r="S121" s="23"/>
      <c r="T121" s="22"/>
    </row>
    <row r="122" spans="2:20">
      <c r="B122" s="9" t="s">
        <v>88</v>
      </c>
      <c r="C122" s="12" t="s">
        <v>89</v>
      </c>
      <c r="D122" s="22"/>
      <c r="E122" s="23"/>
      <c r="F122" s="22"/>
      <c r="G122" s="23"/>
      <c r="H122" s="22"/>
      <c r="I122" s="23"/>
      <c r="J122" s="22"/>
      <c r="K122" s="23"/>
      <c r="L122" s="22"/>
      <c r="M122" s="23"/>
      <c r="N122" s="22"/>
      <c r="O122" s="23"/>
      <c r="P122" s="22"/>
      <c r="Q122" s="23"/>
      <c r="R122" s="22"/>
      <c r="S122" s="23"/>
      <c r="T122" s="22"/>
    </row>
    <row r="123" spans="2:20">
      <c r="B123" s="9" t="s">
        <v>90</v>
      </c>
      <c r="C123" s="12" t="s">
        <v>91</v>
      </c>
      <c r="D123" s="22"/>
      <c r="E123" s="23"/>
      <c r="F123" s="22"/>
      <c r="G123" s="23"/>
      <c r="H123" s="22"/>
      <c r="I123" s="23"/>
      <c r="J123" s="22"/>
      <c r="K123" s="23"/>
      <c r="L123" s="22"/>
      <c r="M123" s="23"/>
      <c r="N123" s="22"/>
      <c r="O123" s="23"/>
      <c r="P123" s="22"/>
      <c r="Q123" s="23"/>
      <c r="R123" s="22"/>
      <c r="S123" s="23"/>
      <c r="T123" s="22"/>
    </row>
    <row r="124" spans="2:20">
      <c r="B124" s="9" t="s">
        <v>92</v>
      </c>
      <c r="C124" s="12" t="s">
        <v>93</v>
      </c>
      <c r="D124" s="24"/>
      <c r="E124" s="25"/>
      <c r="F124" s="24"/>
      <c r="G124" s="25"/>
      <c r="H124" s="24"/>
      <c r="I124" s="25"/>
      <c r="J124" s="24"/>
      <c r="K124" s="25"/>
      <c r="L124" s="24"/>
      <c r="M124" s="25"/>
      <c r="N124" s="24"/>
      <c r="O124" s="25"/>
      <c r="P124" s="24"/>
      <c r="Q124" s="25"/>
      <c r="R124" s="24"/>
      <c r="S124" s="25"/>
      <c r="T124" s="24"/>
    </row>
    <row r="125" spans="2:20">
      <c r="B125" s="9" t="s">
        <v>94</v>
      </c>
      <c r="C125" s="12" t="s">
        <v>95</v>
      </c>
      <c r="D125" s="24"/>
      <c r="E125" s="25"/>
      <c r="F125" s="24"/>
      <c r="G125" s="25"/>
      <c r="H125" s="24"/>
      <c r="I125" s="25"/>
      <c r="J125" s="24"/>
      <c r="K125" s="25"/>
      <c r="L125" s="24"/>
      <c r="M125" s="25"/>
      <c r="N125" s="24"/>
      <c r="O125" s="25"/>
      <c r="P125" s="24"/>
      <c r="Q125" s="25"/>
      <c r="R125" s="24"/>
      <c r="S125" s="25"/>
      <c r="T125" s="24"/>
    </row>
    <row r="126" spans="2:20">
      <c r="B126" s="9" t="s">
        <v>96</v>
      </c>
      <c r="C126" s="12" t="s">
        <v>97</v>
      </c>
      <c r="D126" s="24"/>
      <c r="E126" s="25"/>
      <c r="F126" s="24"/>
      <c r="G126" s="25"/>
      <c r="H126" s="24"/>
      <c r="I126" s="25"/>
      <c r="J126" s="24"/>
      <c r="K126" s="25"/>
      <c r="L126" s="24"/>
      <c r="M126" s="25"/>
      <c r="N126" s="24"/>
      <c r="O126" s="25"/>
      <c r="P126" s="24"/>
      <c r="Q126" s="25"/>
      <c r="R126" s="24"/>
      <c r="S126" s="25"/>
      <c r="T126" s="24"/>
    </row>
    <row r="127" spans="2:20">
      <c r="B127" s="9" t="s">
        <v>99</v>
      </c>
      <c r="C127" s="12" t="s">
        <v>100</v>
      </c>
      <c r="D127" s="24"/>
      <c r="E127" s="25"/>
      <c r="F127" s="24"/>
      <c r="G127" s="25"/>
      <c r="H127" s="24"/>
      <c r="I127" s="25"/>
      <c r="J127" s="24"/>
      <c r="K127" s="25"/>
      <c r="L127" s="24"/>
      <c r="M127" s="25"/>
      <c r="N127" s="24"/>
      <c r="O127" s="25"/>
      <c r="P127" s="24"/>
      <c r="Q127" s="25"/>
      <c r="R127" s="24"/>
      <c r="S127" s="25"/>
      <c r="T127" s="24"/>
    </row>
    <row r="128" spans="2:20">
      <c r="B128" s="9" t="s">
        <v>101</v>
      </c>
      <c r="C128" s="12" t="s">
        <v>102</v>
      </c>
      <c r="D128" s="24"/>
      <c r="E128" s="25"/>
      <c r="F128" s="24"/>
      <c r="G128" s="25"/>
      <c r="H128" s="24"/>
      <c r="I128" s="25"/>
      <c r="J128" s="24"/>
      <c r="K128" s="25"/>
      <c r="L128" s="24"/>
      <c r="M128" s="25"/>
      <c r="N128" s="24"/>
      <c r="O128" s="25"/>
      <c r="P128" s="24"/>
      <c r="Q128" s="25"/>
      <c r="R128" s="24"/>
      <c r="S128" s="25"/>
      <c r="T128" s="24"/>
    </row>
    <row r="129" spans="2:20">
      <c r="B129" s="9" t="s">
        <v>103</v>
      </c>
      <c r="C129" s="12" t="s">
        <v>104</v>
      </c>
      <c r="D129" s="24"/>
      <c r="E129" s="25"/>
      <c r="F129" s="24"/>
      <c r="G129" s="25"/>
      <c r="H129" s="24"/>
      <c r="I129" s="25"/>
      <c r="J129" s="24"/>
      <c r="K129" s="25"/>
      <c r="L129" s="24"/>
      <c r="M129" s="25"/>
      <c r="N129" s="24"/>
      <c r="O129" s="25"/>
      <c r="P129" s="24"/>
      <c r="Q129" s="25"/>
      <c r="R129" s="24"/>
      <c r="S129" s="25"/>
      <c r="T129" s="24"/>
    </row>
    <row r="130" spans="2:20">
      <c r="B130" s="9" t="s">
        <v>105</v>
      </c>
      <c r="C130" s="12" t="s">
        <v>106</v>
      </c>
      <c r="D130" s="24"/>
      <c r="E130" s="25"/>
      <c r="F130" s="24"/>
      <c r="G130" s="25"/>
      <c r="H130" s="24"/>
      <c r="I130" s="25"/>
      <c r="J130" s="24"/>
      <c r="K130" s="25"/>
      <c r="L130" s="24"/>
      <c r="M130" s="25"/>
      <c r="N130" s="24"/>
      <c r="O130" s="25"/>
      <c r="P130" s="24"/>
      <c r="Q130" s="25"/>
      <c r="R130" s="24"/>
      <c r="S130" s="25"/>
      <c r="T130" s="24"/>
    </row>
    <row r="131" spans="2:20">
      <c r="B131" s="9" t="s">
        <v>107</v>
      </c>
      <c r="C131" s="12" t="s">
        <v>172</v>
      </c>
      <c r="D131" s="24"/>
      <c r="E131" s="25"/>
      <c r="F131" s="24"/>
      <c r="G131" s="25"/>
      <c r="H131" s="24"/>
      <c r="I131" s="25"/>
      <c r="J131" s="24"/>
      <c r="K131" s="25"/>
      <c r="L131" s="24"/>
      <c r="M131" s="25"/>
      <c r="N131" s="24"/>
      <c r="O131" s="25"/>
      <c r="P131" s="24"/>
      <c r="Q131" s="25"/>
      <c r="R131" s="24"/>
      <c r="S131" s="25"/>
      <c r="T131" s="24"/>
    </row>
    <row r="132" spans="2:20">
      <c r="B132" s="9" t="s">
        <v>108</v>
      </c>
      <c r="C132" s="12" t="s">
        <v>173</v>
      </c>
      <c r="D132" s="22"/>
      <c r="E132" s="23"/>
      <c r="F132" s="22"/>
      <c r="G132" s="23"/>
      <c r="H132" s="22"/>
      <c r="I132" s="23"/>
      <c r="J132" s="22"/>
      <c r="K132" s="23"/>
      <c r="L132" s="22"/>
      <c r="M132" s="23"/>
      <c r="N132" s="22"/>
      <c r="O132" s="23"/>
      <c r="P132" s="22"/>
      <c r="Q132" s="23"/>
      <c r="R132" s="22"/>
      <c r="S132" s="23"/>
      <c r="T132" s="22"/>
    </row>
    <row r="133" spans="2:20">
      <c r="B133" s="9" t="s">
        <v>130</v>
      </c>
      <c r="C133" s="12" t="s">
        <v>175</v>
      </c>
      <c r="D133" s="22"/>
      <c r="E133" s="23"/>
      <c r="F133" s="22"/>
      <c r="G133" s="23"/>
      <c r="H133" s="22"/>
      <c r="I133" s="23"/>
      <c r="J133" s="22"/>
      <c r="K133" s="23"/>
      <c r="L133" s="22"/>
      <c r="M133" s="23"/>
      <c r="N133" s="22"/>
      <c r="O133" s="23"/>
      <c r="P133" s="22"/>
      <c r="Q133" s="23"/>
      <c r="R133" s="22"/>
      <c r="S133" s="23"/>
      <c r="T133" s="22"/>
    </row>
    <row r="134" spans="2:20">
      <c r="B134" s="9" t="s">
        <v>110</v>
      </c>
      <c r="C134" s="12" t="s">
        <v>111</v>
      </c>
      <c r="D134" s="22"/>
      <c r="E134" s="23"/>
      <c r="F134" s="22"/>
      <c r="G134" s="23"/>
      <c r="H134" s="22"/>
      <c r="I134" s="23"/>
      <c r="J134" s="22"/>
      <c r="K134" s="23"/>
      <c r="L134" s="22"/>
      <c r="M134" s="23"/>
      <c r="N134" s="22"/>
      <c r="O134" s="23"/>
      <c r="P134" s="22"/>
      <c r="Q134" s="23"/>
      <c r="R134" s="22"/>
      <c r="S134" s="23"/>
      <c r="T134" s="22"/>
    </row>
    <row r="135" spans="2:20">
      <c r="B135" s="9" t="s">
        <v>117</v>
      </c>
      <c r="C135" s="12" t="s">
        <v>118</v>
      </c>
      <c r="D135" s="22"/>
      <c r="E135" s="23"/>
      <c r="F135" s="22"/>
      <c r="G135" s="23"/>
      <c r="H135" s="22"/>
      <c r="I135" s="23"/>
      <c r="J135" s="22"/>
      <c r="K135" s="23"/>
      <c r="L135" s="22"/>
      <c r="M135" s="23"/>
      <c r="N135" s="22"/>
      <c r="O135" s="23"/>
      <c r="P135" s="22"/>
      <c r="Q135" s="23"/>
      <c r="R135" s="22"/>
      <c r="S135" s="23"/>
      <c r="T135" s="22"/>
    </row>
    <row r="136" spans="2:20">
      <c r="B136" s="9" t="s">
        <v>151</v>
      </c>
      <c r="C136" s="12" t="s">
        <v>176</v>
      </c>
      <c r="D136" s="24"/>
      <c r="E136" s="25"/>
      <c r="F136" s="24"/>
      <c r="G136" s="25"/>
      <c r="H136" s="24"/>
      <c r="I136" s="25"/>
      <c r="J136" s="24"/>
      <c r="K136" s="25"/>
      <c r="L136" s="24"/>
      <c r="M136" s="25"/>
      <c r="N136" s="24"/>
      <c r="O136" s="25"/>
      <c r="P136" s="24"/>
      <c r="Q136" s="25"/>
      <c r="R136" s="24"/>
      <c r="S136" s="25"/>
      <c r="T136" s="24"/>
    </row>
    <row r="137" spans="2:20">
      <c r="B137" s="9" t="s">
        <v>131</v>
      </c>
      <c r="C137" s="12" t="s">
        <v>119</v>
      </c>
      <c r="D137" s="24"/>
      <c r="E137" s="25"/>
      <c r="F137" s="24"/>
      <c r="G137" s="25"/>
      <c r="H137" s="24"/>
      <c r="I137" s="25"/>
      <c r="J137" s="24"/>
      <c r="K137" s="25"/>
      <c r="L137" s="24"/>
      <c r="M137" s="25"/>
      <c r="N137" s="24"/>
      <c r="O137" s="25"/>
      <c r="P137" s="24"/>
      <c r="Q137" s="25"/>
      <c r="R137" s="24"/>
      <c r="S137" s="25"/>
      <c r="T137" s="24"/>
    </row>
    <row r="138" spans="2:20">
      <c r="B138" s="9" t="s">
        <v>132</v>
      </c>
      <c r="C138" s="12" t="s">
        <v>177</v>
      </c>
      <c r="D138" s="22"/>
      <c r="E138" s="23"/>
      <c r="F138" s="22"/>
      <c r="G138" s="23"/>
      <c r="H138" s="22"/>
      <c r="I138" s="23"/>
      <c r="J138" s="22"/>
      <c r="K138" s="23"/>
      <c r="L138" s="22"/>
      <c r="M138" s="23"/>
      <c r="N138" s="22"/>
      <c r="O138" s="23"/>
      <c r="P138" s="22"/>
      <c r="Q138" s="23"/>
      <c r="R138" s="22"/>
      <c r="S138" s="23"/>
      <c r="T138" s="22"/>
    </row>
    <row r="139" spans="2:20">
      <c r="B139" s="9" t="s">
        <v>0</v>
      </c>
      <c r="C139" s="12" t="s">
        <v>133</v>
      </c>
      <c r="D139" s="22"/>
      <c r="E139" s="23"/>
      <c r="F139" s="22"/>
      <c r="G139" s="23"/>
      <c r="H139" s="22"/>
      <c r="I139" s="23"/>
      <c r="J139" s="22"/>
      <c r="K139" s="23"/>
      <c r="L139" s="22"/>
      <c r="M139" s="23"/>
      <c r="N139" s="22"/>
      <c r="O139" s="23"/>
      <c r="P139" s="22"/>
      <c r="Q139" s="23"/>
      <c r="R139" s="22"/>
      <c r="S139" s="23"/>
      <c r="T139" s="22"/>
    </row>
    <row r="140" spans="2:20">
      <c r="B140" s="9" t="s">
        <v>134</v>
      </c>
      <c r="C140" s="12" t="s">
        <v>135</v>
      </c>
      <c r="D140" s="22"/>
      <c r="E140" s="23"/>
      <c r="F140" s="22"/>
      <c r="G140" s="23"/>
      <c r="H140" s="22"/>
      <c r="I140" s="23"/>
      <c r="J140" s="22"/>
      <c r="K140" s="23"/>
      <c r="L140" s="22"/>
      <c r="M140" s="23"/>
      <c r="N140" s="22"/>
      <c r="O140" s="23"/>
      <c r="P140" s="22"/>
      <c r="Q140" s="23"/>
      <c r="R140" s="22"/>
      <c r="S140" s="23"/>
      <c r="T140" s="22"/>
    </row>
    <row r="141" spans="2:20">
      <c r="B141" s="9" t="s">
        <v>136</v>
      </c>
      <c r="C141" s="12" t="s">
        <v>137</v>
      </c>
      <c r="D141" s="22"/>
      <c r="E141" s="23"/>
      <c r="F141" s="22"/>
      <c r="G141" s="23"/>
      <c r="H141" s="22"/>
      <c r="I141" s="23"/>
      <c r="J141" s="22"/>
      <c r="K141" s="23"/>
      <c r="L141" s="22"/>
      <c r="M141" s="23"/>
      <c r="N141" s="22"/>
      <c r="O141" s="23"/>
      <c r="P141" s="22"/>
      <c r="Q141" s="23"/>
      <c r="R141" s="22"/>
      <c r="S141" s="23"/>
      <c r="T141" s="22"/>
    </row>
    <row r="142" spans="2:20">
      <c r="B142" s="9" t="s">
        <v>115</v>
      </c>
      <c r="C142" s="12" t="s">
        <v>138</v>
      </c>
    </row>
    <row r="143" spans="2:20">
      <c r="B143" s="9" t="s">
        <v>112</v>
      </c>
      <c r="C143" s="12" t="s">
        <v>139</v>
      </c>
    </row>
    <row r="144" spans="2:20">
      <c r="B144" s="9" t="s">
        <v>140</v>
      </c>
      <c r="C144" s="12" t="s">
        <v>141</v>
      </c>
    </row>
    <row r="145" spans="2:22">
      <c r="B145" s="9" t="s">
        <v>120</v>
      </c>
      <c r="C145" s="12" t="s">
        <v>142</v>
      </c>
    </row>
    <row r="146" spans="2:22">
      <c r="B146" s="9" t="s">
        <v>143</v>
      </c>
      <c r="C146" s="12" t="s">
        <v>144</v>
      </c>
    </row>
    <row r="147" spans="2:22">
      <c r="B147" s="9" t="s">
        <v>121</v>
      </c>
      <c r="C147" s="12" t="s">
        <v>145</v>
      </c>
    </row>
    <row r="148" spans="2:22">
      <c r="B148" s="9" t="s">
        <v>122</v>
      </c>
      <c r="C148" s="12" t="s">
        <v>146</v>
      </c>
    </row>
    <row r="149" spans="2:22">
      <c r="B149" s="9" t="s">
        <v>328</v>
      </c>
      <c r="C149" s="12" t="s">
        <v>147</v>
      </c>
    </row>
    <row r="150" spans="2:22">
      <c r="B150" s="9" t="s">
        <v>124</v>
      </c>
      <c r="C150" s="12" t="s">
        <v>148</v>
      </c>
    </row>
    <row r="151" spans="2:22">
      <c r="B151" s="11" t="s">
        <v>265</v>
      </c>
      <c r="C151" s="11" t="s">
        <v>266</v>
      </c>
    </row>
    <row r="154" spans="2:22">
      <c r="B154" s="349" t="s">
        <v>255</v>
      </c>
      <c r="C154" s="349"/>
      <c r="D154" s="349"/>
      <c r="E154" s="349"/>
      <c r="F154" s="349"/>
      <c r="G154" s="349"/>
      <c r="H154" s="349"/>
      <c r="I154" s="349"/>
      <c r="J154" s="349"/>
      <c r="K154" s="349"/>
      <c r="L154" s="349"/>
      <c r="M154" s="349"/>
      <c r="N154" s="349"/>
      <c r="O154" s="349"/>
      <c r="P154" s="349"/>
      <c r="Q154" s="349"/>
      <c r="R154" s="349"/>
      <c r="S154" s="349"/>
      <c r="T154" s="349"/>
    </row>
    <row r="158" spans="2:22">
      <c r="C158" s="11">
        <v>2006</v>
      </c>
      <c r="E158" s="11">
        <v>2007</v>
      </c>
      <c r="G158" s="11">
        <v>2008</v>
      </c>
      <c r="I158" s="11">
        <v>2009</v>
      </c>
      <c r="K158" s="11">
        <v>2010</v>
      </c>
      <c r="M158" s="11">
        <v>2011</v>
      </c>
      <c r="O158" s="11">
        <v>2012</v>
      </c>
      <c r="Q158" s="11">
        <v>2013</v>
      </c>
      <c r="S158" s="11">
        <v>2014</v>
      </c>
      <c r="U158" s="11">
        <v>2015</v>
      </c>
    </row>
    <row r="159" spans="2:22">
      <c r="B159" s="11" t="s">
        <v>258</v>
      </c>
      <c r="C159" s="11" t="s">
        <v>262</v>
      </c>
      <c r="D159" s="11" t="s">
        <v>152</v>
      </c>
      <c r="E159" s="11" t="s">
        <v>262</v>
      </c>
      <c r="F159" s="11" t="s">
        <v>152</v>
      </c>
      <c r="G159" s="11" t="s">
        <v>262</v>
      </c>
      <c r="H159" s="11" t="s">
        <v>152</v>
      </c>
      <c r="I159" s="11" t="s">
        <v>262</v>
      </c>
      <c r="J159" s="11" t="s">
        <v>152</v>
      </c>
      <c r="K159" s="11" t="s">
        <v>262</v>
      </c>
      <c r="L159" s="11" t="s">
        <v>152</v>
      </c>
      <c r="M159" s="11" t="s">
        <v>262</v>
      </c>
      <c r="N159" s="11" t="s">
        <v>152</v>
      </c>
      <c r="O159" s="11" t="s">
        <v>262</v>
      </c>
      <c r="P159" s="11" t="s">
        <v>152</v>
      </c>
      <c r="Q159" s="11" t="s">
        <v>262</v>
      </c>
      <c r="R159" s="11" t="s">
        <v>152</v>
      </c>
      <c r="S159" s="11" t="s">
        <v>262</v>
      </c>
      <c r="T159" s="11" t="s">
        <v>152</v>
      </c>
      <c r="U159" s="11" t="s">
        <v>262</v>
      </c>
      <c r="V159" s="1" t="s">
        <v>152</v>
      </c>
    </row>
    <row r="160" spans="2:22">
      <c r="B160" s="11" t="s">
        <v>257</v>
      </c>
      <c r="C160" s="11" t="s">
        <v>262</v>
      </c>
      <c r="D160" s="11" t="s">
        <v>256</v>
      </c>
      <c r="E160" s="11" t="s">
        <v>262</v>
      </c>
      <c r="F160" s="11" t="s">
        <v>256</v>
      </c>
      <c r="G160" s="11" t="s">
        <v>262</v>
      </c>
      <c r="H160" s="11" t="s">
        <v>256</v>
      </c>
      <c r="I160" s="11" t="s">
        <v>262</v>
      </c>
      <c r="J160" s="11" t="s">
        <v>256</v>
      </c>
      <c r="K160" s="11" t="s">
        <v>262</v>
      </c>
      <c r="L160" s="11" t="s">
        <v>256</v>
      </c>
      <c r="M160" s="11" t="s">
        <v>262</v>
      </c>
      <c r="N160" s="11" t="s">
        <v>256</v>
      </c>
      <c r="O160" s="11" t="s">
        <v>262</v>
      </c>
      <c r="P160" s="11" t="s">
        <v>256</v>
      </c>
      <c r="Q160" s="11" t="s">
        <v>262</v>
      </c>
      <c r="R160" s="11" t="s">
        <v>256</v>
      </c>
      <c r="S160" s="11" t="s">
        <v>262</v>
      </c>
      <c r="T160" s="11" t="s">
        <v>256</v>
      </c>
      <c r="U160" s="11" t="s">
        <v>262</v>
      </c>
      <c r="V160" s="1" t="s">
        <v>256</v>
      </c>
    </row>
    <row r="161" spans="2:3">
      <c r="B161" s="11" t="s">
        <v>260</v>
      </c>
      <c r="C161" s="11" t="s">
        <v>259</v>
      </c>
    </row>
    <row r="162" spans="2:3">
      <c r="B162" s="11" t="s">
        <v>127</v>
      </c>
      <c r="C162" s="11" t="s">
        <v>1</v>
      </c>
    </row>
    <row r="163" spans="2:3">
      <c r="B163" s="11" t="s">
        <v>2</v>
      </c>
      <c r="C163" s="11" t="s">
        <v>166</v>
      </c>
    </row>
    <row r="164" spans="2:3">
      <c r="B164" s="11" t="s">
        <v>3</v>
      </c>
      <c r="C164" s="11" t="s">
        <v>4</v>
      </c>
    </row>
    <row r="165" spans="2:3">
      <c r="B165" s="11" t="s">
        <v>5</v>
      </c>
      <c r="C165" s="11" t="s">
        <v>6</v>
      </c>
    </row>
    <row r="166" spans="2:3">
      <c r="B166" s="11" t="s">
        <v>7</v>
      </c>
      <c r="C166" s="11" t="s">
        <v>8</v>
      </c>
    </row>
    <row r="167" spans="2:3">
      <c r="B167" s="11" t="s">
        <v>9</v>
      </c>
      <c r="C167" s="11" t="s">
        <v>10</v>
      </c>
    </row>
    <row r="168" spans="2:3">
      <c r="B168" s="11" t="s">
        <v>11</v>
      </c>
      <c r="C168" s="11" t="s">
        <v>263</v>
      </c>
    </row>
    <row r="169" spans="2:3">
      <c r="B169" s="11" t="s">
        <v>12</v>
      </c>
      <c r="C169" s="11" t="s">
        <v>13</v>
      </c>
    </row>
    <row r="170" spans="2:3">
      <c r="B170" s="11" t="s">
        <v>14</v>
      </c>
      <c r="C170" s="11" t="s">
        <v>15</v>
      </c>
    </row>
    <row r="171" spans="2:3">
      <c r="B171" s="11" t="s">
        <v>16</v>
      </c>
      <c r="C171" s="11" t="s">
        <v>18</v>
      </c>
    </row>
    <row r="172" spans="2:3">
      <c r="B172" s="11" t="s">
        <v>19</v>
      </c>
      <c r="C172" s="11" t="s">
        <v>20</v>
      </c>
    </row>
    <row r="173" spans="2:3">
      <c r="B173" s="11" t="s">
        <v>21</v>
      </c>
      <c r="C173" s="11" t="s">
        <v>22</v>
      </c>
    </row>
    <row r="174" spans="2:3">
      <c r="B174" s="11" t="s">
        <v>23</v>
      </c>
      <c r="C174" s="11" t="s">
        <v>24</v>
      </c>
    </row>
    <row r="175" spans="2:3">
      <c r="B175" s="11" t="s">
        <v>25</v>
      </c>
      <c r="C175" s="11" t="s">
        <v>26</v>
      </c>
    </row>
    <row r="176" spans="2:3">
      <c r="B176" s="11" t="s">
        <v>27</v>
      </c>
      <c r="C176" s="11" t="s">
        <v>28</v>
      </c>
    </row>
    <row r="177" spans="2:3">
      <c r="B177" s="11" t="s">
        <v>29</v>
      </c>
      <c r="C177" s="11" t="s">
        <v>30</v>
      </c>
    </row>
    <row r="178" spans="2:3">
      <c r="B178" s="11" t="s">
        <v>31</v>
      </c>
      <c r="C178" s="11" t="s">
        <v>174</v>
      </c>
    </row>
    <row r="179" spans="2:3">
      <c r="B179" s="11" t="s">
        <v>32</v>
      </c>
      <c r="C179" s="11" t="s">
        <v>33</v>
      </c>
    </row>
    <row r="180" spans="2:3">
      <c r="B180" s="11" t="s">
        <v>34</v>
      </c>
      <c r="C180" s="11" t="s">
        <v>267</v>
      </c>
    </row>
    <row r="181" spans="2:3">
      <c r="B181" s="11" t="s">
        <v>36</v>
      </c>
      <c r="C181" s="11" t="s">
        <v>272</v>
      </c>
    </row>
    <row r="182" spans="2:3">
      <c r="B182" s="11" t="s">
        <v>37</v>
      </c>
      <c r="C182" s="11" t="s">
        <v>38</v>
      </c>
    </row>
    <row r="183" spans="2:3">
      <c r="B183" s="11" t="s">
        <v>39</v>
      </c>
      <c r="C183" s="11" t="s">
        <v>167</v>
      </c>
    </row>
    <row r="184" spans="2:3">
      <c r="B184" s="11" t="s">
        <v>40</v>
      </c>
      <c r="C184" s="11" t="s">
        <v>41</v>
      </c>
    </row>
    <row r="185" spans="2:3">
      <c r="B185" s="11" t="s">
        <v>42</v>
      </c>
      <c r="C185" s="11" t="s">
        <v>43</v>
      </c>
    </row>
    <row r="186" spans="2:3">
      <c r="B186" s="11" t="s">
        <v>161</v>
      </c>
      <c r="C186" s="11" t="s">
        <v>277</v>
      </c>
    </row>
    <row r="187" spans="2:3">
      <c r="B187" s="11" t="s">
        <v>44</v>
      </c>
      <c r="C187" s="11" t="s">
        <v>276</v>
      </c>
    </row>
    <row r="188" spans="2:3">
      <c r="B188" s="11" t="s">
        <v>45</v>
      </c>
      <c r="C188" s="11" t="s">
        <v>46</v>
      </c>
    </row>
    <row r="189" spans="2:3">
      <c r="B189" s="11" t="s">
        <v>47</v>
      </c>
      <c r="C189" s="11" t="s">
        <v>48</v>
      </c>
    </row>
    <row r="190" spans="2:3">
      <c r="B190" s="11" t="s">
        <v>49</v>
      </c>
      <c r="C190" s="11" t="s">
        <v>268</v>
      </c>
    </row>
    <row r="191" spans="2:3">
      <c r="B191" s="11" t="s">
        <v>50</v>
      </c>
      <c r="C191" s="11" t="s">
        <v>168</v>
      </c>
    </row>
    <row r="192" spans="2:3">
      <c r="B192" s="11" t="s">
        <v>51</v>
      </c>
      <c r="C192" s="11" t="s">
        <v>52</v>
      </c>
    </row>
    <row r="193" spans="2:3">
      <c r="B193" s="11" t="s">
        <v>53</v>
      </c>
      <c r="C193" s="11" t="s">
        <v>54</v>
      </c>
    </row>
    <row r="194" spans="2:3">
      <c r="B194" s="11" t="s">
        <v>55</v>
      </c>
      <c r="C194" s="11" t="s">
        <v>56</v>
      </c>
    </row>
    <row r="195" spans="2:3">
      <c r="B195" s="11" t="s">
        <v>57</v>
      </c>
      <c r="C195" s="11" t="s">
        <v>58</v>
      </c>
    </row>
    <row r="196" spans="2:3">
      <c r="B196" s="11" t="s">
        <v>59</v>
      </c>
      <c r="C196" s="11" t="s">
        <v>60</v>
      </c>
    </row>
    <row r="197" spans="2:3">
      <c r="B197" s="11" t="s">
        <v>53</v>
      </c>
      <c r="C197" s="11" t="s">
        <v>54</v>
      </c>
    </row>
    <row r="198" spans="2:3">
      <c r="B198" s="7" t="s">
        <v>467</v>
      </c>
      <c r="C198" s="11" t="s">
        <v>465</v>
      </c>
    </row>
    <row r="199" spans="2:3">
      <c r="B199" s="11" t="s">
        <v>122</v>
      </c>
      <c r="C199" s="11" t="s">
        <v>146</v>
      </c>
    </row>
    <row r="200" spans="2:3">
      <c r="B200" s="11" t="s">
        <v>61</v>
      </c>
      <c r="C200" s="11" t="s">
        <v>339</v>
      </c>
    </row>
    <row r="201" spans="2:3">
      <c r="B201" s="11" t="s">
        <v>261</v>
      </c>
      <c r="C201" s="11" t="s">
        <v>269</v>
      </c>
    </row>
    <row r="202" spans="2:3">
      <c r="B202" s="11" t="s">
        <v>62</v>
      </c>
      <c r="C202" s="11" t="s">
        <v>340</v>
      </c>
    </row>
    <row r="203" spans="2:3">
      <c r="B203" s="11" t="s">
        <v>63</v>
      </c>
      <c r="C203" s="11" t="s">
        <v>64</v>
      </c>
    </row>
    <row r="204" spans="2:3">
      <c r="B204" s="11" t="s">
        <v>65</v>
      </c>
      <c r="C204" s="11" t="s">
        <v>66</v>
      </c>
    </row>
    <row r="205" spans="2:3">
      <c r="B205" s="11" t="s">
        <v>67</v>
      </c>
      <c r="C205" s="11" t="s">
        <v>68</v>
      </c>
    </row>
    <row r="206" spans="2:3">
      <c r="B206" s="11" t="s">
        <v>69</v>
      </c>
      <c r="C206" s="11" t="s">
        <v>70</v>
      </c>
    </row>
    <row r="207" spans="2:3">
      <c r="B207" s="11" t="s">
        <v>71</v>
      </c>
      <c r="C207" s="11" t="s">
        <v>72</v>
      </c>
    </row>
    <row r="208" spans="2:3">
      <c r="B208" s="11" t="s">
        <v>73</v>
      </c>
      <c r="C208" s="11" t="s">
        <v>270</v>
      </c>
    </row>
    <row r="209" spans="2:3">
      <c r="B209" s="11" t="s">
        <v>74</v>
      </c>
      <c r="C209" s="11" t="s">
        <v>75</v>
      </c>
    </row>
    <row r="210" spans="2:3">
      <c r="B210" s="11" t="s">
        <v>76</v>
      </c>
      <c r="C210" s="11" t="s">
        <v>77</v>
      </c>
    </row>
    <row r="211" spans="2:3">
      <c r="B211" s="11" t="s">
        <v>78</v>
      </c>
      <c r="C211" s="11" t="s">
        <v>271</v>
      </c>
    </row>
    <row r="212" spans="2:3">
      <c r="B212" s="11" t="s">
        <v>79</v>
      </c>
      <c r="C212" s="11" t="s">
        <v>80</v>
      </c>
    </row>
    <row r="213" spans="2:3">
      <c r="B213" s="11" t="s">
        <v>81</v>
      </c>
      <c r="C213" s="11" t="s">
        <v>82</v>
      </c>
    </row>
    <row r="214" spans="2:3">
      <c r="B214" s="11" t="s">
        <v>83</v>
      </c>
      <c r="C214" s="11" t="s">
        <v>84</v>
      </c>
    </row>
    <row r="215" spans="2:3">
      <c r="B215" s="11" t="s">
        <v>85</v>
      </c>
      <c r="C215" s="11" t="s">
        <v>341</v>
      </c>
    </row>
    <row r="216" spans="2:3">
      <c r="B216" s="11" t="s">
        <v>86</v>
      </c>
      <c r="C216" s="11" t="s">
        <v>87</v>
      </c>
    </row>
    <row r="217" spans="2:3">
      <c r="B217" s="11" t="s">
        <v>88</v>
      </c>
      <c r="C217" s="11" t="s">
        <v>89</v>
      </c>
    </row>
    <row r="218" spans="2:3">
      <c r="B218" s="11" t="s">
        <v>90</v>
      </c>
      <c r="C218" s="11" t="s">
        <v>91</v>
      </c>
    </row>
    <row r="219" spans="2:3">
      <c r="B219" s="11" t="s">
        <v>92</v>
      </c>
      <c r="C219" s="11" t="s">
        <v>93</v>
      </c>
    </row>
    <row r="220" spans="2:3">
      <c r="B220" s="11" t="s">
        <v>94</v>
      </c>
      <c r="C220" s="11" t="s">
        <v>95</v>
      </c>
    </row>
    <row r="221" spans="2:3">
      <c r="B221" s="11" t="s">
        <v>96</v>
      </c>
      <c r="C221" s="11" t="s">
        <v>97</v>
      </c>
    </row>
    <row r="222" spans="2:3">
      <c r="B222" s="11" t="s">
        <v>98</v>
      </c>
      <c r="C222" s="11" t="s">
        <v>100</v>
      </c>
    </row>
    <row r="223" spans="2:3">
      <c r="B223" s="11" t="s">
        <v>101</v>
      </c>
      <c r="C223" s="11" t="s">
        <v>102</v>
      </c>
    </row>
    <row r="224" spans="2:3">
      <c r="B224" s="11" t="s">
        <v>103</v>
      </c>
      <c r="C224" s="11" t="s">
        <v>104</v>
      </c>
    </row>
    <row r="225" spans="2:3">
      <c r="B225" s="11" t="s">
        <v>105</v>
      </c>
      <c r="C225" s="11" t="s">
        <v>106</v>
      </c>
    </row>
    <row r="226" spans="2:3">
      <c r="B226" s="11" t="s">
        <v>107</v>
      </c>
      <c r="C226" s="12" t="s">
        <v>172</v>
      </c>
    </row>
    <row r="227" spans="2:3">
      <c r="B227" s="11" t="s">
        <v>108</v>
      </c>
      <c r="C227" s="12" t="s">
        <v>173</v>
      </c>
    </row>
    <row r="228" spans="2:3">
      <c r="B228" s="11" t="s">
        <v>162</v>
      </c>
      <c r="C228" s="11" t="s">
        <v>342</v>
      </c>
    </row>
    <row r="229" spans="2:3">
      <c r="B229" s="11" t="s">
        <v>109</v>
      </c>
      <c r="C229" s="12" t="s">
        <v>175</v>
      </c>
    </row>
    <row r="230" spans="2:3">
      <c r="B230" s="11" t="s">
        <v>110</v>
      </c>
      <c r="C230" s="11" t="s">
        <v>111</v>
      </c>
    </row>
    <row r="231" spans="2:3">
      <c r="B231" s="11" t="s">
        <v>112</v>
      </c>
      <c r="C231" s="11" t="s">
        <v>113</v>
      </c>
    </row>
    <row r="232" spans="2:3">
      <c r="B232" s="11" t="s">
        <v>114</v>
      </c>
      <c r="C232" s="11" t="s">
        <v>116</v>
      </c>
    </row>
    <row r="233" spans="2:3">
      <c r="B233" s="11" t="s">
        <v>117</v>
      </c>
      <c r="C233" s="11" t="s">
        <v>118</v>
      </c>
    </row>
    <row r="234" spans="2:3">
      <c r="B234" s="11" t="s">
        <v>151</v>
      </c>
      <c r="C234" s="12" t="s">
        <v>176</v>
      </c>
    </row>
    <row r="235" spans="2:3">
      <c r="B235" s="11" t="s">
        <v>264</v>
      </c>
      <c r="C235" s="11" t="s">
        <v>286</v>
      </c>
    </row>
    <row r="236" spans="2:3">
      <c r="B236" s="11" t="s">
        <v>132</v>
      </c>
      <c r="C236" s="12" t="s">
        <v>177</v>
      </c>
    </row>
    <row r="237" spans="2:3">
      <c r="B237" s="11" t="s">
        <v>0</v>
      </c>
      <c r="C237" s="12" t="s">
        <v>133</v>
      </c>
    </row>
    <row r="238" spans="2:3">
      <c r="B238" s="11" t="s">
        <v>157</v>
      </c>
      <c r="C238" s="12" t="s">
        <v>135</v>
      </c>
    </row>
    <row r="239" spans="2:3">
      <c r="B239" s="11" t="s">
        <v>158</v>
      </c>
      <c r="C239" s="12" t="s">
        <v>137</v>
      </c>
    </row>
    <row r="240" spans="2:3">
      <c r="B240" s="11" t="s">
        <v>159</v>
      </c>
      <c r="C240" s="12" t="s">
        <v>138</v>
      </c>
    </row>
    <row r="241" spans="2:21">
      <c r="B241" s="11" t="s">
        <v>112</v>
      </c>
      <c r="C241" s="12" t="s">
        <v>139</v>
      </c>
    </row>
    <row r="242" spans="2:21">
      <c r="B242" s="11" t="s">
        <v>140</v>
      </c>
      <c r="C242" s="12" t="s">
        <v>141</v>
      </c>
    </row>
    <row r="243" spans="2:21">
      <c r="B243" s="11" t="s">
        <v>120</v>
      </c>
      <c r="C243" s="12" t="s">
        <v>142</v>
      </c>
    </row>
    <row r="244" spans="2:21">
      <c r="B244" s="11" t="s">
        <v>143</v>
      </c>
      <c r="C244" s="12" t="s">
        <v>144</v>
      </c>
    </row>
    <row r="245" spans="2:21">
      <c r="B245" s="11" t="s">
        <v>121</v>
      </c>
      <c r="C245" s="12" t="s">
        <v>145</v>
      </c>
    </row>
    <row r="246" spans="2:21">
      <c r="B246" s="11" t="s">
        <v>123</v>
      </c>
      <c r="C246" s="12" t="s">
        <v>147</v>
      </c>
    </row>
    <row r="247" spans="2:21">
      <c r="B247" s="11" t="s">
        <v>122</v>
      </c>
      <c r="C247" s="5" t="s">
        <v>146</v>
      </c>
    </row>
    <row r="248" spans="2:21">
      <c r="B248" s="11" t="s">
        <v>163</v>
      </c>
      <c r="C248" s="5" t="s">
        <v>274</v>
      </c>
    </row>
    <row r="249" spans="2:21">
      <c r="B249" s="11" t="s">
        <v>164</v>
      </c>
      <c r="C249" s="5" t="s">
        <v>275</v>
      </c>
    </row>
    <row r="250" spans="2:21">
      <c r="B250" s="11" t="s">
        <v>265</v>
      </c>
      <c r="C250" s="11" t="s">
        <v>273</v>
      </c>
    </row>
    <row r="253" spans="2:21">
      <c r="B253" s="349" t="s">
        <v>278</v>
      </c>
      <c r="C253" s="349"/>
      <c r="D253" s="349"/>
      <c r="E253" s="349"/>
      <c r="F253" s="349"/>
      <c r="G253" s="349"/>
      <c r="H253" s="349"/>
      <c r="I253" s="349"/>
      <c r="J253" s="349"/>
      <c r="K253" s="349"/>
      <c r="L253" s="349"/>
      <c r="M253" s="349"/>
      <c r="N253" s="349"/>
      <c r="O253" s="349"/>
      <c r="P253" s="349"/>
      <c r="Q253" s="349"/>
      <c r="R253" s="349"/>
      <c r="S253" s="349"/>
      <c r="T253" s="349"/>
    </row>
    <row r="256" spans="2:21">
      <c r="C256" s="11">
        <v>2006</v>
      </c>
      <c r="E256" s="11">
        <v>2007</v>
      </c>
      <c r="G256" s="11">
        <v>2008</v>
      </c>
      <c r="I256" s="11">
        <v>2009</v>
      </c>
      <c r="K256" s="11">
        <v>2010</v>
      </c>
      <c r="M256" s="11">
        <v>2011</v>
      </c>
      <c r="O256" s="11">
        <v>2012</v>
      </c>
      <c r="Q256" s="11">
        <v>2013</v>
      </c>
      <c r="S256" s="11">
        <v>2014</v>
      </c>
      <c r="U256" s="11">
        <v>2015</v>
      </c>
    </row>
    <row r="257" spans="2:22">
      <c r="B257" s="11" t="s">
        <v>234</v>
      </c>
      <c r="C257" s="11" t="s">
        <v>262</v>
      </c>
      <c r="D257" s="11" t="s">
        <v>152</v>
      </c>
      <c r="E257" s="11" t="s">
        <v>262</v>
      </c>
      <c r="F257" s="11" t="s">
        <v>152</v>
      </c>
      <c r="G257" s="11" t="s">
        <v>262</v>
      </c>
      <c r="H257" s="11" t="s">
        <v>152</v>
      </c>
      <c r="I257" s="11" t="s">
        <v>262</v>
      </c>
      <c r="J257" s="11" t="s">
        <v>152</v>
      </c>
      <c r="K257" s="11" t="s">
        <v>262</v>
      </c>
      <c r="L257" s="11" t="s">
        <v>152</v>
      </c>
      <c r="M257" s="11" t="s">
        <v>262</v>
      </c>
      <c r="N257" s="11" t="s">
        <v>152</v>
      </c>
      <c r="O257" s="11" t="s">
        <v>262</v>
      </c>
      <c r="P257" s="11" t="s">
        <v>152</v>
      </c>
      <c r="Q257" s="11" t="s">
        <v>262</v>
      </c>
      <c r="R257" s="11" t="s">
        <v>152</v>
      </c>
      <c r="S257" s="11" t="s">
        <v>262</v>
      </c>
      <c r="T257" s="11" t="s">
        <v>152</v>
      </c>
      <c r="U257" s="11" t="s">
        <v>262</v>
      </c>
      <c r="V257" s="1" t="s">
        <v>152</v>
      </c>
    </row>
    <row r="258" spans="2:22">
      <c r="B258" s="11" t="s">
        <v>191</v>
      </c>
      <c r="C258" s="11" t="s">
        <v>262</v>
      </c>
      <c r="D258" s="11" t="s">
        <v>256</v>
      </c>
      <c r="E258" s="11" t="s">
        <v>262</v>
      </c>
      <c r="F258" s="11" t="s">
        <v>256</v>
      </c>
      <c r="G258" s="11" t="s">
        <v>262</v>
      </c>
      <c r="H258" s="11" t="s">
        <v>256</v>
      </c>
      <c r="I258" s="11" t="s">
        <v>262</v>
      </c>
      <c r="J258" s="11" t="s">
        <v>256</v>
      </c>
      <c r="K258" s="11" t="s">
        <v>262</v>
      </c>
      <c r="L258" s="11" t="s">
        <v>256</v>
      </c>
      <c r="M258" s="11" t="s">
        <v>262</v>
      </c>
      <c r="N258" s="11" t="s">
        <v>256</v>
      </c>
      <c r="O258" s="11" t="s">
        <v>262</v>
      </c>
      <c r="P258" s="11" t="s">
        <v>256</v>
      </c>
      <c r="Q258" s="11" t="s">
        <v>262</v>
      </c>
      <c r="R258" s="11" t="s">
        <v>256</v>
      </c>
      <c r="S258" s="11" t="s">
        <v>262</v>
      </c>
      <c r="T258" s="11" t="s">
        <v>256</v>
      </c>
      <c r="U258" s="11" t="s">
        <v>262</v>
      </c>
      <c r="V258" s="1" t="s">
        <v>256</v>
      </c>
    </row>
    <row r="259" spans="2:22">
      <c r="B259" s="11" t="s">
        <v>127</v>
      </c>
      <c r="C259" s="11" t="s">
        <v>1</v>
      </c>
    </row>
    <row r="260" spans="2:22">
      <c r="B260" s="11" t="s">
        <v>2</v>
      </c>
      <c r="C260" s="11" t="s">
        <v>166</v>
      </c>
    </row>
    <row r="261" spans="2:22">
      <c r="B261" s="11" t="s">
        <v>3</v>
      </c>
      <c r="C261" s="11" t="s">
        <v>4</v>
      </c>
    </row>
    <row r="262" spans="2:22">
      <c r="B262" s="11" t="s">
        <v>5</v>
      </c>
      <c r="C262" s="11" t="s">
        <v>6</v>
      </c>
    </row>
    <row r="263" spans="2:22">
      <c r="B263" s="11" t="s">
        <v>7</v>
      </c>
      <c r="C263" s="11" t="s">
        <v>8</v>
      </c>
    </row>
    <row r="264" spans="2:22">
      <c r="B264" s="11" t="s">
        <v>9</v>
      </c>
      <c r="C264" s="11" t="s">
        <v>10</v>
      </c>
    </row>
    <row r="265" spans="2:22">
      <c r="B265" s="11" t="s">
        <v>12</v>
      </c>
      <c r="C265" s="11" t="s">
        <v>13</v>
      </c>
    </row>
    <row r="266" spans="2:22">
      <c r="B266" s="11" t="s">
        <v>14</v>
      </c>
      <c r="C266" s="11" t="s">
        <v>15</v>
      </c>
    </row>
    <row r="267" spans="2:22">
      <c r="B267" s="11" t="s">
        <v>11</v>
      </c>
      <c r="C267" s="11" t="s">
        <v>281</v>
      </c>
    </row>
    <row r="268" spans="2:22">
      <c r="B268" s="11" t="s">
        <v>16</v>
      </c>
      <c r="C268" s="11" t="s">
        <v>18</v>
      </c>
    </row>
    <row r="269" spans="2:22">
      <c r="B269" s="11" t="s">
        <v>19</v>
      </c>
      <c r="C269" s="11" t="s">
        <v>20</v>
      </c>
    </row>
    <row r="270" spans="2:22">
      <c r="B270" s="11" t="s">
        <v>21</v>
      </c>
      <c r="C270" s="11" t="s">
        <v>22</v>
      </c>
    </row>
    <row r="271" spans="2:22">
      <c r="B271" s="11" t="s">
        <v>23</v>
      </c>
      <c r="C271" s="11" t="s">
        <v>24</v>
      </c>
    </row>
    <row r="272" spans="2:22">
      <c r="B272" s="11" t="s">
        <v>25</v>
      </c>
      <c r="C272" s="11" t="s">
        <v>26</v>
      </c>
    </row>
    <row r="273" spans="2:3">
      <c r="B273" s="11" t="s">
        <v>27</v>
      </c>
      <c r="C273" s="11" t="s">
        <v>28</v>
      </c>
    </row>
    <row r="274" spans="2:3">
      <c r="B274" s="11" t="s">
        <v>29</v>
      </c>
      <c r="C274" s="11" t="s">
        <v>30</v>
      </c>
    </row>
    <row r="275" spans="2:3">
      <c r="B275" s="11" t="s">
        <v>39</v>
      </c>
      <c r="C275" s="11" t="s">
        <v>167</v>
      </c>
    </row>
    <row r="276" spans="2:3">
      <c r="B276" s="11" t="s">
        <v>53</v>
      </c>
      <c r="C276" s="11" t="s">
        <v>54</v>
      </c>
    </row>
    <row r="277" spans="2:3">
      <c r="B277" s="7" t="s">
        <v>408</v>
      </c>
      <c r="C277" s="11" t="s">
        <v>466</v>
      </c>
    </row>
    <row r="278" spans="2:3">
      <c r="B278" s="11" t="s">
        <v>234</v>
      </c>
      <c r="C278" s="11" t="s">
        <v>282</v>
      </c>
    </row>
    <row r="279" spans="2:3">
      <c r="B279" s="11" t="s">
        <v>279</v>
      </c>
      <c r="C279" s="11" t="s">
        <v>283</v>
      </c>
    </row>
    <row r="280" spans="2:3">
      <c r="B280" s="11" t="s">
        <v>62</v>
      </c>
      <c r="C280" s="11" t="s">
        <v>340</v>
      </c>
    </row>
    <row r="281" spans="2:3">
      <c r="B281" s="11" t="s">
        <v>63</v>
      </c>
      <c r="C281" s="11" t="s">
        <v>64</v>
      </c>
    </row>
    <row r="282" spans="2:3">
      <c r="B282" s="11" t="s">
        <v>65</v>
      </c>
      <c r="C282" s="11" t="s">
        <v>66</v>
      </c>
    </row>
    <row r="283" spans="2:3">
      <c r="B283" s="11" t="s">
        <v>67</v>
      </c>
      <c r="C283" s="11" t="s">
        <v>68</v>
      </c>
    </row>
    <row r="284" spans="2:3">
      <c r="B284" s="11" t="s">
        <v>69</v>
      </c>
      <c r="C284" s="11" t="s">
        <v>70</v>
      </c>
    </row>
    <row r="285" spans="2:3">
      <c r="B285" s="11" t="s">
        <v>71</v>
      </c>
      <c r="C285" s="11" t="s">
        <v>72</v>
      </c>
    </row>
    <row r="286" spans="2:3">
      <c r="B286" s="11" t="s">
        <v>153</v>
      </c>
      <c r="C286" s="11" t="s">
        <v>270</v>
      </c>
    </row>
    <row r="287" spans="2:3">
      <c r="B287" s="11" t="s">
        <v>74</v>
      </c>
      <c r="C287" s="11" t="s">
        <v>75</v>
      </c>
    </row>
    <row r="288" spans="2:3">
      <c r="B288" s="11" t="s">
        <v>76</v>
      </c>
      <c r="C288" s="11" t="s">
        <v>77</v>
      </c>
    </row>
    <row r="289" spans="2:3">
      <c r="B289" s="11" t="s">
        <v>78</v>
      </c>
      <c r="C289" s="11" t="s">
        <v>271</v>
      </c>
    </row>
    <row r="290" spans="2:3">
      <c r="B290" s="11" t="s">
        <v>79</v>
      </c>
      <c r="C290" s="11" t="s">
        <v>80</v>
      </c>
    </row>
    <row r="291" spans="2:3">
      <c r="B291" s="11" t="s">
        <v>81</v>
      </c>
      <c r="C291" s="11" t="s">
        <v>82</v>
      </c>
    </row>
    <row r="292" spans="2:3">
      <c r="B292" s="11" t="s">
        <v>83</v>
      </c>
      <c r="C292" s="11" t="s">
        <v>84</v>
      </c>
    </row>
    <row r="293" spans="2:3">
      <c r="B293" s="11" t="s">
        <v>85</v>
      </c>
      <c r="C293" s="11" t="s">
        <v>341</v>
      </c>
    </row>
    <row r="294" spans="2:3">
      <c r="B294" s="11" t="s">
        <v>154</v>
      </c>
      <c r="C294" s="11" t="s">
        <v>343</v>
      </c>
    </row>
    <row r="295" spans="2:3">
      <c r="B295" s="11" t="s">
        <v>86</v>
      </c>
      <c r="C295" s="11" t="s">
        <v>87</v>
      </c>
    </row>
    <row r="296" spans="2:3">
      <c r="B296" s="11" t="s">
        <v>88</v>
      </c>
      <c r="C296" s="11" t="s">
        <v>89</v>
      </c>
    </row>
    <row r="297" spans="2:3">
      <c r="B297" s="11" t="s">
        <v>90</v>
      </c>
      <c r="C297" s="11" t="s">
        <v>91</v>
      </c>
    </row>
    <row r="298" spans="2:3">
      <c r="B298" s="11" t="s">
        <v>92</v>
      </c>
      <c r="C298" s="11" t="s">
        <v>93</v>
      </c>
    </row>
    <row r="299" spans="2:3">
      <c r="B299" s="11" t="s">
        <v>94</v>
      </c>
      <c r="C299" s="11" t="s">
        <v>95</v>
      </c>
    </row>
    <row r="300" spans="2:3">
      <c r="B300" s="11" t="s">
        <v>96</v>
      </c>
      <c r="C300" s="11" t="s">
        <v>97</v>
      </c>
    </row>
    <row r="301" spans="2:3">
      <c r="B301" s="11" t="s">
        <v>155</v>
      </c>
      <c r="C301" s="11" t="s">
        <v>100</v>
      </c>
    </row>
    <row r="302" spans="2:3">
      <c r="B302" s="11" t="s">
        <v>101</v>
      </c>
      <c r="C302" s="11" t="s">
        <v>102</v>
      </c>
    </row>
    <row r="303" spans="2:3">
      <c r="B303" s="11" t="s">
        <v>103</v>
      </c>
      <c r="C303" s="11" t="s">
        <v>104</v>
      </c>
    </row>
    <row r="304" spans="2:3">
      <c r="B304" s="11" t="s">
        <v>108</v>
      </c>
      <c r="C304" s="12" t="s">
        <v>173</v>
      </c>
    </row>
    <row r="305" spans="2:3">
      <c r="B305" s="11" t="s">
        <v>105</v>
      </c>
      <c r="C305" s="11" t="s">
        <v>106</v>
      </c>
    </row>
    <row r="306" spans="2:3">
      <c r="B306" s="11" t="s">
        <v>280</v>
      </c>
      <c r="C306" s="11" t="s">
        <v>342</v>
      </c>
    </row>
    <row r="307" spans="2:3">
      <c r="B307" s="11" t="s">
        <v>109</v>
      </c>
      <c r="C307" s="11" t="s">
        <v>284</v>
      </c>
    </row>
    <row r="308" spans="2:3">
      <c r="B308" s="11" t="s">
        <v>156</v>
      </c>
      <c r="C308" s="11" t="s">
        <v>285</v>
      </c>
    </row>
    <row r="309" spans="2:3">
      <c r="B309" s="11" t="s">
        <v>110</v>
      </c>
      <c r="C309" s="11" t="s">
        <v>111</v>
      </c>
    </row>
    <row r="310" spans="2:3">
      <c r="B310" s="11" t="s">
        <v>112</v>
      </c>
      <c r="C310" s="11" t="s">
        <v>113</v>
      </c>
    </row>
    <row r="311" spans="2:3">
      <c r="B311" s="11" t="s">
        <v>115</v>
      </c>
      <c r="C311" s="11" t="s">
        <v>116</v>
      </c>
    </row>
    <row r="312" spans="2:3">
      <c r="B312" s="11" t="s">
        <v>117</v>
      </c>
      <c r="C312" s="11" t="s">
        <v>118</v>
      </c>
    </row>
    <row r="313" spans="2:3">
      <c r="B313" s="11" t="s">
        <v>151</v>
      </c>
      <c r="C313" s="12" t="s">
        <v>176</v>
      </c>
    </row>
    <row r="314" spans="2:3">
      <c r="B314" s="11" t="s">
        <v>264</v>
      </c>
      <c r="C314" s="11" t="s">
        <v>286</v>
      </c>
    </row>
    <row r="315" spans="2:3">
      <c r="B315" s="11" t="s">
        <v>132</v>
      </c>
      <c r="C315" s="12" t="s">
        <v>177</v>
      </c>
    </row>
    <row r="316" spans="2:3">
      <c r="B316" s="11" t="s">
        <v>0</v>
      </c>
      <c r="C316" s="12" t="s">
        <v>133</v>
      </c>
    </row>
    <row r="317" spans="2:3">
      <c r="B317" s="11" t="s">
        <v>157</v>
      </c>
      <c r="C317" s="12" t="s">
        <v>135</v>
      </c>
    </row>
    <row r="318" spans="2:3">
      <c r="B318" s="11" t="s">
        <v>158</v>
      </c>
      <c r="C318" s="12" t="s">
        <v>137</v>
      </c>
    </row>
    <row r="319" spans="2:3">
      <c r="B319" s="11" t="s">
        <v>115</v>
      </c>
      <c r="C319" s="12" t="s">
        <v>138</v>
      </c>
    </row>
    <row r="320" spans="2:3">
      <c r="B320" s="11" t="s">
        <v>112</v>
      </c>
      <c r="C320" s="12" t="s">
        <v>139</v>
      </c>
    </row>
    <row r="321" spans="2:20">
      <c r="B321" s="11" t="s">
        <v>140</v>
      </c>
      <c r="C321" s="12" t="s">
        <v>141</v>
      </c>
    </row>
    <row r="322" spans="2:20">
      <c r="B322" s="11" t="s">
        <v>120</v>
      </c>
      <c r="C322" s="12" t="s">
        <v>287</v>
      </c>
    </row>
    <row r="323" spans="2:20">
      <c r="B323" s="11" t="s">
        <v>143</v>
      </c>
      <c r="C323" s="12" t="s">
        <v>144</v>
      </c>
    </row>
    <row r="324" spans="2:20">
      <c r="B324" s="11" t="s">
        <v>121</v>
      </c>
      <c r="C324" s="12" t="s">
        <v>145</v>
      </c>
    </row>
    <row r="325" spans="2:20">
      <c r="B325" s="11" t="s">
        <v>122</v>
      </c>
      <c r="C325" s="5" t="s">
        <v>146</v>
      </c>
    </row>
    <row r="326" spans="2:20">
      <c r="B326" s="11" t="s">
        <v>123</v>
      </c>
      <c r="C326" s="12" t="s">
        <v>288</v>
      </c>
    </row>
    <row r="327" spans="2:20">
      <c r="B327" s="11" t="s">
        <v>160</v>
      </c>
      <c r="C327" s="12" t="s">
        <v>148</v>
      </c>
    </row>
    <row r="328" spans="2:20">
      <c r="B328" s="11" t="s">
        <v>265</v>
      </c>
      <c r="C328" s="11" t="s">
        <v>273</v>
      </c>
    </row>
    <row r="331" spans="2:20">
      <c r="B331" s="349" t="s">
        <v>314</v>
      </c>
      <c r="C331" s="349"/>
      <c r="D331" s="349"/>
      <c r="E331" s="349"/>
      <c r="F331" s="349"/>
      <c r="G331" s="349"/>
      <c r="H331" s="349"/>
      <c r="I331" s="349"/>
      <c r="J331" s="349"/>
      <c r="K331" s="349"/>
      <c r="L331" s="349"/>
      <c r="M331" s="349"/>
      <c r="N331" s="349"/>
      <c r="O331" s="349"/>
      <c r="P331" s="349"/>
      <c r="Q331" s="349"/>
      <c r="R331" s="349"/>
      <c r="S331" s="349"/>
      <c r="T331" s="349"/>
    </row>
    <row r="334" spans="2:20">
      <c r="C334" s="11">
        <v>2013</v>
      </c>
    </row>
    <row r="335" spans="2:20">
      <c r="B335" s="11" t="s">
        <v>384</v>
      </c>
      <c r="C335" s="11" t="s">
        <v>292</v>
      </c>
      <c r="D335" s="11" t="s">
        <v>293</v>
      </c>
      <c r="E335" s="11" t="s">
        <v>294</v>
      </c>
      <c r="F335" s="11" t="s">
        <v>295</v>
      </c>
      <c r="G335" s="11" t="s">
        <v>296</v>
      </c>
      <c r="H335" s="11" t="s">
        <v>297</v>
      </c>
      <c r="I335" s="11" t="s">
        <v>298</v>
      </c>
      <c r="J335" s="11" t="s">
        <v>299</v>
      </c>
      <c r="K335" s="11" t="s">
        <v>300</v>
      </c>
      <c r="L335" s="11" t="s">
        <v>301</v>
      </c>
      <c r="M335" s="11" t="s">
        <v>302</v>
      </c>
      <c r="N335" s="11" t="s">
        <v>303</v>
      </c>
      <c r="O335" s="11" t="s">
        <v>383</v>
      </c>
    </row>
    <row r="336" spans="2:20">
      <c r="B336" s="11" t="s">
        <v>385</v>
      </c>
      <c r="C336" s="11" t="s">
        <v>315</v>
      </c>
      <c r="D336" s="11" t="s">
        <v>316</v>
      </c>
      <c r="E336" s="11" t="s">
        <v>317</v>
      </c>
      <c r="F336" s="11" t="s">
        <v>295</v>
      </c>
      <c r="G336" s="11" t="s">
        <v>318</v>
      </c>
      <c r="H336" s="11" t="s">
        <v>319</v>
      </c>
      <c r="I336" s="11" t="s">
        <v>320</v>
      </c>
      <c r="J336" s="11" t="s">
        <v>321</v>
      </c>
      <c r="K336" s="11" t="s">
        <v>322</v>
      </c>
      <c r="L336" s="11" t="s">
        <v>323</v>
      </c>
      <c r="M336" s="11" t="s">
        <v>324</v>
      </c>
      <c r="N336" s="11" t="s">
        <v>325</v>
      </c>
      <c r="O336" s="11" t="s">
        <v>382</v>
      </c>
    </row>
    <row r="337" spans="2:3">
      <c r="B337" s="11" t="s">
        <v>127</v>
      </c>
      <c r="C337" s="11" t="s">
        <v>1</v>
      </c>
    </row>
    <row r="338" spans="2:3">
      <c r="B338" s="11" t="s">
        <v>2</v>
      </c>
      <c r="C338" s="11" t="s">
        <v>166</v>
      </c>
    </row>
    <row r="339" spans="2:3">
      <c r="B339" s="11" t="s">
        <v>3</v>
      </c>
      <c r="C339" s="11" t="s">
        <v>4</v>
      </c>
    </row>
    <row r="340" spans="2:3">
      <c r="B340" s="11" t="s">
        <v>5</v>
      </c>
      <c r="C340" s="11" t="s">
        <v>6</v>
      </c>
    </row>
    <row r="341" spans="2:3">
      <c r="B341" s="11" t="s">
        <v>304</v>
      </c>
      <c r="C341" s="11" t="s">
        <v>8</v>
      </c>
    </row>
    <row r="342" spans="2:3">
      <c r="B342" s="11" t="s">
        <v>9</v>
      </c>
      <c r="C342" s="11" t="s">
        <v>10</v>
      </c>
    </row>
    <row r="343" spans="2:3">
      <c r="B343" s="11" t="s">
        <v>305</v>
      </c>
      <c r="C343" s="11" t="s">
        <v>13</v>
      </c>
    </row>
    <row r="344" spans="2:3">
      <c r="B344" s="11" t="s">
        <v>306</v>
      </c>
      <c r="C344" s="11" t="s">
        <v>15</v>
      </c>
    </row>
    <row r="345" spans="2:3">
      <c r="B345" s="11" t="s">
        <v>461</v>
      </c>
      <c r="C345" s="11" t="s">
        <v>462</v>
      </c>
    </row>
    <row r="346" spans="2:3">
      <c r="B346" s="11" t="s">
        <v>19</v>
      </c>
      <c r="C346" s="11" t="s">
        <v>20</v>
      </c>
    </row>
    <row r="347" spans="2:3">
      <c r="B347" s="11" t="s">
        <v>307</v>
      </c>
      <c r="C347" s="11" t="s">
        <v>22</v>
      </c>
    </row>
    <row r="348" spans="2:3">
      <c r="B348" s="11" t="s">
        <v>308</v>
      </c>
      <c r="C348" s="11" t="s">
        <v>24</v>
      </c>
    </row>
    <row r="349" spans="2:3">
      <c r="B349" s="11" t="s">
        <v>309</v>
      </c>
      <c r="C349" s="11" t="s">
        <v>26</v>
      </c>
    </row>
    <row r="350" spans="2:3">
      <c r="B350" s="11" t="s">
        <v>27</v>
      </c>
      <c r="C350" s="11" t="s">
        <v>28</v>
      </c>
    </row>
    <row r="351" spans="2:3">
      <c r="B351" s="11" t="s">
        <v>29</v>
      </c>
      <c r="C351" s="11" t="s">
        <v>30</v>
      </c>
    </row>
    <row r="352" spans="2:3">
      <c r="B352" s="11" t="s">
        <v>31</v>
      </c>
      <c r="C352" s="11" t="s">
        <v>174</v>
      </c>
    </row>
    <row r="353" spans="2:3">
      <c r="B353" s="11" t="s">
        <v>32</v>
      </c>
      <c r="C353" s="11" t="s">
        <v>33</v>
      </c>
    </row>
    <row r="354" spans="2:3">
      <c r="B354" s="11" t="s">
        <v>34</v>
      </c>
      <c r="C354" s="11" t="s">
        <v>35</v>
      </c>
    </row>
    <row r="355" spans="2:3">
      <c r="B355" s="11" t="s">
        <v>37</v>
      </c>
      <c r="C355" s="11" t="s">
        <v>38</v>
      </c>
    </row>
    <row r="356" spans="2:3">
      <c r="B356" s="11" t="s">
        <v>39</v>
      </c>
      <c r="C356" s="11" t="s">
        <v>167</v>
      </c>
    </row>
    <row r="357" spans="2:3">
      <c r="B357" s="11" t="s">
        <v>327</v>
      </c>
      <c r="C357" s="11" t="s">
        <v>41</v>
      </c>
    </row>
    <row r="358" spans="2:3">
      <c r="B358" s="11" t="s">
        <v>310</v>
      </c>
      <c r="C358" s="11" t="s">
        <v>43</v>
      </c>
    </row>
    <row r="359" spans="2:3">
      <c r="B359" s="11" t="s">
        <v>45</v>
      </c>
      <c r="C359" s="11" t="s">
        <v>46</v>
      </c>
    </row>
    <row r="360" spans="2:3">
      <c r="B360" s="11" t="s">
        <v>311</v>
      </c>
      <c r="C360" s="11" t="s">
        <v>48</v>
      </c>
    </row>
    <row r="361" spans="2:3">
      <c r="B361" s="11" t="s">
        <v>312</v>
      </c>
      <c r="C361" s="11" t="s">
        <v>168</v>
      </c>
    </row>
    <row r="362" spans="2:3">
      <c r="B362" s="11" t="s">
        <v>51</v>
      </c>
      <c r="C362" s="11" t="s">
        <v>52</v>
      </c>
    </row>
    <row r="363" spans="2:3">
      <c r="B363" s="11" t="s">
        <v>53</v>
      </c>
      <c r="C363" s="11" t="s">
        <v>54</v>
      </c>
    </row>
    <row r="364" spans="2:3">
      <c r="B364" s="11" t="s">
        <v>55</v>
      </c>
      <c r="C364" s="11" t="s">
        <v>56</v>
      </c>
    </row>
    <row r="365" spans="2:3">
      <c r="B365" s="11" t="s">
        <v>57</v>
      </c>
      <c r="C365" s="11" t="s">
        <v>58</v>
      </c>
    </row>
    <row r="366" spans="2:3">
      <c r="B366" s="11" t="s">
        <v>313</v>
      </c>
      <c r="C366" s="11" t="s">
        <v>60</v>
      </c>
    </row>
    <row r="367" spans="2:3">
      <c r="B367" s="11" t="s">
        <v>53</v>
      </c>
      <c r="C367" s="11" t="s">
        <v>54</v>
      </c>
    </row>
    <row r="368" spans="2:3">
      <c r="B368" s="7" t="s">
        <v>408</v>
      </c>
      <c r="C368" s="11" t="s">
        <v>465</v>
      </c>
    </row>
    <row r="369" spans="2:3">
      <c r="B369" s="11" t="s">
        <v>61</v>
      </c>
      <c r="C369" s="11" t="s">
        <v>339</v>
      </c>
    </row>
    <row r="370" spans="2:3">
      <c r="B370" s="11" t="s">
        <v>125</v>
      </c>
      <c r="C370" s="11" t="s">
        <v>169</v>
      </c>
    </row>
    <row r="371" spans="2:3">
      <c r="B371" s="11" t="s">
        <v>62</v>
      </c>
      <c r="C371" s="11" t="s">
        <v>340</v>
      </c>
    </row>
    <row r="372" spans="2:3">
      <c r="B372" s="11" t="s">
        <v>63</v>
      </c>
      <c r="C372" s="11" t="s">
        <v>64</v>
      </c>
    </row>
    <row r="373" spans="2:3">
      <c r="B373" s="11" t="s">
        <v>65</v>
      </c>
      <c r="C373" s="11" t="s">
        <v>66</v>
      </c>
    </row>
    <row r="374" spans="2:3">
      <c r="B374" s="11" t="s">
        <v>67</v>
      </c>
      <c r="C374" s="11" t="s">
        <v>68</v>
      </c>
    </row>
    <row r="375" spans="2:3">
      <c r="B375" s="11" t="s">
        <v>69</v>
      </c>
      <c r="C375" s="11" t="s">
        <v>70</v>
      </c>
    </row>
    <row r="376" spans="2:3">
      <c r="B376" s="11" t="s">
        <v>71</v>
      </c>
      <c r="C376" s="11" t="s">
        <v>72</v>
      </c>
    </row>
    <row r="377" spans="2:3">
      <c r="B377" s="11" t="s">
        <v>128</v>
      </c>
      <c r="C377" s="11" t="s">
        <v>178</v>
      </c>
    </row>
    <row r="378" spans="2:3">
      <c r="B378" s="11" t="s">
        <v>74</v>
      </c>
      <c r="C378" s="11" t="s">
        <v>75</v>
      </c>
    </row>
    <row r="379" spans="2:3">
      <c r="B379" s="11" t="s">
        <v>76</v>
      </c>
      <c r="C379" s="11" t="s">
        <v>77</v>
      </c>
    </row>
    <row r="380" spans="2:3">
      <c r="B380" s="11" t="s">
        <v>78</v>
      </c>
      <c r="C380" s="11" t="s">
        <v>150</v>
      </c>
    </row>
    <row r="381" spans="2:3">
      <c r="B381" s="11" t="s">
        <v>79</v>
      </c>
      <c r="C381" s="11" t="s">
        <v>80</v>
      </c>
    </row>
    <row r="382" spans="2:3">
      <c r="B382" s="11" t="s">
        <v>81</v>
      </c>
      <c r="C382" s="11" t="s">
        <v>82</v>
      </c>
    </row>
    <row r="383" spans="2:3">
      <c r="B383" s="11" t="s">
        <v>83</v>
      </c>
      <c r="C383" s="11" t="s">
        <v>84</v>
      </c>
    </row>
    <row r="384" spans="2:3">
      <c r="B384" s="11" t="s">
        <v>85</v>
      </c>
      <c r="C384" s="11" t="s">
        <v>341</v>
      </c>
    </row>
    <row r="385" spans="2:3">
      <c r="B385" s="11" t="s">
        <v>129</v>
      </c>
      <c r="C385" s="11" t="s">
        <v>179</v>
      </c>
    </row>
    <row r="386" spans="2:3">
      <c r="B386" s="11" t="s">
        <v>86</v>
      </c>
      <c r="C386" s="11" t="s">
        <v>87</v>
      </c>
    </row>
    <row r="387" spans="2:3">
      <c r="B387" s="11" t="s">
        <v>88</v>
      </c>
      <c r="C387" s="11" t="s">
        <v>89</v>
      </c>
    </row>
    <row r="388" spans="2:3">
      <c r="B388" s="11" t="s">
        <v>90</v>
      </c>
      <c r="C388" s="11" t="s">
        <v>91</v>
      </c>
    </row>
    <row r="389" spans="2:3">
      <c r="B389" s="11" t="s">
        <v>92</v>
      </c>
      <c r="C389" s="11" t="s">
        <v>93</v>
      </c>
    </row>
    <row r="390" spans="2:3">
      <c r="B390" s="11" t="s">
        <v>94</v>
      </c>
      <c r="C390" s="11" t="s">
        <v>95</v>
      </c>
    </row>
    <row r="391" spans="2:3">
      <c r="B391" s="11" t="s">
        <v>96</v>
      </c>
      <c r="C391" s="11" t="s">
        <v>97</v>
      </c>
    </row>
    <row r="392" spans="2:3">
      <c r="B392" s="11" t="s">
        <v>99</v>
      </c>
      <c r="C392" s="11" t="s">
        <v>100</v>
      </c>
    </row>
    <row r="393" spans="2:3">
      <c r="B393" s="11" t="s">
        <v>101</v>
      </c>
      <c r="C393" s="11" t="s">
        <v>102</v>
      </c>
    </row>
    <row r="394" spans="2:3">
      <c r="B394" s="11" t="s">
        <v>103</v>
      </c>
      <c r="C394" s="11" t="s">
        <v>104</v>
      </c>
    </row>
    <row r="395" spans="2:3">
      <c r="B395" s="11" t="s">
        <v>105</v>
      </c>
      <c r="C395" s="11" t="s">
        <v>106</v>
      </c>
    </row>
    <row r="396" spans="2:3">
      <c r="B396" s="11" t="s">
        <v>107</v>
      </c>
      <c r="C396" s="11" t="s">
        <v>172</v>
      </c>
    </row>
    <row r="397" spans="2:3">
      <c r="B397" s="11" t="s">
        <v>108</v>
      </c>
      <c r="C397" s="11" t="s">
        <v>173</v>
      </c>
    </row>
    <row r="398" spans="2:3">
      <c r="B398" s="11" t="s">
        <v>130</v>
      </c>
      <c r="C398" s="11" t="s">
        <v>372</v>
      </c>
    </row>
    <row r="399" spans="2:3">
      <c r="B399" s="11" t="s">
        <v>110</v>
      </c>
      <c r="C399" s="11" t="s">
        <v>111</v>
      </c>
    </row>
    <row r="400" spans="2:3">
      <c r="B400" s="11" t="s">
        <v>117</v>
      </c>
      <c r="C400" s="11" t="s">
        <v>118</v>
      </c>
    </row>
    <row r="401" spans="2:3">
      <c r="B401" s="11" t="s">
        <v>151</v>
      </c>
      <c r="C401" s="11" t="s">
        <v>176</v>
      </c>
    </row>
    <row r="402" spans="2:3">
      <c r="B402" s="11" t="s">
        <v>131</v>
      </c>
      <c r="C402" s="11" t="s">
        <v>119</v>
      </c>
    </row>
    <row r="403" spans="2:3">
      <c r="B403" s="11" t="s">
        <v>132</v>
      </c>
      <c r="C403" s="11" t="s">
        <v>177</v>
      </c>
    </row>
    <row r="404" spans="2:3">
      <c r="B404" s="11" t="s">
        <v>0</v>
      </c>
      <c r="C404" s="11" t="s">
        <v>133</v>
      </c>
    </row>
    <row r="405" spans="2:3">
      <c r="B405" s="11" t="s">
        <v>134</v>
      </c>
      <c r="C405" s="11" t="s">
        <v>135</v>
      </c>
    </row>
    <row r="406" spans="2:3">
      <c r="B406" s="11" t="s">
        <v>136</v>
      </c>
      <c r="C406" s="11" t="s">
        <v>137</v>
      </c>
    </row>
    <row r="407" spans="2:3">
      <c r="B407" s="11" t="s">
        <v>115</v>
      </c>
      <c r="C407" s="11" t="s">
        <v>138</v>
      </c>
    </row>
    <row r="408" spans="2:3">
      <c r="B408" s="11" t="s">
        <v>112</v>
      </c>
      <c r="C408" s="11" t="s">
        <v>139</v>
      </c>
    </row>
    <row r="409" spans="2:3">
      <c r="B409" s="11" t="s">
        <v>140</v>
      </c>
      <c r="C409" s="11" t="s">
        <v>141</v>
      </c>
    </row>
    <row r="410" spans="2:3">
      <c r="B410" s="11" t="s">
        <v>120</v>
      </c>
      <c r="C410" s="11" t="s">
        <v>142</v>
      </c>
    </row>
    <row r="411" spans="2:3">
      <c r="B411" s="11" t="s">
        <v>143</v>
      </c>
      <c r="C411" s="11" t="s">
        <v>144</v>
      </c>
    </row>
    <row r="412" spans="2:3">
      <c r="B412" s="11" t="s">
        <v>121</v>
      </c>
      <c r="C412" s="11" t="s">
        <v>145</v>
      </c>
    </row>
    <row r="413" spans="2:3">
      <c r="B413" s="11" t="s">
        <v>122</v>
      </c>
      <c r="C413" s="11" t="s">
        <v>146</v>
      </c>
    </row>
    <row r="414" spans="2:3">
      <c r="B414" s="11" t="s">
        <v>328</v>
      </c>
      <c r="C414" s="11" t="s">
        <v>147</v>
      </c>
    </row>
    <row r="415" spans="2:3">
      <c r="B415" s="11" t="s">
        <v>124</v>
      </c>
      <c r="C415" s="11" t="s">
        <v>148</v>
      </c>
    </row>
    <row r="416" spans="2:3">
      <c r="B416" s="11" t="s">
        <v>265</v>
      </c>
      <c r="C416" s="11" t="s">
        <v>266</v>
      </c>
    </row>
    <row r="419" spans="2:23">
      <c r="B419" s="349" t="s">
        <v>386</v>
      </c>
      <c r="C419" s="356"/>
      <c r="D419" s="356"/>
      <c r="E419" s="356"/>
      <c r="F419" s="356"/>
      <c r="G419" s="356"/>
      <c r="H419" s="356"/>
      <c r="I419" s="356"/>
      <c r="J419" s="356"/>
      <c r="K419" s="356"/>
      <c r="L419" s="356"/>
      <c r="M419" s="356"/>
      <c r="N419" s="356"/>
      <c r="O419" s="356"/>
      <c r="P419" s="356"/>
      <c r="Q419" s="356"/>
      <c r="R419" s="356"/>
      <c r="S419" s="356"/>
      <c r="T419" s="356"/>
    </row>
    <row r="421" spans="2:23">
      <c r="B421" s="11" t="s">
        <v>326</v>
      </c>
    </row>
    <row r="422" spans="2:23">
      <c r="B422" s="11" t="s">
        <v>333</v>
      </c>
      <c r="O422" s="1"/>
    </row>
    <row r="424" spans="2:23">
      <c r="B424" s="11" t="s">
        <v>388</v>
      </c>
    </row>
    <row r="425" spans="2:23">
      <c r="B425" s="11" t="s">
        <v>388</v>
      </c>
    </row>
    <row r="427" spans="2:23">
      <c r="B427" s="349" t="s">
        <v>329</v>
      </c>
      <c r="C427" s="349"/>
      <c r="D427" s="349"/>
      <c r="E427" s="349"/>
      <c r="F427" s="349"/>
      <c r="G427" s="349"/>
      <c r="H427" s="349"/>
      <c r="I427" s="349"/>
      <c r="J427" s="349"/>
      <c r="K427" s="349"/>
      <c r="L427" s="349"/>
      <c r="M427" s="349"/>
      <c r="N427" s="349"/>
      <c r="O427" s="349"/>
      <c r="P427" s="349"/>
      <c r="Q427" s="349"/>
      <c r="R427" s="349"/>
      <c r="S427" s="349"/>
      <c r="T427" s="349"/>
    </row>
    <row r="429" spans="2:23">
      <c r="B429" s="11" t="s">
        <v>334</v>
      </c>
      <c r="C429" s="11" t="s">
        <v>239</v>
      </c>
      <c r="D429" s="11" t="s">
        <v>387</v>
      </c>
      <c r="E429" s="27" t="s">
        <v>389</v>
      </c>
      <c r="F429" s="27" t="s">
        <v>390</v>
      </c>
    </row>
    <row r="430" spans="2:23">
      <c r="B430" s="11" t="s">
        <v>335</v>
      </c>
      <c r="C430" s="11" t="s">
        <v>338</v>
      </c>
      <c r="D430" s="11" t="s">
        <v>387</v>
      </c>
      <c r="E430" s="27" t="s">
        <v>389</v>
      </c>
      <c r="F430" s="27" t="s">
        <v>391</v>
      </c>
      <c r="W430" s="28"/>
    </row>
    <row r="432" spans="2:23">
      <c r="B432" s="349" t="s">
        <v>344</v>
      </c>
      <c r="C432" s="349"/>
      <c r="D432" s="349"/>
      <c r="E432" s="349"/>
      <c r="F432" s="349"/>
      <c r="G432" s="349"/>
      <c r="H432" s="349"/>
      <c r="I432" s="349"/>
      <c r="J432" s="349"/>
      <c r="K432" s="349"/>
      <c r="L432" s="349"/>
      <c r="M432" s="349"/>
      <c r="N432" s="349"/>
      <c r="O432" s="349"/>
      <c r="P432" s="349"/>
      <c r="Q432" s="349"/>
      <c r="R432" s="349"/>
      <c r="S432" s="349"/>
      <c r="T432" s="349"/>
    </row>
    <row r="435" spans="2:6">
      <c r="B435" s="11" t="s">
        <v>352</v>
      </c>
      <c r="C435" s="11" t="s">
        <v>353</v>
      </c>
    </row>
    <row r="437" spans="2:6">
      <c r="B437" s="11" t="s">
        <v>345</v>
      </c>
      <c r="C437" s="11" t="s">
        <v>344</v>
      </c>
    </row>
    <row r="438" spans="2:6">
      <c r="B438" s="11" t="s">
        <v>346</v>
      </c>
      <c r="C438" s="11" t="s">
        <v>354</v>
      </c>
    </row>
    <row r="439" spans="2:6">
      <c r="B439" s="11" t="s">
        <v>347</v>
      </c>
      <c r="C439" s="11" t="s">
        <v>355</v>
      </c>
    </row>
    <row r="441" spans="2:6">
      <c r="B441" s="11" t="s">
        <v>356</v>
      </c>
      <c r="C441" s="11" t="s">
        <v>348</v>
      </c>
      <c r="D441" s="11" t="s">
        <v>349</v>
      </c>
      <c r="E441" s="11" t="s">
        <v>350</v>
      </c>
      <c r="F441" s="11" t="s">
        <v>351</v>
      </c>
    </row>
    <row r="442" spans="2:6">
      <c r="B442" s="11" t="s">
        <v>357</v>
      </c>
      <c r="C442" s="11" t="s">
        <v>358</v>
      </c>
      <c r="D442" s="11" t="s">
        <v>359</v>
      </c>
      <c r="E442" s="11" t="s">
        <v>360</v>
      </c>
      <c r="F442" s="11" t="s">
        <v>361</v>
      </c>
    </row>
    <row r="443" spans="2:6">
      <c r="B443" s="11" t="s">
        <v>362</v>
      </c>
    </row>
    <row r="444" spans="2:6">
      <c r="B444" s="11" t="s">
        <v>363</v>
      </c>
    </row>
  </sheetData>
  <mergeCells count="21">
    <mergeCell ref="B40:C41"/>
    <mergeCell ref="B419:T419"/>
    <mergeCell ref="B432:T432"/>
    <mergeCell ref="B427:T427"/>
    <mergeCell ref="B331:T331"/>
    <mergeCell ref="B3:C3"/>
    <mergeCell ref="B253:T253"/>
    <mergeCell ref="B154:T154"/>
    <mergeCell ref="B62:T62"/>
    <mergeCell ref="B37:T37"/>
    <mergeCell ref="B42:B51"/>
    <mergeCell ref="B52:B59"/>
    <mergeCell ref="F40:H40"/>
    <mergeCell ref="J40:L40"/>
    <mergeCell ref="M40:P40"/>
    <mergeCell ref="D40:E41"/>
    <mergeCell ref="D42:D51"/>
    <mergeCell ref="D52:D59"/>
    <mergeCell ref="F42:H42"/>
    <mergeCell ref="J42:L42"/>
    <mergeCell ref="M42:P4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C4:P7"/>
  <sheetViews>
    <sheetView workbookViewId="0">
      <selection activeCell="P5" sqref="P5:P7"/>
    </sheetView>
  </sheetViews>
  <sheetFormatPr defaultRowHeight="12.75"/>
  <cols>
    <col min="3" max="3" width="28.28515625" bestFit="1" customWidth="1"/>
  </cols>
  <sheetData>
    <row r="4" spans="3:16">
      <c r="D4" s="179" t="s">
        <v>292</v>
      </c>
      <c r="E4" s="179" t="s">
        <v>293</v>
      </c>
      <c r="F4" s="179" t="s">
        <v>294</v>
      </c>
      <c r="G4" s="179" t="s">
        <v>295</v>
      </c>
      <c r="H4" s="179" t="s">
        <v>296</v>
      </c>
      <c r="I4" s="179" t="s">
        <v>297</v>
      </c>
      <c r="J4" s="179" t="s">
        <v>298</v>
      </c>
      <c r="K4" s="179" t="s">
        <v>299</v>
      </c>
      <c r="L4" s="179" t="s">
        <v>300</v>
      </c>
      <c r="M4" s="179" t="s">
        <v>301</v>
      </c>
      <c r="N4" s="179" t="s">
        <v>302</v>
      </c>
      <c r="O4" s="179" t="s">
        <v>303</v>
      </c>
    </row>
    <row r="5" spans="3:16">
      <c r="C5" s="179" t="s">
        <v>437</v>
      </c>
      <c r="D5" s="180">
        <v>62425293.156965584</v>
      </c>
      <c r="E5" s="180">
        <v>79762187.59852089</v>
      </c>
      <c r="F5" s="180">
        <v>89318688.151918903</v>
      </c>
      <c r="G5" s="180">
        <v>106294081.27535464</v>
      </c>
      <c r="H5" s="180">
        <v>97189661.825924918</v>
      </c>
      <c r="I5" s="180">
        <v>105191801.34506513</v>
      </c>
      <c r="J5" s="180">
        <v>123272889.17858437</v>
      </c>
      <c r="K5" s="180">
        <v>125579133.65326507</v>
      </c>
      <c r="L5" s="180">
        <v>121047897.33843082</v>
      </c>
      <c r="M5" s="180">
        <v>114789505.85515907</v>
      </c>
      <c r="N5" s="180">
        <v>97406301.479715049</v>
      </c>
      <c r="O5" s="180">
        <v>145778958.57826602</v>
      </c>
      <c r="P5" s="180">
        <f>+SUM(D5:O5)</f>
        <v>1268056399.4371705</v>
      </c>
    </row>
    <row r="6" spans="3:16">
      <c r="C6" s="179" t="s">
        <v>438</v>
      </c>
      <c r="D6" s="180">
        <v>70632268.589999989</v>
      </c>
      <c r="E6" s="180">
        <v>81381758.450000018</v>
      </c>
      <c r="F6" s="180">
        <v>100495765.61000001</v>
      </c>
      <c r="G6" s="180">
        <v>107356417.33534782</v>
      </c>
      <c r="H6" s="180">
        <v>98816734.644163221</v>
      </c>
      <c r="I6" s="180">
        <v>107147051.5707173</v>
      </c>
      <c r="J6" s="180">
        <v>125666748.8575906</v>
      </c>
      <c r="K6" s="180">
        <v>127890096.38694921</v>
      </c>
      <c r="L6" s="180">
        <v>123465322.33433203</v>
      </c>
      <c r="M6" s="180">
        <v>117130344.73943919</v>
      </c>
      <c r="N6" s="180">
        <v>99294843.070796907</v>
      </c>
      <c r="O6" s="180">
        <v>149056317.49743444</v>
      </c>
      <c r="P6" s="180">
        <f>+SUM(D6:O6)</f>
        <v>1308333669.0867708</v>
      </c>
    </row>
    <row r="7" spans="3:16">
      <c r="C7" s="179" t="s">
        <v>439</v>
      </c>
      <c r="D7" s="180">
        <v>54757461.979999989</v>
      </c>
      <c r="E7" s="180">
        <v>75673443.909999996</v>
      </c>
      <c r="F7" s="180">
        <v>88296245.580000013</v>
      </c>
      <c r="G7" s="180">
        <v>103948239.19999999</v>
      </c>
      <c r="H7" s="180">
        <v>93997829.679999992</v>
      </c>
      <c r="I7" s="180">
        <v>99561632.659999996</v>
      </c>
      <c r="J7" s="180">
        <v>122021331.04999998</v>
      </c>
      <c r="K7" s="180">
        <v>125053427.64999999</v>
      </c>
      <c r="L7" s="180">
        <v>116342017.78000002</v>
      </c>
      <c r="M7" s="180">
        <v>117283627.60000001</v>
      </c>
      <c r="N7" s="180">
        <v>95781753.159999996</v>
      </c>
      <c r="O7" s="180">
        <v>142429369.22999999</v>
      </c>
      <c r="P7" s="180">
        <f>+SUM(D7:O7)</f>
        <v>1235146379.48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M80"/>
  <sheetViews>
    <sheetView workbookViewId="0">
      <selection activeCell="G63" sqref="G63"/>
    </sheetView>
  </sheetViews>
  <sheetFormatPr defaultRowHeight="12.75"/>
  <cols>
    <col min="2" max="2" width="43.28515625" customWidth="1"/>
    <col min="3" max="3" width="7.42578125" bestFit="1" customWidth="1"/>
    <col min="4" max="4" width="7.85546875" bestFit="1" customWidth="1"/>
    <col min="5" max="5" width="7.7109375" style="80" customWidth="1"/>
    <col min="6" max="6" width="6" style="80" customWidth="1"/>
    <col min="7" max="7" width="7.7109375" style="80" customWidth="1"/>
    <col min="8" max="8" width="7" style="80" bestFit="1" customWidth="1"/>
    <col min="12" max="12" width="11.5703125" bestFit="1" customWidth="1"/>
  </cols>
  <sheetData>
    <row r="1" spans="2:13">
      <c r="E1" s="82"/>
      <c r="F1" s="82"/>
      <c r="G1" s="82"/>
      <c r="H1" s="82"/>
    </row>
    <row r="2" spans="2:13" ht="13.5" thickBot="1">
      <c r="E2" s="82"/>
      <c r="F2" s="82"/>
      <c r="G2" s="82"/>
      <c r="H2" s="82"/>
    </row>
    <row r="3" spans="2:13" ht="14.25" thickTop="1" thickBot="1">
      <c r="C3" s="320">
        <v>3335894492.1291356</v>
      </c>
      <c r="D3" s="320"/>
      <c r="E3" s="313">
        <v>3516156889.9792166</v>
      </c>
      <c r="F3" s="314"/>
      <c r="G3" s="314"/>
      <c r="H3" s="315"/>
    </row>
    <row r="4" spans="2:13" ht="13.5" thickTop="1">
      <c r="E4" s="83"/>
      <c r="F4" s="83"/>
      <c r="G4" s="82"/>
      <c r="H4" s="82"/>
    </row>
    <row r="5" spans="2:13" ht="13.5" thickBot="1">
      <c r="E5" s="162"/>
      <c r="F5" s="162"/>
      <c r="G5" s="162"/>
      <c r="H5" s="162"/>
    </row>
    <row r="6" spans="2:13" ht="13.5" thickTop="1">
      <c r="B6" t="s">
        <v>126</v>
      </c>
      <c r="C6" s="311">
        <v>2013</v>
      </c>
      <c r="D6" s="312"/>
      <c r="E6" s="311" t="s">
        <v>392</v>
      </c>
      <c r="F6" s="312"/>
      <c r="G6" s="311" t="s">
        <v>426</v>
      </c>
      <c r="H6" s="312"/>
      <c r="I6" s="311" t="s">
        <v>440</v>
      </c>
      <c r="J6" s="312"/>
    </row>
    <row r="7" spans="2:13" ht="13.5" thickBot="1">
      <c r="C7" s="88" t="str">
        <f>+E7</f>
        <v>mil. €</v>
      </c>
      <c r="D7" s="89" t="str">
        <f>+F7</f>
        <v>% BDP</v>
      </c>
      <c r="E7" s="88" t="s">
        <v>262</v>
      </c>
      <c r="F7" s="89" t="s">
        <v>149</v>
      </c>
      <c r="G7" s="88" t="s">
        <v>262</v>
      </c>
      <c r="H7" s="89" t="s">
        <v>149</v>
      </c>
      <c r="I7" s="182" t="s">
        <v>262</v>
      </c>
      <c r="J7" s="182" t="s">
        <v>441</v>
      </c>
    </row>
    <row r="8" spans="2:13" ht="14.25" thickTop="1" thickBot="1">
      <c r="B8" s="90" t="s">
        <v>127</v>
      </c>
      <c r="C8" s="163">
        <f>C9+C17+C22+C27+C34+C39</f>
        <v>1235146379.48</v>
      </c>
      <c r="D8" s="92">
        <f>C8/C$3*100</f>
        <v>37.025942588839719</v>
      </c>
      <c r="E8" s="163">
        <f>+E9+E17+E22+E27+E34+E39+E40</f>
        <v>1276056399.4371703</v>
      </c>
      <c r="F8" s="92">
        <f>E8/E$3*100</f>
        <v>36.291224748071834</v>
      </c>
      <c r="G8" s="160">
        <f>+G9+G17+G22+G27+G34+G39+G40</f>
        <v>1316333669.0867703</v>
      </c>
      <c r="H8" s="92">
        <f>G8/E$3*100</f>
        <v>37.436716002014087</v>
      </c>
      <c r="I8" s="160">
        <f>+G8-E8</f>
        <v>40277269.649600029</v>
      </c>
      <c r="J8" s="92">
        <f>+G8/E8*100-100</f>
        <v>3.1563863217460693</v>
      </c>
    </row>
    <row r="9" spans="2:13" ht="13.5" thickTop="1">
      <c r="B9" s="93" t="s">
        <v>2</v>
      </c>
      <c r="C9" s="152">
        <f>SUM(C10:C16)</f>
        <v>755696459.51000011</v>
      </c>
      <c r="D9" s="95">
        <f t="shared" ref="D9:D72" si="0">C9/C$3*100</f>
        <v>22.653488031261944</v>
      </c>
      <c r="E9" s="152">
        <f>+SUM(E10:E16)</f>
        <v>797828901.35953081</v>
      </c>
      <c r="F9" s="96">
        <f t="shared" ref="F9:F73" si="1">E9/E$3*100</f>
        <v>22.690366963808792</v>
      </c>
      <c r="G9" s="152">
        <f>+SUM(G10:G16)</f>
        <v>819077478.06873</v>
      </c>
      <c r="H9" s="96">
        <f t="shared" ref="H9:H72" si="2">G9/E$3*100</f>
        <v>23.294679495190881</v>
      </c>
      <c r="I9" s="152">
        <f t="shared" ref="I9:I41" si="3">+G9-E9</f>
        <v>21248576.70919919</v>
      </c>
      <c r="J9" s="96">
        <f t="shared" ref="J9:J73" si="4">+G9/E9*100-100</f>
        <v>2.6632999472682428</v>
      </c>
    </row>
    <row r="10" spans="2:13">
      <c r="B10" s="97" t="s">
        <v>3</v>
      </c>
      <c r="C10" s="153">
        <v>95618433.909999996</v>
      </c>
      <c r="D10" s="98">
        <f t="shared" si="0"/>
        <v>2.8663506635358695</v>
      </c>
      <c r="E10" s="153">
        <v>96011654.614494905</v>
      </c>
      <c r="F10" s="98">
        <f t="shared" si="1"/>
        <v>2.7305850568875618</v>
      </c>
      <c r="G10" s="154">
        <v>96781150.729929999</v>
      </c>
      <c r="H10" s="98">
        <f t="shared" si="2"/>
        <v>2.7524696354064582</v>
      </c>
      <c r="I10" s="154">
        <f t="shared" si="3"/>
        <v>769496.11543509364</v>
      </c>
      <c r="J10" s="98">
        <f t="shared" si="4"/>
        <v>0.80146115440335564</v>
      </c>
    </row>
    <row r="11" spans="2:13">
      <c r="B11" s="97" t="s">
        <v>5</v>
      </c>
      <c r="C11" s="154">
        <v>40638726.390000008</v>
      </c>
      <c r="D11" s="98">
        <f t="shared" si="0"/>
        <v>1.2182257708055488</v>
      </c>
      <c r="E11" s="154">
        <v>44395641.531501003</v>
      </c>
      <c r="F11" s="98">
        <f t="shared" si="1"/>
        <v>1.2626183336137604</v>
      </c>
      <c r="G11" s="154">
        <v>50018934.706970006</v>
      </c>
      <c r="H11" s="98">
        <f t="shared" si="2"/>
        <v>1.4225455880401758</v>
      </c>
      <c r="I11" s="154">
        <f t="shared" si="3"/>
        <v>5623293.1754690036</v>
      </c>
      <c r="J11" s="98">
        <f t="shared" si="4"/>
        <v>12.666318092236565</v>
      </c>
    </row>
    <row r="12" spans="2:13">
      <c r="B12" s="97" t="s">
        <v>7</v>
      </c>
      <c r="C12" s="154">
        <v>1440565.3199999998</v>
      </c>
      <c r="D12" s="98">
        <f t="shared" si="0"/>
        <v>4.318377944503151E-2</v>
      </c>
      <c r="E12" s="154">
        <v>1544536.6728920399</v>
      </c>
      <c r="F12" s="98">
        <f t="shared" si="1"/>
        <v>4.3926841754241781E-2</v>
      </c>
      <c r="G12" s="154">
        <v>1489198.0023599996</v>
      </c>
      <c r="H12" s="98">
        <f t="shared" si="2"/>
        <v>4.2353002125818169E-2</v>
      </c>
      <c r="I12" s="154">
        <f t="shared" si="3"/>
        <v>-55338.670532040298</v>
      </c>
      <c r="J12" s="98">
        <f t="shared" si="4"/>
        <v>-3.5828654316392772</v>
      </c>
    </row>
    <row r="13" spans="2:13">
      <c r="B13" s="97" t="s">
        <v>9</v>
      </c>
      <c r="C13" s="153">
        <v>429195069.32999998</v>
      </c>
      <c r="D13" s="98">
        <f t="shared" si="0"/>
        <v>12.865966544885122</v>
      </c>
      <c r="E13" s="153">
        <v>455945630.52919102</v>
      </c>
      <c r="F13" s="98">
        <f t="shared" si="1"/>
        <v>12.967158315051353</v>
      </c>
      <c r="G13" s="154">
        <v>473642045.78458995</v>
      </c>
      <c r="H13" s="98">
        <f t="shared" si="2"/>
        <v>13.470446871538474</v>
      </c>
      <c r="I13" s="154">
        <f t="shared" si="3"/>
        <v>17696415.255398929</v>
      </c>
      <c r="J13" s="98">
        <f t="shared" si="4"/>
        <v>3.8812555862986784</v>
      </c>
      <c r="L13" s="154">
        <f>+G13-C13</f>
        <v>44446976.454589963</v>
      </c>
      <c r="M13">
        <f>+G13/C13*100-100</f>
        <v>10.355891675077828</v>
      </c>
    </row>
    <row r="14" spans="2:13">
      <c r="B14" s="97" t="s">
        <v>12</v>
      </c>
      <c r="C14" s="154">
        <v>161445470.17000002</v>
      </c>
      <c r="D14" s="98">
        <f t="shared" si="0"/>
        <v>4.8396455748502225</v>
      </c>
      <c r="E14" s="154">
        <v>171111988.52539012</v>
      </c>
      <c r="F14" s="98">
        <f t="shared" si="1"/>
        <v>4.8664491909631922</v>
      </c>
      <c r="G14" s="154">
        <v>169158715.98390999</v>
      </c>
      <c r="H14" s="98">
        <f t="shared" si="2"/>
        <v>4.8108978432105705</v>
      </c>
      <c r="I14" s="154">
        <f t="shared" si="3"/>
        <v>-1953272.541480124</v>
      </c>
      <c r="J14" s="98">
        <f t="shared" si="4"/>
        <v>-1.1415170604427232</v>
      </c>
    </row>
    <row r="15" spans="2:13">
      <c r="B15" s="97" t="s">
        <v>14</v>
      </c>
      <c r="C15" s="154">
        <v>22269382.640000001</v>
      </c>
      <c r="D15" s="98">
        <f t="shared" si="0"/>
        <v>0.66756855447746977</v>
      </c>
      <c r="E15" s="154">
        <v>23735353.696558259</v>
      </c>
      <c r="F15" s="98">
        <f t="shared" si="1"/>
        <v>0.67503682114419394</v>
      </c>
      <c r="G15" s="154">
        <v>22781578.440719999</v>
      </c>
      <c r="H15" s="98">
        <f t="shared" si="2"/>
        <v>0.64791131776985811</v>
      </c>
      <c r="I15" s="154">
        <f t="shared" si="3"/>
        <v>-953775.25583826005</v>
      </c>
      <c r="J15" s="98">
        <f t="shared" si="4"/>
        <v>-4.0183738908283573</v>
      </c>
    </row>
    <row r="16" spans="2:13">
      <c r="B16" s="97" t="s">
        <v>17</v>
      </c>
      <c r="C16" s="154">
        <v>5088811.75</v>
      </c>
      <c r="D16" s="98">
        <f t="shared" si="0"/>
        <v>0.15254714326267749</v>
      </c>
      <c r="E16" s="154">
        <v>5084095.7895035082</v>
      </c>
      <c r="F16" s="98">
        <f t="shared" si="1"/>
        <v>0.14459240439449103</v>
      </c>
      <c r="G16" s="154">
        <v>5205854.4202499995</v>
      </c>
      <c r="H16" s="98">
        <f t="shared" si="2"/>
        <v>0.14805523709952459</v>
      </c>
      <c r="I16" s="154">
        <f t="shared" si="3"/>
        <v>121758.63074649125</v>
      </c>
      <c r="J16" s="98">
        <f t="shared" si="4"/>
        <v>2.394892539158505</v>
      </c>
      <c r="L16">
        <f>+G13/G8*100</f>
        <v>35.981913773670129</v>
      </c>
    </row>
    <row r="17" spans="2:12">
      <c r="B17" s="93" t="s">
        <v>19</v>
      </c>
      <c r="C17" s="164">
        <f>SUM(C18:C21)</f>
        <v>398494284.19</v>
      </c>
      <c r="D17" s="96">
        <f t="shared" si="0"/>
        <v>11.94565011364196</v>
      </c>
      <c r="E17" s="152">
        <f>+SUM(E18:E21)</f>
        <v>397823173.70918262</v>
      </c>
      <c r="F17" s="96">
        <f t="shared" si="1"/>
        <v>11.314147410286179</v>
      </c>
      <c r="G17" s="152">
        <f>+SUM(G18:G21)</f>
        <v>417559652.73636997</v>
      </c>
      <c r="H17" s="96">
        <f t="shared" si="2"/>
        <v>11.87545566940951</v>
      </c>
      <c r="I17" s="152">
        <f t="shared" si="3"/>
        <v>19736479.027187347</v>
      </c>
      <c r="J17" s="96">
        <f t="shared" si="4"/>
        <v>4.9611184896974265</v>
      </c>
    </row>
    <row r="18" spans="2:12">
      <c r="B18" s="97" t="s">
        <v>21</v>
      </c>
      <c r="C18" s="154">
        <v>241949355.72999999</v>
      </c>
      <c r="D18" s="98">
        <f t="shared" si="0"/>
        <v>7.2529079172277937</v>
      </c>
      <c r="E18" s="154">
        <v>234882396.70208701</v>
      </c>
      <c r="F18" s="98">
        <f t="shared" si="1"/>
        <v>6.6800886323213922</v>
      </c>
      <c r="G18" s="154">
        <v>254875867.28178996</v>
      </c>
      <c r="H18" s="98">
        <f t="shared" si="2"/>
        <v>7.2487057676000486</v>
      </c>
      <c r="I18" s="154">
        <f t="shared" si="3"/>
        <v>19993470.579702944</v>
      </c>
      <c r="J18" s="98">
        <f t="shared" si="4"/>
        <v>8.5121196225963445</v>
      </c>
      <c r="L18" s="154">
        <f>+G18-C18</f>
        <v>12926511.551789969</v>
      </c>
    </row>
    <row r="19" spans="2:12">
      <c r="B19" s="97" t="s">
        <v>23</v>
      </c>
      <c r="C19" s="154">
        <v>134703897.09</v>
      </c>
      <c r="D19" s="98">
        <f t="shared" si="0"/>
        <v>4.038014313936686</v>
      </c>
      <c r="E19" s="154">
        <v>138667298.82084399</v>
      </c>
      <c r="F19" s="98">
        <f t="shared" si="1"/>
        <v>3.9437176201106214</v>
      </c>
      <c r="G19" s="154">
        <v>139196347.37307</v>
      </c>
      <c r="H19" s="98">
        <f t="shared" si="2"/>
        <v>3.9587638358734543</v>
      </c>
      <c r="I19" s="154">
        <f t="shared" si="3"/>
        <v>529048.55222600698</v>
      </c>
      <c r="J19" s="98">
        <f t="shared" si="4"/>
        <v>0.3815236589482538</v>
      </c>
    </row>
    <row r="20" spans="2:12">
      <c r="B20" s="97" t="s">
        <v>25</v>
      </c>
      <c r="C20" s="154">
        <v>10770190.189999999</v>
      </c>
      <c r="D20" s="98">
        <f t="shared" si="0"/>
        <v>0.32285763879558199</v>
      </c>
      <c r="E20" s="154">
        <v>11617385.520490499</v>
      </c>
      <c r="F20" s="98">
        <f t="shared" si="1"/>
        <v>0.33040008975706336</v>
      </c>
      <c r="G20" s="154">
        <v>11434714.104369998</v>
      </c>
      <c r="H20" s="98">
        <f t="shared" si="2"/>
        <v>0.3252048888079504</v>
      </c>
      <c r="I20" s="154">
        <f t="shared" si="3"/>
        <v>-182671.41612050124</v>
      </c>
      <c r="J20" s="98">
        <f t="shared" si="4"/>
        <v>-1.5723969545325787</v>
      </c>
    </row>
    <row r="21" spans="2:12">
      <c r="B21" s="97" t="s">
        <v>27</v>
      </c>
      <c r="C21" s="154">
        <v>11070841.180000002</v>
      </c>
      <c r="D21" s="98">
        <f t="shared" si="0"/>
        <v>0.33187024368189877</v>
      </c>
      <c r="E21" s="153">
        <v>12656092.6657611</v>
      </c>
      <c r="F21" s="98">
        <f t="shared" si="1"/>
        <v>0.3599410680971038</v>
      </c>
      <c r="G21" s="154">
        <v>12052723.97714</v>
      </c>
      <c r="H21" s="98">
        <f t="shared" si="2"/>
        <v>0.34278117712805589</v>
      </c>
      <c r="I21" s="154">
        <f t="shared" si="3"/>
        <v>-603368.68862110004</v>
      </c>
      <c r="J21" s="98">
        <f t="shared" si="4"/>
        <v>-4.7674168051361647</v>
      </c>
    </row>
    <row r="22" spans="2:12">
      <c r="B22" s="93" t="s">
        <v>29</v>
      </c>
      <c r="C22" s="152">
        <f>SUM(C23:C26)</f>
        <v>27069458</v>
      </c>
      <c r="D22" s="96">
        <f t="shared" si="0"/>
        <v>0.81146025642804165</v>
      </c>
      <c r="E22" s="152">
        <f>+SUM(E23:E26)</f>
        <v>20923047.198280636</v>
      </c>
      <c r="F22" s="96">
        <f t="shared" si="1"/>
        <v>0.59505442598166625</v>
      </c>
      <c r="G22" s="152">
        <f>+SUM(G23:G26)</f>
        <v>19923047.198280636</v>
      </c>
      <c r="H22" s="96">
        <f t="shared" si="2"/>
        <v>0.56661428433582772</v>
      </c>
      <c r="I22" s="152">
        <f t="shared" si="3"/>
        <v>-1000000</v>
      </c>
      <c r="J22" s="96">
        <f t="shared" si="4"/>
        <v>-4.7794185546843977</v>
      </c>
    </row>
    <row r="23" spans="2:12">
      <c r="B23" s="97" t="s">
        <v>31</v>
      </c>
      <c r="C23" s="154">
        <v>7881462.9399999995</v>
      </c>
      <c r="D23" s="98">
        <f t="shared" si="0"/>
        <v>0.23626235657620134</v>
      </c>
      <c r="E23" s="154">
        <v>8144616.5029747505</v>
      </c>
      <c r="F23" s="98">
        <f t="shared" si="1"/>
        <v>0.23163404699563594</v>
      </c>
      <c r="G23" s="154">
        <v>8144616.5029747505</v>
      </c>
      <c r="H23" s="98">
        <f t="shared" si="2"/>
        <v>0.23163404699563594</v>
      </c>
      <c r="I23" s="154">
        <f t="shared" si="3"/>
        <v>0</v>
      </c>
      <c r="J23" s="98">
        <f t="shared" si="4"/>
        <v>0</v>
      </c>
    </row>
    <row r="24" spans="2:12">
      <c r="B24" s="97" t="s">
        <v>32</v>
      </c>
      <c r="C24" s="154">
        <v>4557791.26</v>
      </c>
      <c r="D24" s="98">
        <f t="shared" si="0"/>
        <v>0.13662875941531916</v>
      </c>
      <c r="E24" s="154">
        <v>3676083.5729169641</v>
      </c>
      <c r="F24" s="98">
        <f t="shared" si="1"/>
        <v>0.10454833751569864</v>
      </c>
      <c r="G24" s="154">
        <v>5176083.5729169641</v>
      </c>
      <c r="H24" s="98">
        <f t="shared" si="2"/>
        <v>0.14720854998445643</v>
      </c>
      <c r="I24" s="154">
        <f t="shared" si="3"/>
        <v>1500000</v>
      </c>
      <c r="J24" s="98">
        <f t="shared" si="4"/>
        <v>40.804295393364868</v>
      </c>
    </row>
    <row r="25" spans="2:12">
      <c r="B25" s="97" t="s">
        <v>34</v>
      </c>
      <c r="C25" s="154">
        <v>767936.98999999987</v>
      </c>
      <c r="D25" s="98">
        <f t="shared" si="0"/>
        <v>2.3020422013103413E-2</v>
      </c>
      <c r="E25" s="154">
        <v>762511.44191594806</v>
      </c>
      <c r="F25" s="98">
        <f t="shared" si="1"/>
        <v>2.1685933414662142E-2</v>
      </c>
      <c r="G25" s="154">
        <v>762511.44191594806</v>
      </c>
      <c r="H25" s="98">
        <f t="shared" si="2"/>
        <v>2.1685933414662142E-2</v>
      </c>
      <c r="I25" s="154">
        <f t="shared" si="3"/>
        <v>0</v>
      </c>
      <c r="J25" s="98">
        <f t="shared" si="4"/>
        <v>0</v>
      </c>
    </row>
    <row r="26" spans="2:12">
      <c r="B26" s="97" t="s">
        <v>37</v>
      </c>
      <c r="C26" s="153">
        <v>13862266.809999999</v>
      </c>
      <c r="D26" s="98">
        <f t="shared" si="0"/>
        <v>0.41554871842341756</v>
      </c>
      <c r="E26" s="153">
        <v>8339835.6804729737</v>
      </c>
      <c r="F26" s="98">
        <f t="shared" si="1"/>
        <v>0.23718610805566953</v>
      </c>
      <c r="G26" s="153">
        <v>5839835.6804729737</v>
      </c>
      <c r="H26" s="98">
        <f t="shared" si="2"/>
        <v>0.16608575394107319</v>
      </c>
      <c r="I26" s="153">
        <f t="shared" si="3"/>
        <v>-2500000</v>
      </c>
      <c r="J26" s="98">
        <f t="shared" si="4"/>
        <v>-29.976609801240343</v>
      </c>
    </row>
    <row r="27" spans="2:12">
      <c r="B27" s="93" t="s">
        <v>39</v>
      </c>
      <c r="C27" s="152">
        <f>SUM(C28:C33)</f>
        <v>13233490.18</v>
      </c>
      <c r="D27" s="96">
        <f t="shared" si="0"/>
        <v>0.39669990196703492</v>
      </c>
      <c r="E27" s="152">
        <f>+SUM(E28:E33)</f>
        <v>13024243.76827177</v>
      </c>
      <c r="F27" s="96">
        <f t="shared" si="1"/>
        <v>0.37041133759957889</v>
      </c>
      <c r="G27" s="152">
        <f>+SUM(G28:G33)</f>
        <v>12724243.76827177</v>
      </c>
      <c r="H27" s="96">
        <f t="shared" si="2"/>
        <v>0.36187929510582734</v>
      </c>
      <c r="I27" s="152">
        <f t="shared" si="3"/>
        <v>-300000</v>
      </c>
      <c r="J27" s="96">
        <f t="shared" si="4"/>
        <v>-2.3033966911063715</v>
      </c>
    </row>
    <row r="28" spans="2:12">
      <c r="B28" s="97" t="s">
        <v>40</v>
      </c>
      <c r="C28" s="154">
        <v>647266.8600000001</v>
      </c>
      <c r="D28" s="98">
        <f t="shared" si="0"/>
        <v>1.9403097475870164E-2</v>
      </c>
      <c r="E28" s="154">
        <v>698651.48499726248</v>
      </c>
      <c r="F28" s="98">
        <f t="shared" si="1"/>
        <v>1.9869747194397578E-2</v>
      </c>
      <c r="G28" s="154">
        <v>698651.48499726248</v>
      </c>
      <c r="H28" s="98">
        <f t="shared" si="2"/>
        <v>1.9869747194397578E-2</v>
      </c>
      <c r="I28" s="154">
        <f t="shared" si="3"/>
        <v>0</v>
      </c>
      <c r="J28" s="98">
        <f t="shared" si="4"/>
        <v>0</v>
      </c>
    </row>
    <row r="29" spans="2:12">
      <c r="B29" s="97" t="s">
        <v>42</v>
      </c>
      <c r="C29" s="154">
        <v>1995183.6300000001</v>
      </c>
      <c r="D29" s="98">
        <f t="shared" si="0"/>
        <v>5.9809554370125591E-2</v>
      </c>
      <c r="E29" s="154">
        <v>1997965.7673730874</v>
      </c>
      <c r="F29" s="98">
        <f t="shared" si="1"/>
        <v>5.6822429427627073E-2</v>
      </c>
      <c r="G29" s="154">
        <v>1997965.7673730874</v>
      </c>
      <c r="H29" s="98">
        <f t="shared" si="2"/>
        <v>5.6822429427627073E-2</v>
      </c>
      <c r="I29" s="154">
        <f t="shared" si="3"/>
        <v>0</v>
      </c>
      <c r="J29" s="98">
        <f t="shared" si="4"/>
        <v>0</v>
      </c>
    </row>
    <row r="30" spans="2:12">
      <c r="B30" s="97" t="s">
        <v>45</v>
      </c>
      <c r="C30" s="154">
        <v>309851.25</v>
      </c>
      <c r="D30" s="98">
        <f t="shared" si="0"/>
        <v>9.2884007791936302E-3</v>
      </c>
      <c r="E30" s="154">
        <v>424373.88097611902</v>
      </c>
      <c r="F30" s="98">
        <f t="shared" si="1"/>
        <v>1.2069253285755047E-2</v>
      </c>
      <c r="G30" s="154">
        <v>424373.88097611902</v>
      </c>
      <c r="H30" s="98">
        <f t="shared" si="2"/>
        <v>1.2069253285755047E-2</v>
      </c>
      <c r="I30" s="154">
        <f t="shared" si="3"/>
        <v>0</v>
      </c>
      <c r="J30" s="98">
        <f t="shared" si="4"/>
        <v>0</v>
      </c>
    </row>
    <row r="31" spans="2:12">
      <c r="B31" s="97" t="s">
        <v>47</v>
      </c>
      <c r="C31" s="154">
        <v>3324177.16</v>
      </c>
      <c r="D31" s="98">
        <f t="shared" si="0"/>
        <v>9.9648749918296836E-2</v>
      </c>
      <c r="E31" s="154">
        <v>3266343.0516235088</v>
      </c>
      <c r="F31" s="98">
        <f t="shared" si="1"/>
        <v>9.2895259052073062E-2</v>
      </c>
      <c r="G31" s="154">
        <v>3666343.0516235088</v>
      </c>
      <c r="H31" s="98">
        <f t="shared" si="2"/>
        <v>0.10427131571040847</v>
      </c>
      <c r="I31" s="154">
        <f t="shared" si="3"/>
        <v>400000</v>
      </c>
      <c r="J31" s="98">
        <f t="shared" si="4"/>
        <v>12.246111130341419</v>
      </c>
    </row>
    <row r="32" spans="2:12">
      <c r="B32" s="97" t="s">
        <v>50</v>
      </c>
      <c r="C32" s="154">
        <v>3659024.1899999995</v>
      </c>
      <c r="D32" s="98">
        <f t="shared" si="0"/>
        <v>0.10968644837638813</v>
      </c>
      <c r="E32" s="154">
        <v>3355752.0175728933</v>
      </c>
      <c r="F32" s="98">
        <f t="shared" si="1"/>
        <v>9.5438062708081514E-2</v>
      </c>
      <c r="G32" s="154">
        <v>3355752.0175728933</v>
      </c>
      <c r="H32" s="98">
        <f t="shared" si="2"/>
        <v>9.5438062708081514E-2</v>
      </c>
      <c r="I32" s="154">
        <f t="shared" si="3"/>
        <v>0</v>
      </c>
      <c r="J32" s="98">
        <f t="shared" si="4"/>
        <v>0</v>
      </c>
    </row>
    <row r="33" spans="2:10">
      <c r="B33" s="97" t="s">
        <v>51</v>
      </c>
      <c r="C33" s="154">
        <v>3297987.09</v>
      </c>
      <c r="D33" s="98">
        <f t="shared" si="0"/>
        <v>9.8863651047160633E-2</v>
      </c>
      <c r="E33" s="154">
        <v>3281157.5657288986</v>
      </c>
      <c r="F33" s="98">
        <f t="shared" si="1"/>
        <v>9.331658593164463E-2</v>
      </c>
      <c r="G33" s="154">
        <v>2581157.5657288986</v>
      </c>
      <c r="H33" s="98">
        <f t="shared" si="2"/>
        <v>7.340848677955765E-2</v>
      </c>
      <c r="I33" s="154">
        <f t="shared" si="3"/>
        <v>-700000</v>
      </c>
      <c r="J33" s="98">
        <f t="shared" si="4"/>
        <v>-21.333934319746618</v>
      </c>
    </row>
    <row r="34" spans="2:10">
      <c r="B34" s="93" t="s">
        <v>53</v>
      </c>
      <c r="C34" s="152">
        <f>SUM(C35:C38)</f>
        <v>33088194.540000003</v>
      </c>
      <c r="D34" s="96">
        <f t="shared" si="0"/>
        <v>0.99188372468223518</v>
      </c>
      <c r="E34" s="152">
        <f>+SUM(E35:E38)</f>
        <v>31410770.914738216</v>
      </c>
      <c r="F34" s="96">
        <f t="shared" si="1"/>
        <v>0.89332677402013982</v>
      </c>
      <c r="G34" s="152">
        <f>+SUM(G35:G38)</f>
        <v>31310770.914738216</v>
      </c>
      <c r="H34" s="96">
        <f t="shared" si="2"/>
        <v>0.89048275985555603</v>
      </c>
      <c r="I34" s="152">
        <f t="shared" si="3"/>
        <v>-100000</v>
      </c>
      <c r="J34" s="96">
        <f t="shared" si="4"/>
        <v>-0.318362132121635</v>
      </c>
    </row>
    <row r="35" spans="2:10">
      <c r="B35" s="97" t="s">
        <v>55</v>
      </c>
      <c r="C35" s="154">
        <v>6034873.3200000003</v>
      </c>
      <c r="D35" s="98">
        <f t="shared" si="0"/>
        <v>0.18090719998006413</v>
      </c>
      <c r="E35" s="154">
        <v>5533606.7424404304</v>
      </c>
      <c r="F35" s="98">
        <f t="shared" si="1"/>
        <v>0.15737655956737298</v>
      </c>
      <c r="G35" s="154">
        <v>6533606.7424404304</v>
      </c>
      <c r="H35" s="98">
        <f t="shared" si="2"/>
        <v>0.1858167012132115</v>
      </c>
      <c r="I35" s="154">
        <f t="shared" si="3"/>
        <v>1000000</v>
      </c>
      <c r="J35" s="98">
        <f t="shared" si="4"/>
        <v>18.071396225727824</v>
      </c>
    </row>
    <row r="36" spans="2:10">
      <c r="B36" s="97" t="s">
        <v>57</v>
      </c>
      <c r="C36" s="154">
        <v>12316700.43</v>
      </c>
      <c r="D36" s="98">
        <f t="shared" si="0"/>
        <v>0.36921732563966259</v>
      </c>
      <c r="E36" s="154">
        <v>11824073.889814863</v>
      </c>
      <c r="F36" s="98">
        <f t="shared" si="1"/>
        <v>0.33627833625719566</v>
      </c>
      <c r="G36" s="154">
        <v>12424073.889814863</v>
      </c>
      <c r="H36" s="98">
        <f t="shared" si="2"/>
        <v>0.35334242124469878</v>
      </c>
      <c r="I36" s="154">
        <f t="shared" si="3"/>
        <v>600000</v>
      </c>
      <c r="J36" s="98">
        <f t="shared" si="4"/>
        <v>5.0743931879251249</v>
      </c>
    </row>
    <row r="37" spans="2:10">
      <c r="B37" s="97" t="s">
        <v>59</v>
      </c>
      <c r="C37" s="154">
        <v>2179410.2600000002</v>
      </c>
      <c r="D37" s="98">
        <f t="shared" si="0"/>
        <v>6.5332110027526411E-2</v>
      </c>
      <c r="E37" s="154">
        <v>2220205.3434794326</v>
      </c>
      <c r="F37" s="98">
        <f t="shared" si="1"/>
        <v>6.3142954451402653E-2</v>
      </c>
      <c r="G37" s="154">
        <v>2220205.3434794326</v>
      </c>
      <c r="H37" s="98">
        <f t="shared" si="2"/>
        <v>6.3142954451402653E-2</v>
      </c>
      <c r="I37" s="154">
        <f t="shared" si="3"/>
        <v>0</v>
      </c>
      <c r="J37" s="98">
        <f t="shared" si="4"/>
        <v>0</v>
      </c>
    </row>
    <row r="38" spans="2:10">
      <c r="B38" s="97" t="s">
        <v>53</v>
      </c>
      <c r="C38" s="154">
        <v>12557210.530000001</v>
      </c>
      <c r="D38" s="98">
        <f t="shared" si="0"/>
        <v>0.37642708903498195</v>
      </c>
      <c r="E38" s="154">
        <v>11832884.939003492</v>
      </c>
      <c r="F38" s="98">
        <f t="shared" si="1"/>
        <v>0.33652892374416871</v>
      </c>
      <c r="G38" s="154">
        <v>10132884.939003492</v>
      </c>
      <c r="H38" s="98">
        <f t="shared" si="2"/>
        <v>0.28818068294624322</v>
      </c>
      <c r="I38" s="154">
        <f t="shared" si="3"/>
        <v>-1700000</v>
      </c>
      <c r="J38" s="98">
        <f t="shared" si="4"/>
        <v>-14.366741574545941</v>
      </c>
    </row>
    <row r="39" spans="2:10">
      <c r="B39" s="93" t="s">
        <v>254</v>
      </c>
      <c r="C39" s="152">
        <v>7564493.0600000005</v>
      </c>
      <c r="D39" s="96">
        <f t="shared" si="0"/>
        <v>0.22676056085850488</v>
      </c>
      <c r="E39" s="152">
        <v>7046262.4871663069</v>
      </c>
      <c r="F39" s="96">
        <f t="shared" si="1"/>
        <v>0.20039670320876826</v>
      </c>
      <c r="G39" s="152">
        <v>7738476.4003799995</v>
      </c>
      <c r="H39" s="96">
        <f t="shared" si="2"/>
        <v>0.22008336494978584</v>
      </c>
      <c r="I39" s="152">
        <f t="shared" si="3"/>
        <v>692213.91321369261</v>
      </c>
      <c r="J39" s="96">
        <f t="shared" si="4"/>
        <v>9.8238451161087852</v>
      </c>
    </row>
    <row r="40" spans="2:10" ht="13.5" thickBot="1">
      <c r="B40" s="93" t="s">
        <v>122</v>
      </c>
      <c r="C40" s="154">
        <v>6615451.54</v>
      </c>
      <c r="D40" s="98">
        <f t="shared" si="0"/>
        <v>0.19831117427750797</v>
      </c>
      <c r="E40" s="152">
        <v>8000000</v>
      </c>
      <c r="F40" s="96">
        <f t="shared" si="1"/>
        <v>0.22752113316670824</v>
      </c>
      <c r="G40" s="152">
        <v>8000000</v>
      </c>
      <c r="H40" s="96">
        <f t="shared" si="2"/>
        <v>0.22752113316670824</v>
      </c>
      <c r="I40" s="152">
        <f t="shared" si="3"/>
        <v>0</v>
      </c>
      <c r="J40" s="96">
        <f t="shared" si="4"/>
        <v>0</v>
      </c>
    </row>
    <row r="41" spans="2:10" ht="14.25" thickTop="1" thickBot="1">
      <c r="B41" s="90" t="s">
        <v>61</v>
      </c>
      <c r="C41" s="91">
        <f>+C43+C54+C60+SUM(C63:C67)</f>
        <v>1363467004.0629177</v>
      </c>
      <c r="D41" s="92">
        <f t="shared" si="0"/>
        <v>40.87260575176898</v>
      </c>
      <c r="E41" s="91">
        <f>+E43+E54+E60+SUM(E63:E67)</f>
        <v>1327102106.4899998</v>
      </c>
      <c r="F41" s="92">
        <f t="shared" si="1"/>
        <v>37.742971887066275</v>
      </c>
      <c r="G41" s="91">
        <f>+G43+G54+G60+SUM(G63:G67)</f>
        <v>1342758271.0799997</v>
      </c>
      <c r="H41" s="92">
        <f t="shared" si="2"/>
        <v>38.188235425636442</v>
      </c>
      <c r="I41" s="91">
        <f t="shared" si="3"/>
        <v>15656164.589999914</v>
      </c>
      <c r="J41" s="92">
        <f t="shared" si="4"/>
        <v>1.1797256980782294</v>
      </c>
    </row>
    <row r="42" spans="2:10" ht="14.25" thickTop="1" thickBot="1">
      <c r="B42" s="90" t="s">
        <v>125</v>
      </c>
      <c r="C42" s="91">
        <f>+C41-C63</f>
        <v>1301681501.2029178</v>
      </c>
      <c r="D42" s="92">
        <f t="shared" si="0"/>
        <v>39.020463754898891</v>
      </c>
      <c r="E42" s="91">
        <f>+E41-E63</f>
        <v>1225281606.4899998</v>
      </c>
      <c r="F42" s="92">
        <f t="shared" si="1"/>
        <v>34.84718244461618</v>
      </c>
      <c r="G42" s="91">
        <f>+G41-G63</f>
        <v>1240937771.0799997</v>
      </c>
      <c r="H42" s="92">
        <f t="shared" si="2"/>
        <v>35.29244598318634</v>
      </c>
      <c r="I42" s="91">
        <f t="shared" ref="I42:I73" si="5">+G42-E42</f>
        <v>15656164.589999914</v>
      </c>
      <c r="J42" s="92">
        <f t="shared" si="4"/>
        <v>1.2777605170169295</v>
      </c>
    </row>
    <row r="43" spans="2:10" ht="13.5" thickTop="1">
      <c r="B43" s="93" t="s">
        <v>62</v>
      </c>
      <c r="C43" s="94">
        <f>+SUM(C44:C53)</f>
        <v>600287648.01291776</v>
      </c>
      <c r="D43" s="96">
        <f t="shared" si="0"/>
        <v>17.994803175857761</v>
      </c>
      <c r="E43" s="94">
        <f>+SUM(E44:E53)</f>
        <v>615023510.13</v>
      </c>
      <c r="F43" s="96">
        <f t="shared" si="1"/>
        <v>17.491355743618005</v>
      </c>
      <c r="G43" s="94">
        <f>+SUM(G44:G53)</f>
        <v>625526473.45999992</v>
      </c>
      <c r="H43" s="96">
        <f t="shared" si="2"/>
        <v>17.790061508424255</v>
      </c>
      <c r="I43" s="94">
        <f t="shared" si="5"/>
        <v>10502963.329999924</v>
      </c>
      <c r="J43" s="96">
        <f t="shared" si="4"/>
        <v>1.7077336324557564</v>
      </c>
    </row>
    <row r="44" spans="2:10">
      <c r="B44" s="93" t="s">
        <v>63</v>
      </c>
      <c r="C44" s="152">
        <v>366128508.17291778</v>
      </c>
      <c r="D44" s="96">
        <f t="shared" si="0"/>
        <v>10.975422305375018</v>
      </c>
      <c r="E44" s="152">
        <v>386488693.71999997</v>
      </c>
      <c r="F44" s="96">
        <f t="shared" si="1"/>
        <v>10.991793193911903</v>
      </c>
      <c r="G44" s="152">
        <v>386488693.71999997</v>
      </c>
      <c r="H44" s="96">
        <f t="shared" si="2"/>
        <v>10.991793193911903</v>
      </c>
      <c r="I44" s="152">
        <f t="shared" si="5"/>
        <v>0</v>
      </c>
      <c r="J44" s="96">
        <f t="shared" si="4"/>
        <v>0</v>
      </c>
    </row>
    <row r="45" spans="2:10">
      <c r="B45" s="93" t="s">
        <v>74</v>
      </c>
      <c r="C45" s="152">
        <v>12022159.040000001</v>
      </c>
      <c r="D45" s="96">
        <f t="shared" si="0"/>
        <v>0.36038786803256645</v>
      </c>
      <c r="E45" s="152">
        <v>11478163.960000001</v>
      </c>
      <c r="F45" s="96">
        <f t="shared" si="1"/>
        <v>0.3264406088565589</v>
      </c>
      <c r="G45" s="152">
        <v>11478163.960000001</v>
      </c>
      <c r="H45" s="96">
        <f t="shared" si="2"/>
        <v>0.3264406088565589</v>
      </c>
      <c r="I45" s="152">
        <f t="shared" si="5"/>
        <v>0</v>
      </c>
      <c r="J45" s="96">
        <f t="shared" si="4"/>
        <v>0</v>
      </c>
    </row>
    <row r="46" spans="2:10">
      <c r="B46" s="93" t="s">
        <v>428</v>
      </c>
      <c r="C46" s="152">
        <v>90442340.840000004</v>
      </c>
      <c r="D46" s="96">
        <f t="shared" si="0"/>
        <v>2.7111870910004456</v>
      </c>
      <c r="E46" s="152">
        <v>89210330.25999999</v>
      </c>
      <c r="F46" s="96">
        <f t="shared" si="1"/>
        <v>2.5371544288664349</v>
      </c>
      <c r="G46" s="152">
        <v>29295302.830000002</v>
      </c>
      <c r="H46" s="96">
        <f t="shared" si="2"/>
        <v>0.83316256204293437</v>
      </c>
      <c r="I46" s="152">
        <f t="shared" si="5"/>
        <v>-59915027.429999992</v>
      </c>
      <c r="J46" s="96">
        <f t="shared" si="4"/>
        <v>-67.161535278907735</v>
      </c>
    </row>
    <row r="47" spans="2:10">
      <c r="B47" s="93" t="s">
        <v>429</v>
      </c>
      <c r="C47" s="152"/>
      <c r="D47" s="96">
        <f t="shared" si="0"/>
        <v>0</v>
      </c>
      <c r="E47" s="152"/>
      <c r="F47" s="96">
        <f t="shared" si="1"/>
        <v>0</v>
      </c>
      <c r="G47" s="152">
        <v>40692845.799999997</v>
      </c>
      <c r="H47" s="96">
        <f t="shared" si="2"/>
        <v>1.1573102985242654</v>
      </c>
      <c r="I47" s="152">
        <f t="shared" si="5"/>
        <v>40692845.799999997</v>
      </c>
      <c r="J47" s="96" t="e">
        <f t="shared" si="4"/>
        <v>#DIV/0!</v>
      </c>
    </row>
    <row r="48" spans="2:10">
      <c r="B48" s="93" t="s">
        <v>430</v>
      </c>
      <c r="C48" s="152">
        <v>20416485.639999997</v>
      </c>
      <c r="D48" s="96">
        <f t="shared" si="0"/>
        <v>0.61202432175752564</v>
      </c>
      <c r="E48" s="152">
        <v>21655403.200000003</v>
      </c>
      <c r="F48" s="96">
        <f t="shared" si="1"/>
        <v>0.61588273440574504</v>
      </c>
      <c r="G48" s="152">
        <v>21655403.200000003</v>
      </c>
      <c r="H48" s="96">
        <f t="shared" si="2"/>
        <v>0.61588273440574504</v>
      </c>
      <c r="I48" s="152">
        <f t="shared" si="5"/>
        <v>0</v>
      </c>
      <c r="J48" s="96">
        <f t="shared" si="4"/>
        <v>0</v>
      </c>
    </row>
    <row r="49" spans="2:10">
      <c r="B49" s="93" t="s">
        <v>79</v>
      </c>
      <c r="C49" s="152">
        <v>67427730.789999992</v>
      </c>
      <c r="D49" s="96">
        <f t="shared" si="0"/>
        <v>2.0212788788462022</v>
      </c>
      <c r="E49" s="152">
        <v>73316123.120000005</v>
      </c>
      <c r="F49" s="96">
        <f t="shared" si="1"/>
        <v>2.0851209264565371</v>
      </c>
      <c r="G49" s="152">
        <v>73316123.120000005</v>
      </c>
      <c r="H49" s="96">
        <f t="shared" si="2"/>
        <v>2.0851209264565371</v>
      </c>
      <c r="I49" s="152">
        <f t="shared" si="5"/>
        <v>0</v>
      </c>
      <c r="J49" s="96">
        <f t="shared" si="4"/>
        <v>0</v>
      </c>
    </row>
    <row r="50" spans="2:10">
      <c r="B50" s="93" t="s">
        <v>81</v>
      </c>
      <c r="C50" s="152">
        <v>7928041.8100000005</v>
      </c>
      <c r="D50" s="96">
        <f t="shared" si="0"/>
        <v>0.23765864983757101</v>
      </c>
      <c r="E50" s="152">
        <v>8172802.1399999997</v>
      </c>
      <c r="F50" s="96">
        <f t="shared" si="1"/>
        <v>0.23243565050501225</v>
      </c>
      <c r="G50" s="152">
        <v>8172802.1399999997</v>
      </c>
      <c r="H50" s="96">
        <f t="shared" si="2"/>
        <v>0.23243565050501225</v>
      </c>
      <c r="I50" s="152">
        <f t="shared" si="5"/>
        <v>0</v>
      </c>
      <c r="J50" s="96">
        <f t="shared" si="4"/>
        <v>0</v>
      </c>
    </row>
    <row r="51" spans="2:10">
      <c r="B51" s="93" t="s">
        <v>83</v>
      </c>
      <c r="C51" s="152">
        <v>17426749.959999997</v>
      </c>
      <c r="D51" s="96">
        <f t="shared" si="0"/>
        <v>0.52240111313824467</v>
      </c>
      <c r="E51" s="152">
        <v>18874600</v>
      </c>
      <c r="F51" s="96">
        <f t="shared" si="1"/>
        <v>0.53679629750854385</v>
      </c>
      <c r="G51" s="152">
        <v>18874600</v>
      </c>
      <c r="H51" s="96">
        <f t="shared" si="2"/>
        <v>0.53679629750854385</v>
      </c>
      <c r="I51" s="152">
        <f t="shared" si="5"/>
        <v>0</v>
      </c>
      <c r="J51" s="96">
        <f t="shared" si="4"/>
        <v>0</v>
      </c>
    </row>
    <row r="52" spans="2:10">
      <c r="B52" s="93" t="s">
        <v>85</v>
      </c>
      <c r="C52" s="152">
        <v>6279093.0100000007</v>
      </c>
      <c r="D52" s="96">
        <f t="shared" si="0"/>
        <v>0.18822816563339112</v>
      </c>
      <c r="E52" s="152">
        <v>5827393.7300000023</v>
      </c>
      <c r="F52" s="96">
        <f t="shared" si="1"/>
        <v>0.16573190310727137</v>
      </c>
      <c r="G52" s="152">
        <v>25049575.370000001</v>
      </c>
      <c r="H52" s="96">
        <f t="shared" si="2"/>
        <v>0.71241347169090818</v>
      </c>
      <c r="I52" s="152">
        <f t="shared" si="5"/>
        <v>19222181.640000001</v>
      </c>
      <c r="J52" s="96">
        <f>+G52/E52*100-100</f>
        <v>329.85898208734892</v>
      </c>
    </row>
    <row r="53" spans="2:10">
      <c r="B53" s="93" t="s">
        <v>129</v>
      </c>
      <c r="C53" s="152">
        <v>12216538.75</v>
      </c>
      <c r="D53" s="158">
        <f t="shared" si="0"/>
        <v>0.36621478223679643</v>
      </c>
      <c r="E53" s="152"/>
      <c r="F53" s="158">
        <f t="shared" si="1"/>
        <v>0</v>
      </c>
      <c r="G53" s="152">
        <v>10502963.32</v>
      </c>
      <c r="H53" s="158">
        <f t="shared" si="2"/>
        <v>0.2987057645218465</v>
      </c>
      <c r="I53" s="152">
        <f t="shared" si="5"/>
        <v>10502963.32</v>
      </c>
      <c r="J53" s="158" t="e">
        <f t="shared" si="4"/>
        <v>#DIV/0!</v>
      </c>
    </row>
    <row r="54" spans="2:10">
      <c r="B54" s="93" t="s">
        <v>86</v>
      </c>
      <c r="C54" s="94">
        <f>+SUM(C55:C59)</f>
        <v>482967769.27999985</v>
      </c>
      <c r="D54" s="96">
        <f t="shared" si="0"/>
        <v>14.47790901119734</v>
      </c>
      <c r="E54" s="94">
        <f>+SUM(E55:E59)</f>
        <v>498223398.96999997</v>
      </c>
      <c r="F54" s="96">
        <f t="shared" si="1"/>
        <v>14.169544037977921</v>
      </c>
      <c r="G54" s="94">
        <f>+SUM(G55:G59)</f>
        <v>498223398.96999997</v>
      </c>
      <c r="H54" s="96">
        <f t="shared" si="2"/>
        <v>14.169544037977921</v>
      </c>
      <c r="I54" s="94">
        <f t="shared" si="5"/>
        <v>0</v>
      </c>
      <c r="J54" s="96">
        <f t="shared" si="4"/>
        <v>0</v>
      </c>
    </row>
    <row r="55" spans="2:10">
      <c r="B55" s="97" t="s">
        <v>88</v>
      </c>
      <c r="C55" s="154">
        <v>64036543.990000002</v>
      </c>
      <c r="D55" s="98">
        <f t="shared" si="0"/>
        <v>1.919621383142986</v>
      </c>
      <c r="E55" s="154">
        <v>58645000</v>
      </c>
      <c r="F55" s="98">
        <f t="shared" si="1"/>
        <v>1.6678721068202007</v>
      </c>
      <c r="G55" s="154">
        <v>58645000</v>
      </c>
      <c r="H55" s="98">
        <f t="shared" si="2"/>
        <v>1.6678721068202007</v>
      </c>
      <c r="I55" s="154">
        <f t="shared" si="5"/>
        <v>0</v>
      </c>
      <c r="J55" s="98">
        <f t="shared" si="4"/>
        <v>0</v>
      </c>
    </row>
    <row r="56" spans="2:10">
      <c r="B56" s="97" t="s">
        <v>90</v>
      </c>
      <c r="C56" s="154">
        <v>13086355.520000001</v>
      </c>
      <c r="D56" s="98">
        <f t="shared" si="0"/>
        <v>0.39228925108022916</v>
      </c>
      <c r="E56" s="154">
        <v>20758124</v>
      </c>
      <c r="F56" s="98">
        <f t="shared" si="1"/>
        <v>0.59036398686188019</v>
      </c>
      <c r="G56" s="154">
        <v>20758124</v>
      </c>
      <c r="H56" s="98">
        <f t="shared" si="2"/>
        <v>0.59036398686188019</v>
      </c>
      <c r="I56" s="154">
        <f t="shared" si="5"/>
        <v>0</v>
      </c>
      <c r="J56" s="98">
        <f t="shared" si="4"/>
        <v>0</v>
      </c>
    </row>
    <row r="57" spans="2:10">
      <c r="B57" s="97" t="s">
        <v>92</v>
      </c>
      <c r="C57" s="154">
        <v>383190248.31999987</v>
      </c>
      <c r="D57" s="98">
        <f t="shared" si="0"/>
        <v>11.486881531298929</v>
      </c>
      <c r="E57" s="154">
        <v>397320274.96999997</v>
      </c>
      <c r="F57" s="98">
        <f t="shared" si="1"/>
        <v>11.299844898910312</v>
      </c>
      <c r="G57" s="154">
        <v>397320274.96999997</v>
      </c>
      <c r="H57" s="98">
        <f t="shared" si="2"/>
        <v>11.299844898910312</v>
      </c>
      <c r="I57" s="154">
        <f t="shared" si="5"/>
        <v>0</v>
      </c>
      <c r="J57" s="98">
        <f t="shared" si="4"/>
        <v>0</v>
      </c>
    </row>
    <row r="58" spans="2:10">
      <c r="B58" s="97" t="s">
        <v>94</v>
      </c>
      <c r="C58" s="154">
        <v>14792096.089999998</v>
      </c>
      <c r="D58" s="98">
        <f t="shared" si="0"/>
        <v>0.44342218031478986</v>
      </c>
      <c r="E58" s="154">
        <v>14500000</v>
      </c>
      <c r="F58" s="98">
        <f t="shared" si="1"/>
        <v>0.4123820538646587</v>
      </c>
      <c r="G58" s="154">
        <v>14500000</v>
      </c>
      <c r="H58" s="98">
        <f t="shared" si="2"/>
        <v>0.4123820538646587</v>
      </c>
      <c r="I58" s="154">
        <f t="shared" si="5"/>
        <v>0</v>
      </c>
      <c r="J58" s="98">
        <f t="shared" si="4"/>
        <v>0</v>
      </c>
    </row>
    <row r="59" spans="2:10">
      <c r="B59" s="97" t="s">
        <v>431</v>
      </c>
      <c r="C59" s="154">
        <v>7862525.3600000013</v>
      </c>
      <c r="D59" s="98">
        <f t="shared" si="0"/>
        <v>0.23569466536040659</v>
      </c>
      <c r="E59" s="154">
        <v>7000000</v>
      </c>
      <c r="F59" s="98">
        <f t="shared" si="1"/>
        <v>0.19908099152086972</v>
      </c>
      <c r="G59" s="154">
        <v>7000000</v>
      </c>
      <c r="H59" s="98">
        <f t="shared" si="2"/>
        <v>0.19908099152086972</v>
      </c>
      <c r="I59" s="154">
        <f t="shared" si="5"/>
        <v>0</v>
      </c>
      <c r="J59" s="98">
        <f t="shared" si="4"/>
        <v>0</v>
      </c>
    </row>
    <row r="60" spans="2:10">
      <c r="B60" s="93" t="s">
        <v>432</v>
      </c>
      <c r="C60" s="94">
        <f>+SUM(C61:C62)</f>
        <v>94307106.209999993</v>
      </c>
      <c r="D60" s="96">
        <f t="shared" si="0"/>
        <v>2.8270410359953697</v>
      </c>
      <c r="E60" s="94">
        <f>+SUM(E61:E62)</f>
        <v>101040047.61999999</v>
      </c>
      <c r="F60" s="96">
        <f t="shared" si="1"/>
        <v>2.8735932662150696</v>
      </c>
      <c r="G60" s="94">
        <f>+SUM(G61:G62)</f>
        <v>101040047.61999999</v>
      </c>
      <c r="H60" s="96">
        <f t="shared" si="2"/>
        <v>2.8735932662150696</v>
      </c>
      <c r="I60" s="94">
        <f t="shared" si="5"/>
        <v>0</v>
      </c>
      <c r="J60" s="96">
        <f t="shared" si="4"/>
        <v>0</v>
      </c>
    </row>
    <row r="61" spans="2:10">
      <c r="B61" s="97" t="s">
        <v>432</v>
      </c>
      <c r="C61" s="154">
        <v>94307106.209999993</v>
      </c>
      <c r="D61" s="98">
        <f t="shared" si="0"/>
        <v>2.8270410359953697</v>
      </c>
      <c r="E61" s="154">
        <v>101040047.61999999</v>
      </c>
      <c r="F61" s="98">
        <f t="shared" si="1"/>
        <v>2.8735932662150696</v>
      </c>
      <c r="G61" s="154">
        <v>101040047.61999999</v>
      </c>
      <c r="H61" s="98">
        <f t="shared" si="2"/>
        <v>2.8735932662150696</v>
      </c>
      <c r="I61" s="154">
        <f t="shared" si="5"/>
        <v>0</v>
      </c>
      <c r="J61" s="98">
        <f t="shared" si="4"/>
        <v>0</v>
      </c>
    </row>
    <row r="62" spans="2:10" ht="13.5" thickBot="1">
      <c r="B62" s="97" t="s">
        <v>433</v>
      </c>
      <c r="C62" s="154"/>
      <c r="D62" s="98">
        <f t="shared" si="0"/>
        <v>0</v>
      </c>
      <c r="E62" s="154"/>
      <c r="F62" s="98">
        <f t="shared" si="1"/>
        <v>0</v>
      </c>
      <c r="G62" s="154"/>
      <c r="H62" s="98">
        <f t="shared" si="2"/>
        <v>0</v>
      </c>
      <c r="I62" s="154">
        <f t="shared" si="5"/>
        <v>0</v>
      </c>
      <c r="J62" s="98" t="e">
        <f t="shared" si="4"/>
        <v>#DIV/0!</v>
      </c>
    </row>
    <row r="63" spans="2:10" ht="14.25" thickTop="1" thickBot="1">
      <c r="B63" s="90" t="s">
        <v>130</v>
      </c>
      <c r="C63" s="160">
        <v>61785502.860000007</v>
      </c>
      <c r="D63" s="92">
        <f t="shared" si="0"/>
        <v>1.8521419968700925</v>
      </c>
      <c r="E63" s="160">
        <v>101820500</v>
      </c>
      <c r="F63" s="92">
        <f t="shared" si="1"/>
        <v>2.8957894424501021</v>
      </c>
      <c r="G63" s="160">
        <v>101820500</v>
      </c>
      <c r="H63" s="92">
        <f t="shared" si="2"/>
        <v>2.8957894424501021</v>
      </c>
      <c r="I63" s="160">
        <f t="shared" si="5"/>
        <v>0</v>
      </c>
      <c r="J63" s="92">
        <f t="shared" si="4"/>
        <v>0</v>
      </c>
    </row>
    <row r="64" spans="2:10" ht="13.5" thickTop="1">
      <c r="B64" s="93" t="s">
        <v>110</v>
      </c>
      <c r="C64" s="152">
        <v>2752781.9799999995</v>
      </c>
      <c r="D64" s="96">
        <f t="shared" si="0"/>
        <v>8.2520055310353516E-2</v>
      </c>
      <c r="E64" s="152">
        <v>2140000</v>
      </c>
      <c r="F64" s="96">
        <f t="shared" si="1"/>
        <v>6.0861903122094448E-2</v>
      </c>
      <c r="G64" s="152">
        <v>2140000</v>
      </c>
      <c r="H64" s="96">
        <f t="shared" si="2"/>
        <v>6.0861903122094448E-2</v>
      </c>
      <c r="I64" s="152">
        <f t="shared" si="5"/>
        <v>0</v>
      </c>
      <c r="J64" s="96">
        <f t="shared" si="4"/>
        <v>0</v>
      </c>
    </row>
    <row r="65" spans="2:10" ht="13.5" thickBot="1">
      <c r="B65" s="93" t="s">
        <v>117</v>
      </c>
      <c r="C65" s="152">
        <v>14126844.789999999</v>
      </c>
      <c r="D65" s="96">
        <f t="shared" si="0"/>
        <v>0.42347996386970665</v>
      </c>
      <c r="E65" s="152">
        <v>8854649.7699999996</v>
      </c>
      <c r="F65" s="96">
        <f t="shared" si="1"/>
        <v>0.25182749368309154</v>
      </c>
      <c r="G65" s="152">
        <v>8854649.7699999996</v>
      </c>
      <c r="H65" s="96">
        <f t="shared" si="2"/>
        <v>0.25182749368309154</v>
      </c>
      <c r="I65" s="152">
        <f t="shared" si="5"/>
        <v>0</v>
      </c>
      <c r="J65" s="96">
        <f t="shared" si="4"/>
        <v>0</v>
      </c>
    </row>
    <row r="66" spans="2:10" ht="14.25" thickTop="1" thickBot="1">
      <c r="B66" s="146" t="s">
        <v>112</v>
      </c>
      <c r="C66" s="161">
        <v>107239350.92999999</v>
      </c>
      <c r="D66" s="148">
        <f t="shared" si="0"/>
        <v>3.2147105126683559</v>
      </c>
      <c r="E66" s="161">
        <v>0</v>
      </c>
      <c r="F66" s="148">
        <f t="shared" si="1"/>
        <v>0</v>
      </c>
      <c r="G66" s="161">
        <v>5153201.26</v>
      </c>
      <c r="H66" s="148">
        <f t="shared" si="2"/>
        <v>0.14655777376391357</v>
      </c>
      <c r="I66" s="161">
        <f t="shared" si="5"/>
        <v>5153201.26</v>
      </c>
      <c r="J66" s="148" t="e">
        <f t="shared" si="4"/>
        <v>#DIV/0!</v>
      </c>
    </row>
    <row r="67" spans="2:10" ht="14.25" thickTop="1" thickBot="1">
      <c r="B67" s="181" t="s">
        <v>151</v>
      </c>
      <c r="C67" s="152">
        <v>0</v>
      </c>
      <c r="D67" s="96">
        <f t="shared" si="0"/>
        <v>0</v>
      </c>
      <c r="E67" s="152">
        <v>0</v>
      </c>
      <c r="F67" s="96">
        <f t="shared" si="1"/>
        <v>0</v>
      </c>
      <c r="G67" s="152">
        <v>0</v>
      </c>
      <c r="H67" s="96">
        <f t="shared" si="2"/>
        <v>0</v>
      </c>
      <c r="I67" s="152">
        <f t="shared" si="5"/>
        <v>0</v>
      </c>
      <c r="J67" s="96" t="e">
        <f t="shared" si="4"/>
        <v>#DIV/0!</v>
      </c>
    </row>
    <row r="68" spans="2:10" ht="14.25" thickTop="1" thickBot="1">
      <c r="B68" s="90" t="s">
        <v>131</v>
      </c>
      <c r="C68" s="91">
        <f>+C8-C41</f>
        <v>-128320624.58291769</v>
      </c>
      <c r="D68" s="92">
        <f t="shared" si="0"/>
        <v>-3.8466631629292634</v>
      </c>
      <c r="E68" s="91">
        <f>+E8-E41</f>
        <v>-51045707.052829504</v>
      </c>
      <c r="F68" s="92">
        <f t="shared" si="1"/>
        <v>-1.4517471389944498</v>
      </c>
      <c r="G68" s="91">
        <f>+G8-G41</f>
        <v>-26424601.993229389</v>
      </c>
      <c r="H68" s="92">
        <f t="shared" si="2"/>
        <v>-0.75151942362235102</v>
      </c>
      <c r="I68" s="91">
        <f t="shared" si="5"/>
        <v>24621105.059600115</v>
      </c>
      <c r="J68" s="92">
        <f t="shared" si="4"/>
        <v>-48.23344896392291</v>
      </c>
    </row>
    <row r="69" spans="2:10" ht="14.25" thickTop="1" thickBot="1">
      <c r="B69" s="90" t="s">
        <v>132</v>
      </c>
      <c r="C69" s="91">
        <f>+C68+C49</f>
        <v>-60892893.792917699</v>
      </c>
      <c r="D69" s="92">
        <f t="shared" si="0"/>
        <v>-1.8253842840830612</v>
      </c>
      <c r="E69" s="91">
        <f>+E68+E49</f>
        <v>22270416.067170501</v>
      </c>
      <c r="F69" s="92">
        <f t="shared" si="1"/>
        <v>0.63337378746208728</v>
      </c>
      <c r="G69" s="91">
        <f>+G68+G49</f>
        <v>46891521.126770616</v>
      </c>
      <c r="H69" s="92">
        <f t="shared" si="2"/>
        <v>1.3336015028341861</v>
      </c>
      <c r="I69" s="91">
        <f t="shared" si="5"/>
        <v>24621105.059600115</v>
      </c>
      <c r="J69" s="92">
        <f t="shared" si="4"/>
        <v>110.55520914086037</v>
      </c>
    </row>
    <row r="70" spans="2:10" ht="14.25" thickTop="1" thickBot="1">
      <c r="B70" s="90" t="s">
        <v>0</v>
      </c>
      <c r="C70" s="91">
        <f>+SUM(C71:C73)</f>
        <v>241777428.00999996</v>
      </c>
      <c r="D70" s="92">
        <f t="shared" si="0"/>
        <v>7.2477540455928944</v>
      </c>
      <c r="E70" s="91">
        <f>+SUM(E71:E73)</f>
        <v>171426905.49000001</v>
      </c>
      <c r="F70" s="92">
        <f t="shared" si="1"/>
        <v>4.875405474043375</v>
      </c>
      <c r="G70" s="91">
        <f>+SUM(G71:G73)</f>
        <v>171426905.49000001</v>
      </c>
      <c r="H70" s="92">
        <f t="shared" si="2"/>
        <v>4.875405474043375</v>
      </c>
      <c r="I70" s="91">
        <f t="shared" si="5"/>
        <v>0</v>
      </c>
      <c r="J70" s="92">
        <f t="shared" si="4"/>
        <v>0</v>
      </c>
    </row>
    <row r="71" spans="2:10" ht="13.5" thickTop="1">
      <c r="B71" s="97" t="s">
        <v>134</v>
      </c>
      <c r="C71" s="154">
        <v>112695950.91</v>
      </c>
      <c r="D71" s="98">
        <f t="shared" si="0"/>
        <v>3.3782828316632929</v>
      </c>
      <c r="E71" s="154">
        <v>30008345.27</v>
      </c>
      <c r="F71" s="98">
        <f t="shared" si="1"/>
        <v>0.8534415900360286</v>
      </c>
      <c r="G71" s="154">
        <v>30008345.27</v>
      </c>
      <c r="H71" s="98">
        <f t="shared" si="2"/>
        <v>0.8534415900360286</v>
      </c>
      <c r="I71" s="154">
        <f t="shared" si="5"/>
        <v>0</v>
      </c>
      <c r="J71" s="98">
        <f t="shared" si="4"/>
        <v>0</v>
      </c>
    </row>
    <row r="72" spans="2:10">
      <c r="B72" s="97" t="s">
        <v>136</v>
      </c>
      <c r="C72" s="154">
        <v>68802905.489999995</v>
      </c>
      <c r="D72" s="98">
        <f t="shared" si="0"/>
        <v>2.0625024458158605</v>
      </c>
      <c r="E72" s="154">
        <v>108080400.25</v>
      </c>
      <c r="F72" s="98">
        <f t="shared" si="1"/>
        <v>3.073821892248922</v>
      </c>
      <c r="G72" s="154">
        <v>108080400.25</v>
      </c>
      <c r="H72" s="98">
        <f t="shared" si="2"/>
        <v>3.073821892248922</v>
      </c>
      <c r="I72" s="154">
        <f t="shared" si="5"/>
        <v>0</v>
      </c>
      <c r="J72" s="98">
        <f t="shared" si="4"/>
        <v>0</v>
      </c>
    </row>
    <row r="73" spans="2:10" ht="13.5" thickBot="1">
      <c r="B73" s="97" t="s">
        <v>115</v>
      </c>
      <c r="C73" s="154">
        <v>60278571.609999992</v>
      </c>
      <c r="D73" s="98">
        <f t="shared" ref="D73:D79" si="6">C73/C$3*100</f>
        <v>1.8069687681137414</v>
      </c>
      <c r="E73" s="154">
        <v>33338159.969999999</v>
      </c>
      <c r="F73" s="98">
        <f t="shared" si="1"/>
        <v>0.94814199175842395</v>
      </c>
      <c r="G73" s="154">
        <v>33338159.969999999</v>
      </c>
      <c r="H73" s="98">
        <f t="shared" ref="H73:H79" si="7">G73/E$3*100</f>
        <v>0.94814199175842395</v>
      </c>
      <c r="I73" s="154">
        <f t="shared" si="5"/>
        <v>0</v>
      </c>
      <c r="J73" s="98">
        <f t="shared" si="4"/>
        <v>0</v>
      </c>
    </row>
    <row r="74" spans="2:10" ht="14.25" thickTop="1" thickBot="1">
      <c r="B74" s="90" t="s">
        <v>140</v>
      </c>
      <c r="C74" s="91">
        <f>+C68-C70</f>
        <v>-370098052.59291768</v>
      </c>
      <c r="D74" s="92">
        <f t="shared" si="6"/>
        <v>-11.09441720852216</v>
      </c>
      <c r="E74" s="91">
        <f>+E68-E70</f>
        <v>-222472612.54282951</v>
      </c>
      <c r="F74" s="92">
        <f t="shared" ref="F74:F79" si="8">E74/E$3*100</f>
        <v>-6.3271526130378248</v>
      </c>
      <c r="G74" s="91">
        <v>-205851507.4832294</v>
      </c>
      <c r="H74" s="92">
        <f t="shared" si="7"/>
        <v>-5.8544460308324338</v>
      </c>
      <c r="I74" s="91">
        <f t="shared" ref="I74:I79" si="9">+G74-E74</f>
        <v>16621105.059600115</v>
      </c>
      <c r="J74" s="92">
        <f t="shared" ref="J74:J79" si="10">+G74/E74*100-100</f>
        <v>-7.4710791902083145</v>
      </c>
    </row>
    <row r="75" spans="2:10" ht="14.25" thickTop="1" thickBot="1">
      <c r="B75" s="90" t="s">
        <v>120</v>
      </c>
      <c r="C75" s="91">
        <f>+SUM(C76:C80)</f>
        <v>370098052.59291768</v>
      </c>
      <c r="D75" s="92">
        <f t="shared" si="6"/>
        <v>11.09441720852216</v>
      </c>
      <c r="E75" s="91">
        <f>+SUM(E76:E79)</f>
        <v>222472612.54282951</v>
      </c>
      <c r="F75" s="92">
        <f t="shared" si="8"/>
        <v>6.3271526130378248</v>
      </c>
      <c r="G75" s="91">
        <f>+SUM(G76:G79)</f>
        <v>205851507.4832294</v>
      </c>
      <c r="H75" s="92">
        <f t="shared" si="7"/>
        <v>5.8544460308324338</v>
      </c>
      <c r="I75" s="91">
        <f t="shared" si="9"/>
        <v>-16621105.059600115</v>
      </c>
      <c r="J75" s="92">
        <f t="shared" si="10"/>
        <v>-7.4710791902083145</v>
      </c>
    </row>
    <row r="76" spans="2:10" ht="13.5" thickTop="1">
      <c r="B76" s="97" t="s">
        <v>143</v>
      </c>
      <c r="C76" s="154">
        <v>102834751.84999999</v>
      </c>
      <c r="D76" s="98">
        <f t="shared" si="6"/>
        <v>3.0826739902186082</v>
      </c>
      <c r="E76" s="154">
        <v>0</v>
      </c>
      <c r="F76" s="98">
        <f t="shared" si="8"/>
        <v>0</v>
      </c>
      <c r="G76" s="183">
        <v>0</v>
      </c>
      <c r="H76" s="184">
        <f t="shared" si="7"/>
        <v>0</v>
      </c>
      <c r="I76" s="154">
        <f t="shared" si="9"/>
        <v>0</v>
      </c>
      <c r="J76" s="98" t="e">
        <f t="shared" si="10"/>
        <v>#DIV/0!</v>
      </c>
    </row>
    <row r="77" spans="2:10">
      <c r="B77" s="97" t="s">
        <v>121</v>
      </c>
      <c r="C77" s="154">
        <v>230537476.81999999</v>
      </c>
      <c r="D77" s="98">
        <f t="shared" si="6"/>
        <v>6.910814396676539</v>
      </c>
      <c r="E77" s="154">
        <v>227975575.86282945</v>
      </c>
      <c r="F77" s="98">
        <f t="shared" si="8"/>
        <v>6.4836576693304764</v>
      </c>
      <c r="G77" s="183">
        <v>227975575.86282945</v>
      </c>
      <c r="H77" s="184">
        <f t="shared" si="7"/>
        <v>6.4836576693304764</v>
      </c>
      <c r="I77" s="154">
        <f t="shared" si="9"/>
        <v>0</v>
      </c>
      <c r="J77" s="98">
        <f t="shared" si="10"/>
        <v>0</v>
      </c>
    </row>
    <row r="78" spans="2:10" ht="13.5" thickBot="1">
      <c r="B78" s="103" t="s">
        <v>328</v>
      </c>
      <c r="C78" s="154">
        <v>11948846.35</v>
      </c>
      <c r="D78" s="104">
        <f t="shared" si="6"/>
        <v>0.35819017592410862</v>
      </c>
      <c r="E78" s="154">
        <v>5000000</v>
      </c>
      <c r="F78" s="104">
        <f t="shared" si="8"/>
        <v>0.14220070822919265</v>
      </c>
      <c r="G78" s="183">
        <v>5000000</v>
      </c>
      <c r="H78" s="184">
        <f t="shared" si="7"/>
        <v>0.14220070822919265</v>
      </c>
      <c r="I78" s="154">
        <f t="shared" si="9"/>
        <v>0</v>
      </c>
      <c r="J78" s="104">
        <f t="shared" si="10"/>
        <v>0</v>
      </c>
    </row>
    <row r="79" spans="2:10" ht="14.25" thickTop="1" thickBot="1">
      <c r="B79" s="146" t="s">
        <v>124</v>
      </c>
      <c r="C79" s="147">
        <f>-C74-SUM(C76:C78)</f>
        <v>24776977.5729177</v>
      </c>
      <c r="D79" s="148">
        <f t="shared" si="6"/>
        <v>0.74273864570290371</v>
      </c>
      <c r="E79" s="147">
        <f>-E74-SUM(E76:E78)</f>
        <v>-10502963.319999933</v>
      </c>
      <c r="F79" s="148">
        <f t="shared" si="8"/>
        <v>-0.29870576452184461</v>
      </c>
      <c r="G79" s="185">
        <f>-G74-SUM(G76:G78)</f>
        <v>-27124068.379600048</v>
      </c>
      <c r="H79" s="186">
        <f t="shared" si="7"/>
        <v>-0.77141234672723535</v>
      </c>
      <c r="I79" s="147">
        <f t="shared" si="9"/>
        <v>-16621105.059600115</v>
      </c>
      <c r="J79" s="148">
        <f t="shared" si="10"/>
        <v>158.25157675215246</v>
      </c>
    </row>
    <row r="80" spans="2:10" ht="13.5" thickTop="1"/>
  </sheetData>
  <mergeCells count="6">
    <mergeCell ref="I6:J6"/>
    <mergeCell ref="E3:H3"/>
    <mergeCell ref="C6:D6"/>
    <mergeCell ref="C3:D3"/>
    <mergeCell ref="E6:F6"/>
    <mergeCell ref="G6:H6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C4:G6"/>
  <sheetViews>
    <sheetView workbookViewId="0">
      <selection activeCell="N16" sqref="N16"/>
    </sheetView>
  </sheetViews>
  <sheetFormatPr defaultRowHeight="12.75"/>
  <cols>
    <col min="3" max="3" width="27.85546875" bestFit="1" customWidth="1"/>
    <col min="4" max="4" width="15.140625" bestFit="1" customWidth="1"/>
    <col min="5" max="7" width="16.140625" bestFit="1" customWidth="1"/>
  </cols>
  <sheetData>
    <row r="4" spans="3:7">
      <c r="D4" t="s">
        <v>444</v>
      </c>
      <c r="E4">
        <v>2015</v>
      </c>
      <c r="F4">
        <v>2016</v>
      </c>
      <c r="G4">
        <v>2017</v>
      </c>
    </row>
    <row r="5" spans="3:7">
      <c r="C5" t="s">
        <v>442</v>
      </c>
      <c r="D5" s="180">
        <v>-26424601.993229389</v>
      </c>
      <c r="E5" s="180">
        <v>-24569497.372829676</v>
      </c>
      <c r="F5" s="180">
        <v>33498994.005818129</v>
      </c>
      <c r="G5" s="180">
        <v>103834080.12588143</v>
      </c>
    </row>
    <row r="6" spans="3:7">
      <c r="C6" t="s">
        <v>443</v>
      </c>
      <c r="D6" s="180">
        <v>-51424601.993229389</v>
      </c>
      <c r="E6" s="180">
        <v>-149569497.37282968</v>
      </c>
      <c r="F6" s="180">
        <v>-191501005.99418187</v>
      </c>
      <c r="G6" s="180">
        <v>-221165919.87411857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Cental Budget</vt:lpstr>
      <vt:lpstr>Local Government</vt:lpstr>
      <vt:lpstr>Public Expenditure</vt:lpstr>
      <vt:lpstr>PRIMICI</vt:lpstr>
      <vt:lpstr>DEFICIT Tabela</vt:lpstr>
      <vt:lpstr>MasterSheet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Tatjana Minic</cp:lastModifiedBy>
  <cp:lastPrinted>2016-06-30T08:34:04Z</cp:lastPrinted>
  <dcterms:created xsi:type="dcterms:W3CDTF">2008-03-17T08:49:23Z</dcterms:created>
  <dcterms:modified xsi:type="dcterms:W3CDTF">2017-06-30T11:02:09Z</dcterms:modified>
</cp:coreProperties>
</file>