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99_Arhiva\01_Analize\Bilten - 2017\Bilten - 2017 - I kvartal - Analiza\"/>
    </mc:Choice>
  </mc:AlternateContent>
  <bookViews>
    <workbookView xWindow="0" yWindow="0" windowWidth="16590" windowHeight="5985" tabRatio="817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Budget'!$B$13:$C$74</definedName>
    <definedName name="Z_05AB59A7_9F04_4F70_A17E_8EF60EF35C7C_.wvu.PrintArea" localSheetId="1" hidden="1">'Local Government'!$B$13:$M$75</definedName>
    <definedName name="Z_05AB59A7_9F04_4F70_A17E_8EF60EF35C7C_.wvu.PrintArea" localSheetId="2" hidden="1">'Public Expenditure'!$B$13:$M$76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62913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J56" i="33" l="1"/>
  <c r="F56" i="33"/>
  <c r="D56" i="33"/>
  <c r="H75" i="33"/>
  <c r="J75" i="33"/>
  <c r="M75" i="33" s="1"/>
  <c r="F75" i="33"/>
  <c r="D75" i="33"/>
  <c r="L75" i="33" s="1"/>
  <c r="I75" i="33" l="1"/>
  <c r="M55" i="10"/>
  <c r="M56" i="10"/>
  <c r="L55" i="10"/>
  <c r="L56" i="10"/>
  <c r="I55" i="10"/>
  <c r="I56" i="10"/>
  <c r="H55" i="10"/>
  <c r="H56" i="10"/>
  <c r="G56" i="10"/>
  <c r="F54" i="10"/>
  <c r="G55" i="10"/>
  <c r="J54" i="10" l="1"/>
  <c r="K56" i="10"/>
  <c r="K55" i="10"/>
  <c r="D54" i="10"/>
  <c r="D54" i="33"/>
  <c r="D53" i="33"/>
  <c r="D52" i="33"/>
  <c r="D51" i="33"/>
  <c r="D50" i="33"/>
  <c r="D35" i="33"/>
  <c r="J71" i="32"/>
  <c r="J75" i="32"/>
  <c r="D64" i="32"/>
  <c r="D71" i="32"/>
  <c r="D75" i="32"/>
  <c r="D33" i="32"/>
  <c r="F65" i="10" l="1"/>
  <c r="L68" i="10"/>
  <c r="K68" i="10"/>
  <c r="I68" i="10"/>
  <c r="H68" i="10"/>
  <c r="M68" i="10" s="1"/>
  <c r="C33" i="10" l="1"/>
  <c r="F62" i="33" l="1"/>
  <c r="J35" i="33"/>
  <c r="F39" i="32"/>
  <c r="F35" i="33" s="1"/>
  <c r="I46" i="32"/>
  <c r="I38" i="32"/>
  <c r="H14" i="32" l="1"/>
  <c r="L14" i="32" s="1"/>
  <c r="D15" i="32"/>
  <c r="E15" i="32"/>
  <c r="F15" i="32"/>
  <c r="G15" i="32"/>
  <c r="H15" i="32"/>
  <c r="J15" i="32"/>
  <c r="K15" i="32"/>
  <c r="L15" i="32"/>
  <c r="C16" i="32"/>
  <c r="C17" i="32"/>
  <c r="D17" i="32"/>
  <c r="F17" i="32"/>
  <c r="J17" i="32"/>
  <c r="C18" i="32"/>
  <c r="H18" i="32"/>
  <c r="I18" i="32"/>
  <c r="L18" i="32"/>
  <c r="M18" i="32"/>
  <c r="C19" i="32"/>
  <c r="H19" i="32"/>
  <c r="I19" i="32"/>
  <c r="L19" i="32"/>
  <c r="M19" i="32"/>
  <c r="H20" i="32"/>
  <c r="I20" i="32"/>
  <c r="L20" i="32"/>
  <c r="M20" i="32"/>
  <c r="C21" i="32"/>
  <c r="D21" i="32"/>
  <c r="F21" i="32"/>
  <c r="J21" i="32"/>
  <c r="C22" i="32"/>
  <c r="H22" i="32"/>
  <c r="I22" i="32"/>
  <c r="L22" i="32"/>
  <c r="M22" i="32"/>
  <c r="C23" i="32"/>
  <c r="H23" i="32"/>
  <c r="I23" i="32"/>
  <c r="L23" i="32"/>
  <c r="M23" i="32"/>
  <c r="H24" i="32"/>
  <c r="I24" i="32"/>
  <c r="L24" i="32"/>
  <c r="M24" i="32"/>
  <c r="H25" i="32"/>
  <c r="I25" i="32"/>
  <c r="L25" i="32"/>
  <c r="M25" i="32"/>
  <c r="H26" i="32"/>
  <c r="I26" i="32"/>
  <c r="L26" i="32"/>
  <c r="M26" i="32"/>
  <c r="C27" i="32"/>
  <c r="D27" i="32"/>
  <c r="F27" i="32"/>
  <c r="J27" i="32"/>
  <c r="C28" i="32"/>
  <c r="H28" i="32"/>
  <c r="I28" i="32"/>
  <c r="L28" i="32"/>
  <c r="M28" i="32"/>
  <c r="C29" i="32"/>
  <c r="H29" i="32"/>
  <c r="I29" i="32"/>
  <c r="L29" i="32"/>
  <c r="M29" i="32"/>
  <c r="H30" i="32"/>
  <c r="I30" i="32"/>
  <c r="L30" i="32"/>
  <c r="M30" i="32"/>
  <c r="H31" i="32"/>
  <c r="I31" i="32"/>
  <c r="L31" i="32"/>
  <c r="M31" i="32"/>
  <c r="C32" i="32"/>
  <c r="H32" i="32"/>
  <c r="I32" i="32"/>
  <c r="L32" i="32"/>
  <c r="M32" i="32"/>
  <c r="C33" i="32"/>
  <c r="F33" i="32"/>
  <c r="J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H37" i="32"/>
  <c r="I37" i="32"/>
  <c r="L37" i="32"/>
  <c r="M37" i="32"/>
  <c r="C38" i="32"/>
  <c r="H38" i="32"/>
  <c r="L38" i="32"/>
  <c r="M38" i="32"/>
  <c r="H39" i="32"/>
  <c r="I39" i="32"/>
  <c r="L39" i="32"/>
  <c r="M39" i="32"/>
  <c r="C40" i="32"/>
  <c r="C41" i="32"/>
  <c r="C42" i="32"/>
  <c r="D42" i="32"/>
  <c r="F42" i="32"/>
  <c r="J42" i="32"/>
  <c r="C43" i="32"/>
  <c r="H43" i="32"/>
  <c r="I43" i="32"/>
  <c r="L43" i="32"/>
  <c r="M43" i="32"/>
  <c r="C44" i="32"/>
  <c r="H44" i="32"/>
  <c r="I44" i="32"/>
  <c r="L44" i="32"/>
  <c r="M44" i="32"/>
  <c r="C45" i="32"/>
  <c r="H45" i="32"/>
  <c r="I45" i="32"/>
  <c r="L45" i="32"/>
  <c r="M45" i="32"/>
  <c r="C46" i="32"/>
  <c r="H46" i="32"/>
  <c r="L46" i="32"/>
  <c r="M46" i="32"/>
  <c r="C47" i="32"/>
  <c r="H47" i="32"/>
  <c r="I47" i="32"/>
  <c r="L47" i="32"/>
  <c r="M47" i="32"/>
  <c r="C48" i="32"/>
  <c r="H48" i="32"/>
  <c r="I48" i="32"/>
  <c r="L48" i="32"/>
  <c r="M48" i="32"/>
  <c r="C49" i="32"/>
  <c r="H49" i="32"/>
  <c r="I49" i="32"/>
  <c r="L49" i="32"/>
  <c r="M49" i="32"/>
  <c r="C50" i="32"/>
  <c r="H50" i="32"/>
  <c r="I50" i="32"/>
  <c r="L50" i="32"/>
  <c r="M50" i="32"/>
  <c r="C51" i="32"/>
  <c r="H51" i="32"/>
  <c r="I51" i="32"/>
  <c r="L51" i="32"/>
  <c r="M51" i="32"/>
  <c r="C52" i="32"/>
  <c r="D52" i="32"/>
  <c r="F52" i="32"/>
  <c r="J52" i="32"/>
  <c r="H53" i="32"/>
  <c r="I53" i="32"/>
  <c r="L53" i="32"/>
  <c r="M53" i="32"/>
  <c r="H54" i="32"/>
  <c r="I54" i="32"/>
  <c r="L54" i="32"/>
  <c r="M54" i="32"/>
  <c r="C55" i="32"/>
  <c r="D55" i="32"/>
  <c r="F55" i="32"/>
  <c r="J55" i="32"/>
  <c r="H56" i="32"/>
  <c r="I56" i="32"/>
  <c r="L56" i="32"/>
  <c r="M56" i="32"/>
  <c r="H57" i="32"/>
  <c r="I57" i="32"/>
  <c r="L57" i="32"/>
  <c r="M57" i="32"/>
  <c r="C58" i="32"/>
  <c r="H58" i="32"/>
  <c r="I58" i="32"/>
  <c r="L58" i="32"/>
  <c r="M58" i="32"/>
  <c r="C59" i="32"/>
  <c r="H59" i="32"/>
  <c r="I59" i="32"/>
  <c r="L59" i="32"/>
  <c r="M59" i="32"/>
  <c r="C60" i="32"/>
  <c r="H60" i="32"/>
  <c r="I60" i="32"/>
  <c r="L60" i="32"/>
  <c r="M60" i="32"/>
  <c r="H61" i="32"/>
  <c r="I61" i="32"/>
  <c r="L61" i="32"/>
  <c r="M61" i="32"/>
  <c r="H63" i="32"/>
  <c r="J63" i="32" s="1"/>
  <c r="L63" i="32" s="1"/>
  <c r="C64" i="32"/>
  <c r="C65" i="32"/>
  <c r="C66" i="32"/>
  <c r="D66" i="32"/>
  <c r="F66" i="32"/>
  <c r="J66" i="32"/>
  <c r="C67" i="32"/>
  <c r="H67" i="32"/>
  <c r="I67" i="32"/>
  <c r="L67" i="32"/>
  <c r="M67" i="32"/>
  <c r="C68" i="32"/>
  <c r="H68" i="32"/>
  <c r="I68" i="32"/>
  <c r="L68" i="32"/>
  <c r="M68" i="32"/>
  <c r="C69" i="32"/>
  <c r="H69" i="32"/>
  <c r="I69" i="32"/>
  <c r="L69" i="32"/>
  <c r="M69" i="32"/>
  <c r="C70" i="32"/>
  <c r="C71" i="32"/>
  <c r="C72" i="32"/>
  <c r="H72" i="32"/>
  <c r="I72" i="32"/>
  <c r="L72" i="32"/>
  <c r="M72" i="32"/>
  <c r="C73" i="32"/>
  <c r="H73" i="32"/>
  <c r="I73" i="32"/>
  <c r="L73" i="32"/>
  <c r="M73" i="32"/>
  <c r="C74" i="32"/>
  <c r="H74" i="32"/>
  <c r="I74" i="32"/>
  <c r="L74" i="32"/>
  <c r="M74" i="32"/>
  <c r="C75" i="32"/>
  <c r="H76" i="32"/>
  <c r="I76" i="32"/>
  <c r="L76" i="32"/>
  <c r="M76" i="32"/>
  <c r="H55" i="32" l="1"/>
  <c r="I33" i="32"/>
  <c r="H52" i="32"/>
  <c r="J16" i="32"/>
  <c r="H66" i="32"/>
  <c r="M33" i="32"/>
  <c r="L55" i="32"/>
  <c r="L52" i="32"/>
  <c r="H17" i="32"/>
  <c r="L66" i="32"/>
  <c r="F16" i="32"/>
  <c r="L17" i="32"/>
  <c r="D16" i="32"/>
  <c r="I52" i="32"/>
  <c r="M52" i="32"/>
  <c r="D40" i="32"/>
  <c r="M42" i="32"/>
  <c r="I42" i="32"/>
  <c r="L33" i="32"/>
  <c r="H33" i="32"/>
  <c r="M27" i="32"/>
  <c r="I27" i="32"/>
  <c r="M21" i="32"/>
  <c r="I21" i="32"/>
  <c r="M66" i="32"/>
  <c r="I66" i="32"/>
  <c r="M55" i="32"/>
  <c r="I55" i="32"/>
  <c r="L42" i="32"/>
  <c r="H42" i="32"/>
  <c r="J40" i="32"/>
  <c r="F40" i="32"/>
  <c r="L27" i="32"/>
  <c r="H27" i="32"/>
  <c r="L21" i="32"/>
  <c r="H21" i="32"/>
  <c r="M17" i="32"/>
  <c r="I17" i="32"/>
  <c r="J64" i="32" l="1"/>
  <c r="J70" i="32" s="1"/>
  <c r="F64" i="32"/>
  <c r="H16" i="32"/>
  <c r="D70" i="32"/>
  <c r="M16" i="32"/>
  <c r="I16" i="32"/>
  <c r="L16" i="32"/>
  <c r="I40" i="32"/>
  <c r="M40" i="32"/>
  <c r="L40" i="32"/>
  <c r="D41" i="32"/>
  <c r="H40" i="32"/>
  <c r="F41" i="32"/>
  <c r="J41" i="32"/>
  <c r="J65" i="32" l="1"/>
  <c r="D65" i="32"/>
  <c r="M64" i="32"/>
  <c r="I64" i="32"/>
  <c r="L64" i="32"/>
  <c r="M41" i="32"/>
  <c r="H41" i="32"/>
  <c r="L41" i="32"/>
  <c r="I41" i="32"/>
  <c r="L70" i="32"/>
  <c r="F70" i="32"/>
  <c r="F65" i="32"/>
  <c r="H64" i="32"/>
  <c r="D63" i="33"/>
  <c r="D47" i="33"/>
  <c r="D57" i="33"/>
  <c r="D55" i="33" s="1"/>
  <c r="E56" i="10"/>
  <c r="E55" i="10"/>
  <c r="J62" i="33"/>
  <c r="M65" i="32" l="1"/>
  <c r="L65" i="32"/>
  <c r="M70" i="32"/>
  <c r="H70" i="32"/>
  <c r="I65" i="32"/>
  <c r="I70" i="32"/>
  <c r="H65" i="32"/>
  <c r="F75" i="32"/>
  <c r="F71" i="32" s="1"/>
  <c r="M71" i="32" l="1"/>
  <c r="I75" i="32"/>
  <c r="L75" i="32"/>
  <c r="M75" i="32"/>
  <c r="H75" i="32"/>
  <c r="I71" i="32" l="1"/>
  <c r="L71" i="32"/>
  <c r="H71" i="32"/>
  <c r="J34" i="33" l="1"/>
  <c r="D74" i="33"/>
  <c r="D73" i="33"/>
  <c r="D72" i="33"/>
  <c r="D68" i="33"/>
  <c r="D67" i="33"/>
  <c r="D62" i="33"/>
  <c r="D61" i="33"/>
  <c r="D60" i="33"/>
  <c r="D59" i="33"/>
  <c r="D58" i="33"/>
  <c r="D48" i="33"/>
  <c r="D46" i="33"/>
  <c r="D45" i="33"/>
  <c r="D44" i="33"/>
  <c r="D43" i="33"/>
  <c r="D42" i="33"/>
  <c r="D41" i="33"/>
  <c r="D40" i="33"/>
  <c r="D39" i="33"/>
  <c r="D34" i="33"/>
  <c r="D33" i="33"/>
  <c r="D32" i="33"/>
  <c r="D31" i="33"/>
  <c r="D25" i="33"/>
  <c r="D24" i="33"/>
  <c r="D23" i="33"/>
  <c r="D22" i="33"/>
  <c r="D21" i="33"/>
  <c r="D20" i="33"/>
  <c r="D19" i="33"/>
  <c r="D18" i="33"/>
  <c r="L73" i="10" l="1"/>
  <c r="F31" i="33" l="1"/>
  <c r="D37" i="10"/>
  <c r="D48" i="10"/>
  <c r="D17" i="10"/>
  <c r="E17" i="10" s="1"/>
  <c r="D25" i="10"/>
  <c r="J65" i="10"/>
  <c r="G65" i="10"/>
  <c r="D65" i="10"/>
  <c r="J67" i="33"/>
  <c r="L67" i="33" s="1"/>
  <c r="J68" i="33"/>
  <c r="F67" i="33"/>
  <c r="F68" i="33"/>
  <c r="J17" i="10"/>
  <c r="J25" i="10"/>
  <c r="F32" i="33"/>
  <c r="J37" i="10"/>
  <c r="H73" i="10"/>
  <c r="M73" i="10" s="1"/>
  <c r="H72" i="10"/>
  <c r="M72" i="10" s="1"/>
  <c r="H71" i="10"/>
  <c r="M71" i="10" s="1"/>
  <c r="M59" i="10"/>
  <c r="M58" i="10"/>
  <c r="M57" i="10"/>
  <c r="M54" i="10"/>
  <c r="M53" i="10"/>
  <c r="M52" i="10"/>
  <c r="M51" i="10"/>
  <c r="M50" i="10"/>
  <c r="M49" i="10"/>
  <c r="M47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7" i="10"/>
  <c r="M60" i="10"/>
  <c r="F25" i="10"/>
  <c r="F17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J70" i="36" s="1"/>
  <c r="D70" i="36"/>
  <c r="C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D60" i="36" s="1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 s="1"/>
  <c r="E54" i="36"/>
  <c r="F54" i="36" s="1"/>
  <c r="C54" i="36"/>
  <c r="D54" i="36" s="1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 s="1"/>
  <c r="C43" i="36"/>
  <c r="D43" i="36" s="1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 s="1"/>
  <c r="E34" i="36"/>
  <c r="F34" i="36" s="1"/>
  <c r="D34" i="36"/>
  <c r="C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H27" i="36" s="1"/>
  <c r="E27" i="36"/>
  <c r="F27" i="36" s="1"/>
  <c r="C27" i="36"/>
  <c r="D27" i="36" s="1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 s="1"/>
  <c r="F22" i="36"/>
  <c r="E22" i="36"/>
  <c r="C22" i="36"/>
  <c r="D22" i="36" s="1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H17" i="36" s="1"/>
  <c r="E17" i="36"/>
  <c r="F17" i="36" s="1"/>
  <c r="C17" i="36"/>
  <c r="D17" i="36" s="1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G8" i="36" s="1"/>
  <c r="L16" i="36" s="1"/>
  <c r="E9" i="36"/>
  <c r="F9" i="36" s="1"/>
  <c r="C9" i="36"/>
  <c r="C8" i="36" s="1"/>
  <c r="D7" i="36"/>
  <c r="C7" i="36"/>
  <c r="P7" i="31"/>
  <c r="P6" i="31"/>
  <c r="P5" i="31"/>
  <c r="E22" i="30"/>
  <c r="E21" i="30"/>
  <c r="E20" i="30"/>
  <c r="E19" i="30"/>
  <c r="E18" i="30" s="1"/>
  <c r="G18" i="30" s="1"/>
  <c r="E15" i="30"/>
  <c r="E14" i="30"/>
  <c r="E13" i="30"/>
  <c r="E12" i="30" s="1"/>
  <c r="G12" i="30" s="1"/>
  <c r="E11" i="30"/>
  <c r="E9" i="30"/>
  <c r="E7" i="30"/>
  <c r="G7" i="30" s="1"/>
  <c r="E8" i="30"/>
  <c r="D58" i="29"/>
  <c r="D57" i="29"/>
  <c r="D56" i="29" s="1"/>
  <c r="D55" i="29" s="1"/>
  <c r="D53" i="29"/>
  <c r="D52" i="29" s="1"/>
  <c r="D45" i="29"/>
  <c r="D44" i="29"/>
  <c r="D37" i="29"/>
  <c r="D36" i="29" s="1"/>
  <c r="D35" i="29"/>
  <c r="D34" i="29"/>
  <c r="D33" i="29"/>
  <c r="D32" i="29"/>
  <c r="D31" i="29" s="1"/>
  <c r="D30" i="29"/>
  <c r="D29" i="29"/>
  <c r="D28" i="29"/>
  <c r="D27" i="29"/>
  <c r="D26" i="29"/>
  <c r="D25" i="29"/>
  <c r="D24" i="29" s="1"/>
  <c r="D23" i="29"/>
  <c r="D22" i="29"/>
  <c r="D21" i="29"/>
  <c r="D20" i="29"/>
  <c r="D19" i="29"/>
  <c r="D18" i="29"/>
  <c r="D17" i="29"/>
  <c r="D16" i="29"/>
  <c r="D15" i="29"/>
  <c r="D14" i="29" s="1"/>
  <c r="D13" i="29"/>
  <c r="D12" i="29"/>
  <c r="D11" i="29"/>
  <c r="D10" i="29"/>
  <c r="D9" i="29"/>
  <c r="D8" i="29"/>
  <c r="D7" i="29"/>
  <c r="D6" i="29" s="1"/>
  <c r="F4" i="29"/>
  <c r="C77" i="33"/>
  <c r="J74" i="33"/>
  <c r="F74" i="33"/>
  <c r="J73" i="33"/>
  <c r="F73" i="33"/>
  <c r="J72" i="33"/>
  <c r="F72" i="33"/>
  <c r="J69" i="33"/>
  <c r="F69" i="33"/>
  <c r="D69" i="33"/>
  <c r="J63" i="33"/>
  <c r="F63" i="33"/>
  <c r="I62" i="33"/>
  <c r="J61" i="33"/>
  <c r="F61" i="33"/>
  <c r="J60" i="33"/>
  <c r="F60" i="33"/>
  <c r="J59" i="33"/>
  <c r="F59" i="33"/>
  <c r="J58" i="33"/>
  <c r="F58" i="33"/>
  <c r="J57" i="33"/>
  <c r="F57" i="33"/>
  <c r="I57" i="33" s="1"/>
  <c r="J54" i="33"/>
  <c r="F54" i="33"/>
  <c r="J53" i="33"/>
  <c r="F53" i="33"/>
  <c r="J52" i="33"/>
  <c r="F52" i="33"/>
  <c r="J51" i="33"/>
  <c r="F51" i="33"/>
  <c r="J50" i="33"/>
  <c r="F50" i="33"/>
  <c r="J48" i="10"/>
  <c r="J49" i="33" s="1"/>
  <c r="F48" i="10"/>
  <c r="F49" i="33" s="1"/>
  <c r="J48" i="33"/>
  <c r="F48" i="33"/>
  <c r="J47" i="33"/>
  <c r="F47" i="33"/>
  <c r="J46" i="33"/>
  <c r="F46" i="33"/>
  <c r="J45" i="33"/>
  <c r="F45" i="33"/>
  <c r="J44" i="33"/>
  <c r="F44" i="33"/>
  <c r="J43" i="33"/>
  <c r="F43" i="33"/>
  <c r="J42" i="33"/>
  <c r="F42" i="33"/>
  <c r="J41" i="33"/>
  <c r="F41" i="33"/>
  <c r="J40" i="33"/>
  <c r="F40" i="33"/>
  <c r="J39" i="33"/>
  <c r="F39" i="33"/>
  <c r="F34" i="33"/>
  <c r="C34" i="33"/>
  <c r="J33" i="33"/>
  <c r="F33" i="33"/>
  <c r="C33" i="33"/>
  <c r="J32" i="33"/>
  <c r="C32" i="33"/>
  <c r="J31" i="33"/>
  <c r="C31" i="33"/>
  <c r="J30" i="33"/>
  <c r="F30" i="33"/>
  <c r="D30" i="33"/>
  <c r="C30" i="33"/>
  <c r="J29" i="33"/>
  <c r="F29" i="33"/>
  <c r="D29" i="33"/>
  <c r="C29" i="33"/>
  <c r="J28" i="33"/>
  <c r="F28" i="33"/>
  <c r="D28" i="33"/>
  <c r="C28" i="33"/>
  <c r="J27" i="33"/>
  <c r="F27" i="33"/>
  <c r="D27" i="33"/>
  <c r="C27" i="33"/>
  <c r="C26" i="33"/>
  <c r="J25" i="33"/>
  <c r="F25" i="33"/>
  <c r="J24" i="33"/>
  <c r="F24" i="33"/>
  <c r="J23" i="33"/>
  <c r="F23" i="33"/>
  <c r="C23" i="33"/>
  <c r="J22" i="33"/>
  <c r="F22" i="33"/>
  <c r="C22" i="33"/>
  <c r="J21" i="33"/>
  <c r="F21" i="33"/>
  <c r="C21" i="33"/>
  <c r="J20" i="33"/>
  <c r="F20" i="33"/>
  <c r="C20" i="33"/>
  <c r="J19" i="33"/>
  <c r="F19" i="33"/>
  <c r="C19" i="33"/>
  <c r="J18" i="33"/>
  <c r="F18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H14" i="33"/>
  <c r="L14" i="33" s="1"/>
  <c r="J11" i="33"/>
  <c r="D11" i="33"/>
  <c r="C11" i="33"/>
  <c r="C77" i="32"/>
  <c r="K11" i="32"/>
  <c r="J11" i="32"/>
  <c r="D11" i="32"/>
  <c r="C75" i="10"/>
  <c r="K17" i="10"/>
  <c r="K25" i="10"/>
  <c r="F37" i="10"/>
  <c r="F35" i="10" s="1"/>
  <c r="K73" i="10"/>
  <c r="I73" i="10"/>
  <c r="G73" i="10"/>
  <c r="E73" i="10"/>
  <c r="L72" i="10"/>
  <c r="K72" i="10"/>
  <c r="I72" i="10"/>
  <c r="G72" i="10"/>
  <c r="E72" i="10"/>
  <c r="L71" i="10"/>
  <c r="K71" i="10"/>
  <c r="I71" i="10"/>
  <c r="G71" i="10"/>
  <c r="E71" i="10"/>
  <c r="G68" i="10"/>
  <c r="E68" i="10"/>
  <c r="L67" i="10"/>
  <c r="K67" i="10"/>
  <c r="I67" i="10"/>
  <c r="H67" i="10"/>
  <c r="M67" i="10" s="1"/>
  <c r="G67" i="10"/>
  <c r="E67" i="10"/>
  <c r="L66" i="10"/>
  <c r="K66" i="10"/>
  <c r="I66" i="10"/>
  <c r="H66" i="10"/>
  <c r="M66" i="10" s="1"/>
  <c r="G66" i="10"/>
  <c r="E66" i="10"/>
  <c r="K65" i="10"/>
  <c r="L62" i="10"/>
  <c r="K62" i="10"/>
  <c r="I62" i="10"/>
  <c r="H62" i="10"/>
  <c r="M62" i="10" s="1"/>
  <c r="G62" i="10"/>
  <c r="E62" i="10"/>
  <c r="L61" i="10"/>
  <c r="K61" i="10"/>
  <c r="I61" i="10"/>
  <c r="H61" i="10"/>
  <c r="M61" i="10" s="1"/>
  <c r="G61" i="10"/>
  <c r="E61" i="10"/>
  <c r="L60" i="10"/>
  <c r="K60" i="10"/>
  <c r="I60" i="10"/>
  <c r="H60" i="10"/>
  <c r="G60" i="10"/>
  <c r="E60" i="10"/>
  <c r="L59" i="10"/>
  <c r="K59" i="10"/>
  <c r="I59" i="10"/>
  <c r="H59" i="10"/>
  <c r="G59" i="10"/>
  <c r="E59" i="10"/>
  <c r="L58" i="10"/>
  <c r="K58" i="10"/>
  <c r="I58" i="10"/>
  <c r="H58" i="10"/>
  <c r="G58" i="10"/>
  <c r="E58" i="10"/>
  <c r="K57" i="10"/>
  <c r="I57" i="10"/>
  <c r="H57" i="10"/>
  <c r="G57" i="10"/>
  <c r="E57" i="10"/>
  <c r="L54" i="10"/>
  <c r="K54" i="10"/>
  <c r="I54" i="10"/>
  <c r="H54" i="10"/>
  <c r="G54" i="10"/>
  <c r="E54" i="10"/>
  <c r="L53" i="10"/>
  <c r="K53" i="10"/>
  <c r="I53" i="10"/>
  <c r="H53" i="10"/>
  <c r="G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L47" i="10"/>
  <c r="K47" i="10"/>
  <c r="I47" i="10"/>
  <c r="H47" i="10"/>
  <c r="G47" i="10"/>
  <c r="E47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H38" i="10"/>
  <c r="G38" i="10"/>
  <c r="E38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I25" i="10"/>
  <c r="G25" i="10"/>
  <c r="C25" i="10"/>
  <c r="L24" i="10"/>
  <c r="K24" i="10"/>
  <c r="I24" i="10"/>
  <c r="H24" i="10"/>
  <c r="G24" i="10"/>
  <c r="E24" i="10"/>
  <c r="L23" i="10"/>
  <c r="K23" i="10"/>
  <c r="I23" i="10"/>
  <c r="H23" i="10"/>
  <c r="G23" i="10"/>
  <c r="E23" i="10"/>
  <c r="C23" i="10"/>
  <c r="L22" i="10"/>
  <c r="K22" i="10"/>
  <c r="I22" i="10"/>
  <c r="H22" i="10"/>
  <c r="G22" i="10"/>
  <c r="E22" i="10"/>
  <c r="C22" i="10"/>
  <c r="L21" i="10"/>
  <c r="K21" i="10"/>
  <c r="I21" i="10"/>
  <c r="H21" i="10"/>
  <c r="G21" i="10"/>
  <c r="E21" i="10"/>
  <c r="C21" i="10"/>
  <c r="L20" i="10"/>
  <c r="K20" i="10"/>
  <c r="I20" i="10"/>
  <c r="H20" i="10"/>
  <c r="G20" i="10"/>
  <c r="E20" i="10"/>
  <c r="C20" i="10"/>
  <c r="L19" i="10"/>
  <c r="K19" i="10"/>
  <c r="I19" i="10"/>
  <c r="H19" i="10"/>
  <c r="G19" i="10"/>
  <c r="E19" i="10"/>
  <c r="C19" i="10"/>
  <c r="L18" i="10"/>
  <c r="K18" i="10"/>
  <c r="I18" i="10"/>
  <c r="H18" i="10"/>
  <c r="G18" i="10"/>
  <c r="E18" i="10"/>
  <c r="C18" i="10"/>
  <c r="C17" i="10"/>
  <c r="C16" i="10"/>
  <c r="E15" i="10"/>
  <c r="D15" i="10"/>
  <c r="C15" i="10"/>
  <c r="L14" i="10"/>
  <c r="C14" i="10"/>
  <c r="C11" i="10"/>
  <c r="C11" i="32" s="1"/>
  <c r="J9" i="10"/>
  <c r="J8" i="10"/>
  <c r="E25" i="10"/>
  <c r="H25" i="10"/>
  <c r="J27" i="36"/>
  <c r="I22" i="36"/>
  <c r="J22" i="36"/>
  <c r="J34" i="36"/>
  <c r="H43" i="36"/>
  <c r="I54" i="36"/>
  <c r="J54" i="36"/>
  <c r="I70" i="36"/>
  <c r="E48" i="10"/>
  <c r="L25" i="10"/>
  <c r="I17" i="36"/>
  <c r="J60" i="36"/>
  <c r="H60" i="36"/>
  <c r="G41" i="36"/>
  <c r="H79" i="36"/>
  <c r="G75" i="36"/>
  <c r="M25" i="10"/>
  <c r="J17" i="36"/>
  <c r="F60" i="36"/>
  <c r="I60" i="36"/>
  <c r="G42" i="36"/>
  <c r="H41" i="36"/>
  <c r="H75" i="36"/>
  <c r="K62" i="33" l="1"/>
  <c r="K75" i="33"/>
  <c r="K48" i="10"/>
  <c r="E25" i="33"/>
  <c r="G75" i="33"/>
  <c r="E75" i="33"/>
  <c r="K37" i="10"/>
  <c r="J35" i="10"/>
  <c r="F88" i="33"/>
  <c r="G48" i="10"/>
  <c r="G37" i="10"/>
  <c r="H48" i="10"/>
  <c r="L48" i="10"/>
  <c r="M48" i="10"/>
  <c r="I48" i="10"/>
  <c r="J16" i="10"/>
  <c r="J83" i="33" s="1"/>
  <c r="I17" i="10"/>
  <c r="D16" i="10"/>
  <c r="E41" i="36"/>
  <c r="F41" i="36" s="1"/>
  <c r="I9" i="36"/>
  <c r="H9" i="36"/>
  <c r="M17" i="10"/>
  <c r="I27" i="36"/>
  <c r="E6" i="30"/>
  <c r="J43" i="36"/>
  <c r="D35" i="10"/>
  <c r="L65" i="10"/>
  <c r="I43" i="36"/>
  <c r="D26" i="33"/>
  <c r="E33" i="33"/>
  <c r="E5" i="30"/>
  <c r="E4" i="30" s="1"/>
  <c r="D5" i="29"/>
  <c r="D4" i="29" s="1"/>
  <c r="G4" i="29" s="1"/>
  <c r="D8" i="36"/>
  <c r="H42" i="36"/>
  <c r="J41" i="36"/>
  <c r="E42" i="36"/>
  <c r="E8" i="36"/>
  <c r="I8" i="36" s="1"/>
  <c r="C41" i="36"/>
  <c r="C68" i="36" s="1"/>
  <c r="J9" i="36"/>
  <c r="H65" i="10"/>
  <c r="M65" i="10" s="1"/>
  <c r="I34" i="36"/>
  <c r="F16" i="10"/>
  <c r="F63" i="10" s="1"/>
  <c r="G17" i="10"/>
  <c r="D9" i="36"/>
  <c r="F70" i="36"/>
  <c r="D49" i="33"/>
  <c r="H8" i="36"/>
  <c r="I65" i="10"/>
  <c r="G68" i="36"/>
  <c r="E65" i="10"/>
  <c r="H17" i="10"/>
  <c r="L17" i="10"/>
  <c r="E10" i="30"/>
  <c r="G4" i="30"/>
  <c r="K21" i="33"/>
  <c r="E41" i="32"/>
  <c r="E70" i="32"/>
  <c r="G64" i="32"/>
  <c r="E65" i="32"/>
  <c r="G41" i="32"/>
  <c r="G65" i="32"/>
  <c r="G70" i="32"/>
  <c r="E75" i="32"/>
  <c r="E71" i="32"/>
  <c r="G75" i="32"/>
  <c r="G71" i="32"/>
  <c r="K41" i="32"/>
  <c r="K65" i="32"/>
  <c r="K70" i="32"/>
  <c r="K75" i="32"/>
  <c r="K71" i="32"/>
  <c r="E22" i="32"/>
  <c r="E23" i="32"/>
  <c r="G24" i="32"/>
  <c r="E28" i="32"/>
  <c r="E29" i="32"/>
  <c r="G30" i="32"/>
  <c r="G39" i="32"/>
  <c r="E43" i="32"/>
  <c r="E44" i="32"/>
  <c r="E45" i="32"/>
  <c r="E46" i="32"/>
  <c r="G47" i="32"/>
  <c r="G48" i="32"/>
  <c r="G49" i="32"/>
  <c r="G50" i="32"/>
  <c r="G51" i="32"/>
  <c r="E54" i="32"/>
  <c r="E61" i="32"/>
  <c r="G63" i="32"/>
  <c r="G67" i="32"/>
  <c r="G68" i="32"/>
  <c r="G69" i="32"/>
  <c r="G76" i="32"/>
  <c r="E39" i="32"/>
  <c r="E48" i="32"/>
  <c r="E20" i="32"/>
  <c r="G22" i="32"/>
  <c r="G23" i="32"/>
  <c r="E26" i="32"/>
  <c r="G28" i="32"/>
  <c r="G29" i="32"/>
  <c r="E34" i="32"/>
  <c r="E35" i="32"/>
  <c r="E36" i="32"/>
  <c r="E37" i="32"/>
  <c r="E38" i="32"/>
  <c r="G43" i="32"/>
  <c r="G44" i="32"/>
  <c r="G45" i="32"/>
  <c r="G46" i="32"/>
  <c r="E53" i="32"/>
  <c r="G54" i="32"/>
  <c r="E57" i="32"/>
  <c r="E58" i="32"/>
  <c r="E59" i="32"/>
  <c r="E60" i="32"/>
  <c r="G61" i="32"/>
  <c r="E72" i="32"/>
  <c r="E73" i="32"/>
  <c r="E74" i="32"/>
  <c r="E24" i="32"/>
  <c r="G25" i="32"/>
  <c r="E30" i="32"/>
  <c r="E49" i="32"/>
  <c r="E18" i="32"/>
  <c r="E19" i="32"/>
  <c r="G20" i="32"/>
  <c r="E25" i="32"/>
  <c r="G26" i="32"/>
  <c r="E31" i="32"/>
  <c r="E32" i="32"/>
  <c r="G34" i="32"/>
  <c r="G35" i="32"/>
  <c r="G36" i="32"/>
  <c r="G37" i="32"/>
  <c r="G38" i="32"/>
  <c r="G52" i="32"/>
  <c r="G53" i="32"/>
  <c r="E56" i="32"/>
  <c r="G57" i="32"/>
  <c r="G58" i="32"/>
  <c r="G59" i="32"/>
  <c r="G60" i="32"/>
  <c r="G72" i="32"/>
  <c r="G73" i="32"/>
  <c r="G74" i="32"/>
  <c r="G18" i="32"/>
  <c r="G19" i="32"/>
  <c r="G31" i="32"/>
  <c r="G32" i="32"/>
  <c r="E33" i="32"/>
  <c r="E47" i="32"/>
  <c r="E50" i="32"/>
  <c r="G55" i="32"/>
  <c r="G66" i="32"/>
  <c r="E69" i="32"/>
  <c r="E76" i="32"/>
  <c r="E51" i="32"/>
  <c r="G56" i="32"/>
  <c r="E63" i="32"/>
  <c r="E68" i="32"/>
  <c r="E67" i="32"/>
  <c r="G27" i="32"/>
  <c r="E55" i="32"/>
  <c r="E16" i="32"/>
  <c r="E17" i="32"/>
  <c r="G42" i="32"/>
  <c r="G16" i="32"/>
  <c r="E21" i="32"/>
  <c r="G17" i="32"/>
  <c r="G33" i="32"/>
  <c r="E42" i="32"/>
  <c r="E52" i="32"/>
  <c r="E66" i="32"/>
  <c r="E27" i="32"/>
  <c r="G21" i="32"/>
  <c r="E64" i="32"/>
  <c r="G40" i="32"/>
  <c r="E40" i="32"/>
  <c r="K22" i="32"/>
  <c r="K23" i="32"/>
  <c r="K28" i="32"/>
  <c r="K29" i="32"/>
  <c r="K38" i="32"/>
  <c r="K43" i="32"/>
  <c r="K44" i="32"/>
  <c r="K45" i="32"/>
  <c r="K54" i="32"/>
  <c r="K61" i="32"/>
  <c r="K46" i="32"/>
  <c r="K49" i="32"/>
  <c r="K20" i="32"/>
  <c r="K26" i="32"/>
  <c r="K34" i="32"/>
  <c r="K35" i="32"/>
  <c r="K36" i="32"/>
  <c r="K37" i="32"/>
  <c r="K53" i="32"/>
  <c r="K57" i="32"/>
  <c r="K58" i="32"/>
  <c r="K59" i="32"/>
  <c r="K60" i="32"/>
  <c r="K72" i="32"/>
  <c r="K73" i="32"/>
  <c r="K74" i="32"/>
  <c r="K30" i="32"/>
  <c r="K47" i="32"/>
  <c r="K18" i="32"/>
  <c r="K19" i="32"/>
  <c r="K25" i="32"/>
  <c r="K31" i="32"/>
  <c r="K32" i="32"/>
  <c r="K52" i="32"/>
  <c r="K56" i="32"/>
  <c r="K24" i="32"/>
  <c r="K39" i="32"/>
  <c r="K48" i="32"/>
  <c r="K51" i="32"/>
  <c r="K63" i="32"/>
  <c r="K68" i="32"/>
  <c r="K69" i="32"/>
  <c r="K76" i="32"/>
  <c r="K50" i="32"/>
  <c r="K67" i="32"/>
  <c r="K55" i="32"/>
  <c r="K66" i="32"/>
  <c r="K21" i="32"/>
  <c r="K27" i="32"/>
  <c r="K17" i="32"/>
  <c r="K42" i="32"/>
  <c r="K16" i="32"/>
  <c r="K33" i="32"/>
  <c r="K64" i="32"/>
  <c r="K40" i="32"/>
  <c r="J26" i="33"/>
  <c r="K26" i="33" s="1"/>
  <c r="H37" i="10"/>
  <c r="L37" i="10"/>
  <c r="M37" i="10"/>
  <c r="I37" i="10"/>
  <c r="E37" i="10"/>
  <c r="K28" i="33"/>
  <c r="K30" i="33"/>
  <c r="K73" i="33"/>
  <c r="K20" i="33"/>
  <c r="K48" i="33"/>
  <c r="K53" i="33"/>
  <c r="K59" i="33"/>
  <c r="K63" i="33"/>
  <c r="K68" i="33"/>
  <c r="K24" i="33"/>
  <c r="K29" i="33"/>
  <c r="K19" i="33"/>
  <c r="K23" i="33"/>
  <c r="K31" i="33"/>
  <c r="K34" i="33"/>
  <c r="K41" i="33"/>
  <c r="K52" i="33"/>
  <c r="K56" i="33"/>
  <c r="K32" i="33"/>
  <c r="G49" i="33"/>
  <c r="K18" i="33"/>
  <c r="K22" i="33"/>
  <c r="G35" i="33"/>
  <c r="G42" i="33"/>
  <c r="K47" i="33"/>
  <c r="K58" i="33"/>
  <c r="K60" i="33"/>
  <c r="G60" i="33"/>
  <c r="K40" i="33"/>
  <c r="K42" i="33"/>
  <c r="K44" i="33"/>
  <c r="K49" i="33"/>
  <c r="F36" i="10"/>
  <c r="G35" i="10"/>
  <c r="E24" i="33"/>
  <c r="G25" i="33"/>
  <c r="E28" i="33"/>
  <c r="E29" i="33"/>
  <c r="E30" i="33"/>
  <c r="G33" i="33"/>
  <c r="G34" i="33"/>
  <c r="G41" i="33"/>
  <c r="E44" i="33"/>
  <c r="G45" i="33"/>
  <c r="E48" i="33"/>
  <c r="G50" i="33"/>
  <c r="E53" i="33"/>
  <c r="G54" i="33"/>
  <c r="G59" i="33"/>
  <c r="G63" i="33"/>
  <c r="G74" i="33"/>
  <c r="G32" i="33"/>
  <c r="G68" i="33"/>
  <c r="G31" i="33"/>
  <c r="E20" i="33"/>
  <c r="E22" i="33"/>
  <c r="G24" i="33"/>
  <c r="G27" i="33"/>
  <c r="G30" i="33"/>
  <c r="E39" i="33"/>
  <c r="G40" i="33"/>
  <c r="G44" i="33"/>
  <c r="E52" i="33"/>
  <c r="G53" i="33"/>
  <c r="G58" i="33"/>
  <c r="G62" i="33"/>
  <c r="G67" i="33"/>
  <c r="G18" i="33"/>
  <c r="G19" i="33"/>
  <c r="G20" i="33"/>
  <c r="G21" i="33"/>
  <c r="G22" i="33"/>
  <c r="G23" i="33"/>
  <c r="E35" i="33"/>
  <c r="G39" i="33"/>
  <c r="E42" i="33"/>
  <c r="G43" i="33"/>
  <c r="E46" i="33"/>
  <c r="G47" i="33"/>
  <c r="E51" i="33"/>
  <c r="G52" i="33"/>
  <c r="E56" i="33"/>
  <c r="G57" i="33"/>
  <c r="E60" i="33"/>
  <c r="G61" i="33"/>
  <c r="E69" i="33"/>
  <c r="G72" i="33"/>
  <c r="E68" i="33"/>
  <c r="I61" i="33"/>
  <c r="E63" i="33"/>
  <c r="I63" i="33"/>
  <c r="H72" i="33"/>
  <c r="E55" i="33"/>
  <c r="H19" i="33"/>
  <c r="H23" i="33"/>
  <c r="H34" i="33"/>
  <c r="I50" i="33"/>
  <c r="H54" i="33"/>
  <c r="H74" i="33"/>
  <c r="E67" i="33"/>
  <c r="H57" i="33"/>
  <c r="H44" i="33"/>
  <c r="I59" i="33"/>
  <c r="I52" i="33"/>
  <c r="M21" i="33"/>
  <c r="I29" i="33"/>
  <c r="M45" i="33"/>
  <c r="L61" i="33"/>
  <c r="I69" i="33"/>
  <c r="M72" i="33"/>
  <c r="J66" i="33"/>
  <c r="K66" i="33" s="1"/>
  <c r="I32" i="33"/>
  <c r="L25" i="33"/>
  <c r="H28" i="33"/>
  <c r="J38" i="33"/>
  <c r="M41" i="33"/>
  <c r="M43" i="33"/>
  <c r="H46" i="33"/>
  <c r="I51" i="33"/>
  <c r="I56" i="33"/>
  <c r="L57" i="33"/>
  <c r="I31" i="33"/>
  <c r="M28" i="33"/>
  <c r="M35" i="33"/>
  <c r="H40" i="33"/>
  <c r="L46" i="33"/>
  <c r="M51" i="33"/>
  <c r="L56" i="33"/>
  <c r="H58" i="33"/>
  <c r="L62" i="33"/>
  <c r="M69" i="33"/>
  <c r="M73" i="33"/>
  <c r="F66" i="33"/>
  <c r="G66" i="33" s="1"/>
  <c r="I33" i="33"/>
  <c r="K67" i="33"/>
  <c r="L28" i="33"/>
  <c r="L48" i="33"/>
  <c r="H33" i="33"/>
  <c r="I67" i="33"/>
  <c r="K46" i="33"/>
  <c r="M62" i="33"/>
  <c r="M33" i="33"/>
  <c r="M56" i="33"/>
  <c r="E58" i="33"/>
  <c r="L31" i="33"/>
  <c r="H29" i="33"/>
  <c r="M44" i="33"/>
  <c r="M29" i="33"/>
  <c r="K69" i="33"/>
  <c r="H25" i="33"/>
  <c r="K35" i="33"/>
  <c r="M48" i="33"/>
  <c r="E40" i="33"/>
  <c r="H63" i="33"/>
  <c r="L44" i="33"/>
  <c r="K51" i="33"/>
  <c r="L30" i="33"/>
  <c r="L29" i="33"/>
  <c r="I40" i="33"/>
  <c r="M46" i="33"/>
  <c r="L42" i="33"/>
  <c r="L58" i="33"/>
  <c r="L51" i="33"/>
  <c r="M20" i="33"/>
  <c r="D17" i="33"/>
  <c r="I30" i="33"/>
  <c r="I18" i="33"/>
  <c r="F55" i="33"/>
  <c r="G55" i="33" s="1"/>
  <c r="K72" i="33"/>
  <c r="M40" i="33"/>
  <c r="I34" i="33"/>
  <c r="M30" i="33"/>
  <c r="H68" i="33"/>
  <c r="M58" i="33"/>
  <c r="L69" i="33"/>
  <c r="L53" i="33"/>
  <c r="K27" i="33"/>
  <c r="E73" i="33"/>
  <c r="M22" i="33"/>
  <c r="H30" i="33"/>
  <c r="L60" i="33"/>
  <c r="L35" i="33"/>
  <c r="M42" i="33"/>
  <c r="E62" i="33"/>
  <c r="G29" i="33"/>
  <c r="L74" i="33"/>
  <c r="H48" i="33"/>
  <c r="H73" i="33"/>
  <c r="G46" i="33"/>
  <c r="I46" i="33"/>
  <c r="L40" i="33"/>
  <c r="H59" i="33"/>
  <c r="I45" i="33"/>
  <c r="L22" i="33"/>
  <c r="M18" i="33"/>
  <c r="I54" i="33"/>
  <c r="L73" i="33"/>
  <c r="M23" i="33"/>
  <c r="M53" i="33"/>
  <c r="H21" i="33"/>
  <c r="M60" i="33"/>
  <c r="G56" i="33"/>
  <c r="E19" i="33"/>
  <c r="L24" i="33"/>
  <c r="M27" i="33"/>
  <c r="H31" i="33"/>
  <c r="K61" i="33"/>
  <c r="L23" i="33"/>
  <c r="I35" i="33"/>
  <c r="E59" i="33"/>
  <c r="H50" i="33"/>
  <c r="H56" i="33"/>
  <c r="H35" i="33"/>
  <c r="H27" i="33"/>
  <c r="H22" i="33"/>
  <c r="L20" i="33"/>
  <c r="J55" i="33"/>
  <c r="E21" i="33"/>
  <c r="L19" i="33"/>
  <c r="I74" i="33"/>
  <c r="M19" i="33"/>
  <c r="H69" i="33"/>
  <c r="H42" i="33"/>
  <c r="L54" i="33"/>
  <c r="E54" i="33"/>
  <c r="E18" i="33"/>
  <c r="E45" i="33"/>
  <c r="G28" i="33"/>
  <c r="G69" i="33"/>
  <c r="L68" i="33"/>
  <c r="F26" i="33"/>
  <c r="G26" i="33" s="1"/>
  <c r="D66" i="33"/>
  <c r="E74" i="33"/>
  <c r="I20" i="33"/>
  <c r="K57" i="33"/>
  <c r="H20" i="33"/>
  <c r="H45" i="33"/>
  <c r="H60" i="33"/>
  <c r="E50" i="33"/>
  <c r="I19" i="33"/>
  <c r="L21" i="33"/>
  <c r="J17" i="33"/>
  <c r="H18" i="33"/>
  <c r="H51" i="33"/>
  <c r="H41" i="33"/>
  <c r="I24" i="33"/>
  <c r="F38" i="33"/>
  <c r="I28" i="33"/>
  <c r="I41" i="33"/>
  <c r="I27" i="33"/>
  <c r="I68" i="33"/>
  <c r="M68" i="33"/>
  <c r="G51" i="33"/>
  <c r="E34" i="33"/>
  <c r="K25" i="33"/>
  <c r="L33" i="33"/>
  <c r="L34" i="33"/>
  <c r="H39" i="33"/>
  <c r="L43" i="33"/>
  <c r="L45" i="33"/>
  <c r="H47" i="33"/>
  <c r="M50" i="33"/>
  <c r="L52" i="33"/>
  <c r="M54" i="33"/>
  <c r="M57" i="33"/>
  <c r="I58" i="33"/>
  <c r="M59" i="33"/>
  <c r="M61" i="33"/>
  <c r="M74" i="33"/>
  <c r="K43" i="33"/>
  <c r="L18" i="33"/>
  <c r="I21" i="33"/>
  <c r="I23" i="33"/>
  <c r="I60" i="33"/>
  <c r="I22" i="33"/>
  <c r="I42" i="33"/>
  <c r="K39" i="33"/>
  <c r="E41" i="33"/>
  <c r="E23" i="33"/>
  <c r="M25" i="33"/>
  <c r="E31" i="33"/>
  <c r="E32" i="33"/>
  <c r="M32" i="33"/>
  <c r="K33" i="33"/>
  <c r="K54" i="33"/>
  <c r="K74" i="33"/>
  <c r="F17" i="33"/>
  <c r="E72" i="33"/>
  <c r="E61" i="33"/>
  <c r="L59" i="33"/>
  <c r="E57" i="33"/>
  <c r="H52" i="33"/>
  <c r="M39" i="33"/>
  <c r="M34" i="33"/>
  <c r="E27" i="33"/>
  <c r="E43" i="33"/>
  <c r="E47" i="33"/>
  <c r="L41" i="33"/>
  <c r="I39" i="33"/>
  <c r="I25" i="33"/>
  <c r="L72" i="33"/>
  <c r="H32" i="33"/>
  <c r="I72" i="33"/>
  <c r="H61" i="33"/>
  <c r="I53" i="33"/>
  <c r="M52" i="33"/>
  <c r="L50" i="33"/>
  <c r="I48" i="33"/>
  <c r="I47" i="33"/>
  <c r="I43" i="33"/>
  <c r="L27" i="33"/>
  <c r="L47" i="33"/>
  <c r="I73" i="33"/>
  <c r="L39" i="33"/>
  <c r="H67" i="33"/>
  <c r="H24" i="33"/>
  <c r="H62" i="33"/>
  <c r="G48" i="33"/>
  <c r="M24" i="33"/>
  <c r="M47" i="33"/>
  <c r="M67" i="33"/>
  <c r="K50" i="33"/>
  <c r="L32" i="33"/>
  <c r="M31" i="33"/>
  <c r="G73" i="33"/>
  <c r="K45" i="33"/>
  <c r="H53" i="33"/>
  <c r="I44" i="33"/>
  <c r="H43" i="33"/>
  <c r="D38" i="33"/>
  <c r="M63" i="33"/>
  <c r="L63" i="33"/>
  <c r="M35" i="10" l="1"/>
  <c r="D88" i="33"/>
  <c r="E35" i="10"/>
  <c r="K16" i="10"/>
  <c r="K83" i="33" s="1"/>
  <c r="G9" i="10"/>
  <c r="M16" i="10"/>
  <c r="I35" i="10"/>
  <c r="D36" i="10"/>
  <c r="H35" i="10"/>
  <c r="D63" i="10"/>
  <c r="D69" i="10" s="1"/>
  <c r="L16" i="10"/>
  <c r="J88" i="33"/>
  <c r="J36" i="10"/>
  <c r="K36" i="10" s="1"/>
  <c r="E49" i="33"/>
  <c r="J63" i="10"/>
  <c r="K63" i="10" s="1"/>
  <c r="K94" i="33" s="1"/>
  <c r="L35" i="10"/>
  <c r="E88" i="33"/>
  <c r="K35" i="10"/>
  <c r="K88" i="33" s="1"/>
  <c r="H16" i="10"/>
  <c r="H83" i="33" s="1"/>
  <c r="I16" i="10"/>
  <c r="G8" i="10"/>
  <c r="I41" i="36"/>
  <c r="D83" i="33"/>
  <c r="E16" i="10"/>
  <c r="E83" i="33" s="1"/>
  <c r="M49" i="33"/>
  <c r="H49" i="33"/>
  <c r="D16" i="33"/>
  <c r="L49" i="33"/>
  <c r="D36" i="33"/>
  <c r="D89" i="33" s="1"/>
  <c r="D90" i="33" s="1"/>
  <c r="I49" i="33"/>
  <c r="C69" i="36"/>
  <c r="D69" i="36" s="1"/>
  <c r="C74" i="36"/>
  <c r="D68" i="36"/>
  <c r="J42" i="36"/>
  <c r="F42" i="36"/>
  <c r="G69" i="36"/>
  <c r="H68" i="36"/>
  <c r="F83" i="33"/>
  <c r="G16" i="10"/>
  <c r="G83" i="33" s="1"/>
  <c r="C42" i="36"/>
  <c r="D42" i="36" s="1"/>
  <c r="D41" i="36"/>
  <c r="G88" i="33"/>
  <c r="E68" i="36"/>
  <c r="J68" i="36" s="1"/>
  <c r="F8" i="36"/>
  <c r="J8" i="36"/>
  <c r="I42" i="36"/>
  <c r="G10" i="30"/>
  <c r="E17" i="30"/>
  <c r="E36" i="10"/>
  <c r="F94" i="33"/>
  <c r="F69" i="10"/>
  <c r="F64" i="10"/>
  <c r="G64" i="10" s="1"/>
  <c r="G63" i="10"/>
  <c r="J36" i="33"/>
  <c r="I36" i="10"/>
  <c r="H36" i="10"/>
  <c r="G36" i="10"/>
  <c r="K38" i="33"/>
  <c r="G38" i="33"/>
  <c r="F36" i="33"/>
  <c r="I55" i="33"/>
  <c r="L55" i="33"/>
  <c r="H66" i="33"/>
  <c r="I66" i="33"/>
  <c r="H17" i="33"/>
  <c r="H55" i="33"/>
  <c r="M17" i="33"/>
  <c r="E17" i="33"/>
  <c r="L66" i="33"/>
  <c r="E66" i="33"/>
  <c r="M66" i="33"/>
  <c r="K55" i="33"/>
  <c r="M55" i="33"/>
  <c r="J16" i="33"/>
  <c r="J84" i="33" s="1"/>
  <c r="J85" i="33" s="1"/>
  <c r="K17" i="33"/>
  <c r="L17" i="33"/>
  <c r="M26" i="33"/>
  <c r="E26" i="33"/>
  <c r="L26" i="33"/>
  <c r="H26" i="33"/>
  <c r="I26" i="33"/>
  <c r="I38" i="33"/>
  <c r="H38" i="33"/>
  <c r="L38" i="33"/>
  <c r="E38" i="33"/>
  <c r="M38" i="33"/>
  <c r="F16" i="33"/>
  <c r="F84" i="33" s="1"/>
  <c r="G17" i="33"/>
  <c r="I17" i="33"/>
  <c r="J64" i="10" l="1"/>
  <c r="K64" i="10" s="1"/>
  <c r="G69" i="10"/>
  <c r="F74" i="10"/>
  <c r="I63" i="10"/>
  <c r="D74" i="10"/>
  <c r="F85" i="33"/>
  <c r="D64" i="10"/>
  <c r="L36" i="10"/>
  <c r="L63" i="10"/>
  <c r="L94" i="33" s="1"/>
  <c r="E63" i="10"/>
  <c r="E94" i="33" s="1"/>
  <c r="H63" i="10"/>
  <c r="M63" i="10" s="1"/>
  <c r="D93" i="33"/>
  <c r="D64" i="33"/>
  <c r="J69" i="10"/>
  <c r="J94" i="33"/>
  <c r="M36" i="10"/>
  <c r="D84" i="33"/>
  <c r="D85" i="33" s="1"/>
  <c r="E69" i="36"/>
  <c r="F69" i="36" s="1"/>
  <c r="F68" i="36"/>
  <c r="E74" i="36"/>
  <c r="D74" i="36"/>
  <c r="C79" i="36"/>
  <c r="H69" i="36"/>
  <c r="I68" i="36"/>
  <c r="E23" i="30"/>
  <c r="G23" i="30" s="1"/>
  <c r="G17" i="30"/>
  <c r="I69" i="10"/>
  <c r="H69" i="10"/>
  <c r="L69" i="10"/>
  <c r="E69" i="10"/>
  <c r="I64" i="10"/>
  <c r="F37" i="33"/>
  <c r="G37" i="33" s="1"/>
  <c r="F89" i="33"/>
  <c r="F90" i="33" s="1"/>
  <c r="J37" i="33"/>
  <c r="K37" i="33" s="1"/>
  <c r="J89" i="33"/>
  <c r="J90" i="33" s="1"/>
  <c r="G36" i="33"/>
  <c r="G89" i="33" s="1"/>
  <c r="G90" i="33" s="1"/>
  <c r="G94" i="33"/>
  <c r="H16" i="33"/>
  <c r="H84" i="33" s="1"/>
  <c r="H85" i="33" s="1"/>
  <c r="E16" i="33"/>
  <c r="E84" i="33" s="1"/>
  <c r="E85" i="33" s="1"/>
  <c r="L16" i="33"/>
  <c r="K36" i="33"/>
  <c r="K89" i="33" s="1"/>
  <c r="J64" i="33"/>
  <c r="J93" i="33" s="1"/>
  <c r="K16" i="33"/>
  <c r="K84" i="33" s="1"/>
  <c r="K85" i="33" s="1"/>
  <c r="M16" i="33"/>
  <c r="I16" i="33"/>
  <c r="F64" i="33"/>
  <c r="G16" i="33"/>
  <c r="G84" i="33" s="1"/>
  <c r="G85" i="33" s="1"/>
  <c r="E36" i="33"/>
  <c r="E89" i="33" s="1"/>
  <c r="H36" i="33"/>
  <c r="L36" i="33"/>
  <c r="M36" i="33"/>
  <c r="I36" i="33"/>
  <c r="D37" i="33"/>
  <c r="K69" i="10" l="1"/>
  <c r="J74" i="10"/>
  <c r="F70" i="10"/>
  <c r="G70" i="10" s="1"/>
  <c r="G74" i="10"/>
  <c r="H64" i="33"/>
  <c r="D94" i="33"/>
  <c r="D95" i="33" s="1"/>
  <c r="M69" i="10"/>
  <c r="L64" i="10"/>
  <c r="J95" i="33"/>
  <c r="H64" i="10"/>
  <c r="M64" i="10" s="1"/>
  <c r="I74" i="10"/>
  <c r="D70" i="10"/>
  <c r="H74" i="10"/>
  <c r="E74" i="10"/>
  <c r="E64" i="10"/>
  <c r="I69" i="36"/>
  <c r="J69" i="36"/>
  <c r="C75" i="36"/>
  <c r="D75" i="36" s="1"/>
  <c r="D79" i="36"/>
  <c r="I74" i="36"/>
  <c r="F74" i="36"/>
  <c r="J74" i="36"/>
  <c r="E79" i="36"/>
  <c r="F93" i="33"/>
  <c r="F95" i="33" s="1"/>
  <c r="D65" i="33"/>
  <c r="L64" i="33"/>
  <c r="L93" i="33" s="1"/>
  <c r="L95" i="33" s="1"/>
  <c r="D70" i="33"/>
  <c r="E64" i="33"/>
  <c r="E93" i="33" s="1"/>
  <c r="E95" i="33" s="1"/>
  <c r="M64" i="33"/>
  <c r="J70" i="33"/>
  <c r="J76" i="33" s="1"/>
  <c r="J65" i="33"/>
  <c r="K65" i="33" s="1"/>
  <c r="K64" i="33"/>
  <c r="K93" i="33" s="1"/>
  <c r="K95" i="33" s="1"/>
  <c r="M37" i="33"/>
  <c r="L37" i="33"/>
  <c r="E37" i="33"/>
  <c r="H37" i="33"/>
  <c r="I37" i="33"/>
  <c r="F65" i="33"/>
  <c r="G65" i="33" s="1"/>
  <c r="F70" i="33"/>
  <c r="F76" i="33" s="1"/>
  <c r="G64" i="33"/>
  <c r="G93" i="33" s="1"/>
  <c r="G95" i="33" s="1"/>
  <c r="I64" i="33"/>
  <c r="D76" i="33" l="1"/>
  <c r="K74" i="10"/>
  <c r="J70" i="10"/>
  <c r="K70" i="10" s="1"/>
  <c r="L74" i="10"/>
  <c r="L70" i="10" s="1"/>
  <c r="M74" i="10"/>
  <c r="H70" i="10"/>
  <c r="M70" i="10" s="1"/>
  <c r="E70" i="10"/>
  <c r="I70" i="10"/>
  <c r="I79" i="36"/>
  <c r="F79" i="36"/>
  <c r="J79" i="36"/>
  <c r="E75" i="36"/>
  <c r="E65" i="33"/>
  <c r="E70" i="33"/>
  <c r="L70" i="33"/>
  <c r="M70" i="33"/>
  <c r="I70" i="33"/>
  <c r="H65" i="33"/>
  <c r="I65" i="33"/>
  <c r="L65" i="33"/>
  <c r="M65" i="33"/>
  <c r="H70" i="33"/>
  <c r="K70" i="33"/>
  <c r="G70" i="33"/>
  <c r="F75" i="36" l="1"/>
  <c r="J75" i="36"/>
  <c r="I75" i="36"/>
  <c r="D71" i="33"/>
  <c r="E76" i="33"/>
  <c r="I76" i="33"/>
  <c r="M76" i="33"/>
  <c r="L76" i="33"/>
  <c r="J71" i="33"/>
  <c r="K71" i="33" s="1"/>
  <c r="K76" i="33"/>
  <c r="G76" i="33"/>
  <c r="F71" i="33"/>
  <c r="G71" i="33" s="1"/>
  <c r="H76" i="33"/>
  <c r="E71" i="33" l="1"/>
  <c r="I71" i="33"/>
  <c r="M71" i="33"/>
  <c r="L71" i="33"/>
  <c r="H71" i="33"/>
</calcChain>
</file>

<file path=xl/sharedStrings.xml><?xml version="1.0" encoding="utf-8"?>
<sst xmlns="http://schemas.openxmlformats.org/spreadsheetml/2006/main" count="1252" uniqueCount="471">
  <si>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</si>
  <si>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</si>
  <si>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</si>
  <si>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</si>
  <si>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</si>
  <si>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</si>
  <si>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</si>
  <si>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</si>
  <si>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</si>
  <si>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</si>
  <si>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</si>
  <si>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</si>
  <si>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</si>
  <si>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</si>
  <si>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</si>
  <si>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</si>
  <si>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</si>
  <si>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</si>
  <si>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</si>
  <si>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</si>
  <si>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</si>
  <si>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</si>
  <si>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</si>
  <si>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</si>
  <si>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</si>
  <si>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</si>
  <si>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</si>
  <si>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</si>
  <si>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</si>
  <si>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</si>
  <si>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</si>
  <si>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</si>
  <si>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</si>
  <si>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</si>
  <si>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</si>
  <si>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</si>
  <si>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</si>
  <si>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</si>
  <si>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</si>
  <si>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</si>
  <si>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</si>
  <si>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</si>
  <si>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</si>
  <si>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</si>
  <si>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</si>
  <si>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</si>
  <si>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</si>
  <si>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</si>
  <si>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</si>
  <si>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</si>
  <si>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</si>
  <si>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</si>
  <si>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</si>
  <si>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</si>
  <si>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</si>
  <si>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</si>
  <si>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</si>
  <si>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</si>
  <si>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</si>
  <si>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</si>
  <si>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</si>
  <si>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</si>
  <si>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</si>
  <si>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</si>
  <si>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</si>
  <si>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</si>
  <si>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</si>
  <si>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</si>
  <si>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</si>
  <si>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</si>
  <si>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</si>
  <si>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</si>
  <si>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</si>
  <si>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</si>
  <si>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</si>
  <si>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</si>
  <si>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</si>
  <si>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</si>
  <si>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</si>
  <si>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</si>
  <si>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</si>
  <si>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</si>
  <si>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</si>
  <si>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</si>
  <si>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</si>
  <si>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</si>
  <si>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</si>
  <si>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</si>
  <si>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</si>
  <si>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</si>
  <si>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</si>
  <si>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</si>
  <si>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</si>
  <si>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</si>
  <si>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</si>
  <si>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</si>
  <si>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</si>
  <si>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</si>
  <si>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</si>
  <si>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</si>
  <si>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</si>
  <si>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</si>
  <si>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</si>
  <si>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</si>
  <si>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</si>
  <si>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</si>
  <si>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</si>
  <si>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</si>
  <si>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</si>
  <si>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</si>
  <si>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</si>
  <si>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</si>
  <si>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</si>
  <si>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</si>
  <si>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</si>
  <si>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</si>
  <si>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</si>
  <si>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</si>
  <si>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</si>
  <si>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</si>
  <si>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</si>
  <si>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</si>
  <si>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</si>
  <si>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</si>
  <si>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</si>
  <si>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</si>
  <si>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</si>
  <si>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</si>
  <si>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</si>
  <si>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</si>
  <si>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</si>
  <si>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</si>
  <si>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</si>
  <si>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</si>
  <si>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</si>
  <si>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</si>
  <si>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</si>
  <si>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</si>
  <si>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</si>
  <si>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</si>
  <si>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</si>
  <si>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</si>
  <si>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</si>
  <si>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</si>
  <si>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</si>
  <si>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</si>
  <si>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</si>
  <si>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</si>
  <si>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</si>
  <si>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</si>
  <si>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</si>
  <si>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</si>
  <si>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</si>
  <si>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</si>
  <si>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</si>
  <si>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</si>
  <si>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</si>
  <si>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</si>
  <si>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</si>
  <si>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</si>
  <si>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</si>
  <si>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</si>
  <si>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</si>
  <si>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</si>
  <si>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</si>
  <si>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</si>
  <si>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</si>
  <si>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</si>
  <si>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</si>
  <si>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</si>
  <si>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</si>
  <si>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</si>
  <si>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</si>
  <si>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</si>
  <si>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</si>
  <si>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</si>
  <si>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</si>
  <si>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</si>
  <si>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</si>
  <si>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</si>
  <si>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</si>
  <si>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</si>
  <si>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</si>
  <si>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</si>
  <si>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</si>
  <si>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</si>
  <si>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</si>
  <si>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</si>
  <si>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</si>
  <si>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</si>
  <si>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</si>
  <si>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</si>
  <si>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</si>
  <si>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</si>
  <si>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</si>
  <si>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</si>
  <si>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</si>
  <si>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</si>
  <si>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</si>
  <si>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</si>
  <si>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</si>
  <si>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</si>
  <si>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</si>
  <si>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</si>
  <si>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</si>
  <si>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</si>
  <si>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</si>
  <si>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</si>
  <si>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</si>
  <si>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</si>
  <si>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</si>
  <si>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</si>
  <si>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</si>
  <si>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</si>
  <si>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</si>
  <si>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</si>
  <si>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</si>
  <si>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</si>
  <si>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</si>
  <si>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</si>
  <si>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</si>
  <si>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</si>
  <si>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</si>
  <si>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</si>
  <si>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</si>
  <si>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</si>
  <si>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</si>
  <si>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</si>
  <si>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</si>
  <si>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</si>
  <si>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</si>
  <si>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</si>
  <si>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</si>
  <si>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</si>
  <si>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</si>
  <si>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</si>
  <si>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</si>
  <si>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</si>
  <si>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</si>
  <si>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</si>
  <si>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</si>
  <si>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</si>
  <si>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</si>
  <si>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</si>
  <si>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</si>
  <si>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</si>
  <si>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</si>
  <si>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</si>
  <si>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</si>
  <si>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</si>
  <si>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</si>
  <si>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</si>
  <si>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</si>
  <si>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</si>
  <si>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</si>
  <si>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</si>
  <si>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</si>
  <si>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</si>
  <si>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</si>
  <si>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</si>
  <si>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</si>
  <si>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</si>
  <si>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</si>
  <si>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</si>
  <si>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</si>
  <si>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</si>
  <si>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</si>
  <si>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</si>
  <si>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</si>
  <si>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</si>
  <si>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</si>
  <si>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</si>
  <si>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</si>
  <si>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</si>
  <si>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</si>
  <si>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</si>
  <si>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</si>
  <si>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</si>
  <si>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</si>
  <si>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</si>
  <si>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</si>
  <si>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</si>
  <si>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</si>
  <si>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</si>
  <si>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</si>
  <si>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</si>
  <si>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</si>
  <si>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</si>
  <si>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</si>
  <si>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</si>
  <si>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</si>
  <si>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</si>
  <si>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</si>
  <si>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</si>
  <si>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</si>
  <si>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</si>
  <si>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</si>
  <si>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</si>
  <si>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</si>
  <si>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</si>
  <si>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</si>
  <si>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</si>
  <si>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</si>
  <si>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</si>
  <si>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</si>
  <si>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</si>
  <si>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</si>
  <si>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</si>
  <si>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</si>
  <si>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</si>
  <si>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</si>
  <si>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</si>
  <si>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</si>
  <si>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</si>
  <si>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</si>
  <si>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</si>
  <si>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</si>
  <si>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</si>
  <si>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</si>
  <si>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</si>
  <si>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</si>
  <si>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</si>
  <si>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</si>
  <si>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</si>
  <si>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</si>
  <si>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</si>
  <si>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</si>
  <si>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</si>
  <si>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</si>
  <si>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</si>
  <si>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</si>
  <si>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</si>
  <si>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</si>
  <si>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</si>
  <si>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</si>
  <si>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</si>
  <si>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</si>
  <si>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</si>
  <si>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</si>
  <si>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</si>
  <si>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</si>
  <si>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</si>
  <si>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</si>
  <si>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</si>
  <si>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</si>
  <si>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</si>
  <si>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</si>
  <si>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</si>
  <si>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</si>
  <si>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</si>
  <si>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</si>
  <si>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</si>
  <si>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</si>
  <si>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</si>
  <si>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</si>
  <si>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</si>
  <si>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</si>
  <si>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</si>
  <si>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</si>
  <si>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</si>
  <si>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</si>
  <si>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</si>
  <si>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</si>
  <si>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</si>
  <si>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</si>
  <si>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</si>
  <si>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</si>
  <si>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</si>
  <si>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</si>
  <si>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</si>
  <si>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</si>
  <si>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</si>
  <si>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</si>
  <si>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</si>
  <si>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</si>
  <si>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</si>
  <si>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</si>
  <si>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</si>
  <si>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</si>
  <si>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</si>
  <si>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</si>
  <si>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</si>
  <si>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</si>
  <si>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</si>
  <si>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</si>
  <si>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</si>
  <si>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</si>
  <si>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</si>
  <si>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</si>
  <si>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</si>
  <si>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</si>
  <si>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</si>
  <si>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</si>
  <si>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</si>
  <si>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</si>
  <si>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</si>
  <si>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</si>
  <si>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</si>
  <si>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</si>
  <si>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</si>
  <si>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</si>
  <si>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</si>
  <si>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</si>
  <si>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</si>
  <si>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</si>
  <si>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</si>
  <si>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</si>
  <si>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</si>
  <si>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</si>
  <si>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</si>
  <si>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</si>
  <si>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</si>
  <si>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</si>
  <si>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</si>
  <si>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</si>
  <si>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</si>
  <si>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</si>
  <si>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</si>
  <si>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</si>
  <si>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</si>
  <si>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</si>
  <si>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</si>
  <si>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</si>
  <si>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</si>
  <si>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</si>
  <si>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</si>
  <si>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</si>
  <si>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</si>
  <si>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</si>
  <si>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</si>
  <si>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</si>
  <si>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</si>
  <si>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</si>
  <si>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</si>
  <si>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</si>
  <si>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</si>
  <si>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</si>
  <si>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</si>
  <si>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</si>
  <si>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</si>
  <si>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</si>
  <si>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</si>
  <si>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</si>
  <si>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</si>
  <si>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</si>
  <si>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Naknada za komunalno opremanje građevinskog zemljišta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</si>
  <si>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</si>
  <si>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</si>
  <si>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</si>
  <si>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</si>
  <si>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</si>
  <si>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</si>
  <si>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</si>
  <si>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</si>
  <si>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</si>
  <si>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</si>
  <si>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</si>
  <si>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</si>
  <si>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</si>
  <si>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</si>
  <si>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</si>
  <si>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Ostali državni prihodi</t>
  </si>
  <si>
    <t>Other State revenues</t>
  </si>
  <si>
    <t>Ostali transferi</t>
  </si>
  <si>
    <t>Ostvarenje 2016</t>
  </si>
  <si>
    <t xml:space="preserve">Receipts from repayment of loans </t>
  </si>
  <si>
    <t>Receipts from repayment of loans</t>
  </si>
  <si>
    <t>Primici od otplate kredita</t>
  </si>
  <si>
    <t>Ostvarenje 2017</t>
  </si>
  <si>
    <t>Plan 2017</t>
  </si>
  <si>
    <t>Transferi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</si>
</sst>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color indexed="18"/>
      <name val="Calibri"/>
      <family val="2"/>
      <charset val="238"/>
      <scheme val="minor"/>
    </font>
    <font>
      <sz val="10"/>
      <color theme="3" tint="0.39997558519241921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0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5" fillId="0" borderId="0" applyFont="0" applyFill="0" applyBorder="0" applyAlignment="0" applyProtection="0"/>
    <xf numFmtId="0" fontId="6" fillId="0" borderId="0"/>
  </cellStyleXfs>
  <cellXfs count="357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5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5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6" fontId="27" fillId="2" borderId="0" xfId="0" applyNumberFormat="1" applyFont="1" applyFill="1" applyBorder="1" applyAlignment="1" applyProtection="1">
      <protection hidden="1"/>
    </xf>
    <xf numFmtId="166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5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5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5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6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6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6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6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32" fillId="2" borderId="0" xfId="22" applyFont="1" applyFill="1" applyBorder="1" applyAlignment="1"/>
    <xf numFmtId="0" fontId="27" fillId="2" borderId="0" xfId="22" applyFont="1" applyFill="1" applyAlignment="1">
      <alignment wrapText="1"/>
    </xf>
    <xf numFmtId="0" fontId="32" fillId="2" borderId="0" xfId="22" applyFont="1" applyFill="1" applyBorder="1" applyAlignment="1">
      <alignment horizontal="center" wrapText="1"/>
    </xf>
    <xf numFmtId="0" fontId="32" fillId="2" borderId="0" xfId="22" applyFont="1" applyFill="1" applyBorder="1" applyAlignment="1">
      <alignment horizontal="center"/>
    </xf>
    <xf numFmtId="2" fontId="27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5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5" fontId="29" fillId="2" borderId="30" xfId="36" applyNumberFormat="1" applyFont="1" applyFill="1" applyBorder="1" applyAlignment="1">
      <alignment vertical="center"/>
    </xf>
    <xf numFmtId="165" fontId="27" fillId="0" borderId="30" xfId="36" applyNumberFormat="1" applyFont="1" applyFill="1" applyBorder="1" applyAlignment="1">
      <alignment vertical="center"/>
    </xf>
    <xf numFmtId="165" fontId="27" fillId="2" borderId="30" xfId="36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 wrapText="1"/>
    </xf>
    <xf numFmtId="0" fontId="27" fillId="2" borderId="0" xfId="22" applyFont="1" applyFill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5" fontId="29" fillId="5" borderId="5" xfId="36" applyNumberFormat="1" applyFont="1" applyFill="1" applyBorder="1" applyAlignment="1">
      <alignment vertical="center"/>
    </xf>
    <xf numFmtId="165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5" fontId="29" fillId="5" borderId="11" xfId="36" applyNumberFormat="1" applyFont="1" applyFill="1" applyBorder="1" applyAlignment="1">
      <alignment vertical="center"/>
    </xf>
    <xf numFmtId="165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5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5" fontId="29" fillId="6" borderId="11" xfId="36" applyNumberFormat="1" applyFont="1" applyFill="1" applyBorder="1" applyAlignment="1">
      <alignment vertical="center"/>
    </xf>
    <xf numFmtId="165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7" fillId="0" borderId="0" xfId="0" applyFont="1"/>
    <xf numFmtId="175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5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5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5" fontId="27" fillId="2" borderId="21" xfId="39" applyNumberFormat="1" applyFont="1" applyFill="1" applyBorder="1"/>
    <xf numFmtId="0" fontId="27" fillId="2" borderId="21" xfId="39" applyFont="1" applyFill="1" applyBorder="1"/>
    <xf numFmtId="165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4" fontId="27" fillId="2" borderId="0" xfId="39" applyNumberFormat="1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 applyProtection="1">
      <alignment vertical="center"/>
      <protection hidden="1"/>
    </xf>
    <xf numFmtId="165" fontId="29" fillId="14" borderId="30" xfId="22" applyNumberFormat="1" applyFont="1" applyFill="1" applyBorder="1" applyAlignment="1">
      <alignment vertical="center"/>
    </xf>
    <xf numFmtId="165" fontId="29" fillId="14" borderId="5" xfId="22" applyNumberFormat="1" applyFont="1" applyFill="1" applyBorder="1" applyAlignment="1">
      <alignment vertical="center"/>
    </xf>
    <xf numFmtId="165" fontId="29" fillId="14" borderId="30" xfId="36" applyNumberFormat="1" applyFont="1" applyFill="1" applyBorder="1" applyAlignment="1">
      <alignment vertical="center"/>
    </xf>
    <xf numFmtId="165" fontId="27" fillId="14" borderId="30" xfId="36" applyNumberFormat="1" applyFont="1" applyFill="1" applyBorder="1" applyAlignment="1">
      <alignment vertical="center"/>
    </xf>
    <xf numFmtId="165" fontId="29" fillId="14" borderId="5" xfId="36" applyNumberFormat="1" applyFont="1" applyFill="1" applyBorder="1" applyAlignment="1">
      <alignment vertical="center"/>
    </xf>
    <xf numFmtId="176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5" fontId="27" fillId="2" borderId="5" xfId="36" applyNumberFormat="1" applyFont="1" applyFill="1" applyBorder="1" applyAlignment="1">
      <alignment vertical="center"/>
    </xf>
    <xf numFmtId="165" fontId="27" fillId="14" borderId="5" xfId="36" applyNumberFormat="1" applyFont="1" applyFill="1" applyBorder="1" applyAlignment="1">
      <alignment vertical="center"/>
    </xf>
    <xf numFmtId="2" fontId="27" fillId="2" borderId="0" xfId="22" applyNumberFormat="1" applyFont="1" applyFill="1"/>
    <xf numFmtId="165" fontId="29" fillId="8" borderId="5" xfId="0" applyNumberFormat="1" applyFont="1" applyFill="1" applyBorder="1"/>
    <xf numFmtId="165" fontId="29" fillId="2" borderId="29" xfId="0" applyNumberFormat="1" applyFont="1" applyFill="1" applyBorder="1"/>
    <xf numFmtId="165" fontId="29" fillId="14" borderId="29" xfId="0" applyNumberFormat="1" applyFont="1" applyFill="1" applyBorder="1"/>
    <xf numFmtId="165" fontId="27" fillId="2" borderId="30" xfId="0" applyNumberFormat="1" applyFont="1" applyFill="1" applyBorder="1"/>
    <xf numFmtId="165" fontId="27" fillId="14" borderId="30" xfId="0" applyNumberFormat="1" applyFont="1" applyFill="1" applyBorder="1"/>
    <xf numFmtId="165" fontId="27" fillId="2" borderId="30" xfId="0" applyNumberFormat="1" applyFont="1" applyFill="1" applyBorder="1" applyAlignment="1">
      <alignment vertical="center"/>
    </xf>
    <xf numFmtId="165" fontId="27" fillId="14" borderId="30" xfId="0" applyNumberFormat="1" applyFont="1" applyFill="1" applyBorder="1" applyAlignment="1">
      <alignment vertical="center"/>
    </xf>
    <xf numFmtId="165" fontId="27" fillId="2" borderId="30" xfId="22" applyNumberFormat="1" applyFont="1" applyFill="1" applyBorder="1" applyAlignment="1">
      <alignment vertical="center"/>
    </xf>
    <xf numFmtId="165" fontId="27" fillId="14" borderId="30" xfId="22" applyNumberFormat="1" applyFont="1" applyFill="1" applyBorder="1" applyAlignment="1">
      <alignment vertical="center"/>
    </xf>
    <xf numFmtId="165" fontId="29" fillId="2" borderId="30" xfId="0" applyNumberFormat="1" applyFont="1" applyFill="1" applyBorder="1"/>
    <xf numFmtId="165" fontId="29" fillId="14" borderId="30" xfId="0" applyNumberFormat="1" applyFont="1" applyFill="1" applyBorder="1"/>
    <xf numFmtId="165" fontId="29" fillId="8" borderId="5" xfId="22" applyNumberFormat="1" applyFont="1" applyFill="1" applyBorder="1" applyAlignment="1">
      <alignment vertical="center"/>
    </xf>
    <xf numFmtId="165" fontId="29" fillId="8" borderId="5" xfId="36" applyNumberFormat="1" applyFont="1" applyFill="1" applyBorder="1" applyAlignment="1">
      <alignment vertical="center"/>
    </xf>
    <xf numFmtId="165" fontId="29" fillId="2" borderId="11" xfId="0" applyNumberFormat="1" applyFont="1" applyFill="1" applyBorder="1"/>
    <xf numFmtId="165" fontId="29" fillId="14" borderId="11" xfId="0" applyNumberFormat="1" applyFont="1" applyFill="1" applyBorder="1"/>
    <xf numFmtId="165" fontId="29" fillId="2" borderId="15" xfId="0" applyNumberFormat="1" applyFont="1" applyFill="1" applyBorder="1"/>
    <xf numFmtId="165" fontId="29" fillId="14" borderId="15" xfId="0" applyNumberFormat="1" applyFont="1" applyFill="1" applyBorder="1"/>
    <xf numFmtId="165" fontId="29" fillId="2" borderId="5" xfId="0" applyNumberFormat="1" applyFont="1" applyFill="1" applyBorder="1"/>
    <xf numFmtId="165" fontId="29" fillId="14" borderId="5" xfId="0" applyNumberFormat="1" applyFont="1" applyFill="1" applyBorder="1"/>
    <xf numFmtId="165" fontId="27" fillId="2" borderId="29" xfId="36" applyNumberFormat="1" applyFont="1" applyFill="1" applyBorder="1"/>
    <xf numFmtId="165" fontId="27" fillId="14" borderId="29" xfId="0" applyNumberFormat="1" applyFont="1" applyFill="1" applyBorder="1"/>
    <xf numFmtId="165" fontId="27" fillId="2" borderId="30" xfId="36" applyNumberFormat="1" applyFont="1" applyFill="1" applyBorder="1"/>
    <xf numFmtId="0" fontId="39" fillId="2" borderId="22" xfId="36" applyFont="1" applyFill="1" applyBorder="1" applyAlignment="1"/>
    <xf numFmtId="165" fontId="27" fillId="2" borderId="21" xfId="36" applyNumberFormat="1" applyFont="1" applyFill="1" applyBorder="1" applyAlignment="1">
      <alignment horizontal="center" wrapText="1"/>
    </xf>
    <xf numFmtId="0" fontId="16" fillId="2" borderId="0" xfId="22" applyFont="1" applyFill="1"/>
    <xf numFmtId="2" fontId="16" fillId="2" borderId="16" xfId="22" applyNumberFormat="1" applyFont="1" applyFill="1" applyBorder="1" applyAlignment="1">
      <alignment vertical="center"/>
    </xf>
    <xf numFmtId="0" fontId="42" fillId="2" borderId="0" xfId="22" applyFont="1" applyFill="1" applyBorder="1"/>
    <xf numFmtId="2" fontId="16" fillId="2" borderId="0" xfId="22" applyNumberFormat="1" applyFont="1" applyFill="1" applyBorder="1" applyAlignment="1">
      <alignment horizontal="right"/>
    </xf>
    <xf numFmtId="0" fontId="16" fillId="2" borderId="0" xfId="22" applyFont="1" applyFill="1" applyAlignment="1">
      <alignment wrapText="1"/>
    </xf>
    <xf numFmtId="167" fontId="29" fillId="5" borderId="36" xfId="22" applyNumberFormat="1" applyFont="1" applyFill="1" applyBorder="1" applyAlignment="1">
      <alignment vertical="center"/>
    </xf>
    <xf numFmtId="167" fontId="29" fillId="2" borderId="12" xfId="22" applyNumberFormat="1" applyFont="1" applyFill="1" applyBorder="1" applyAlignment="1">
      <alignment vertical="center"/>
    </xf>
    <xf numFmtId="167" fontId="27" fillId="2" borderId="12" xfId="22" applyNumberFormat="1" applyFont="1" applyFill="1" applyBorder="1" applyAlignment="1">
      <alignment vertical="center"/>
    </xf>
    <xf numFmtId="167" fontId="29" fillId="5" borderId="13" xfId="22" applyNumberFormat="1" applyFont="1" applyFill="1" applyBorder="1" applyAlignment="1">
      <alignment vertical="center"/>
    </xf>
    <xf numFmtId="167" fontId="29" fillId="2" borderId="12" xfId="36" applyNumberFormat="1" applyFont="1" applyFill="1" applyBorder="1" applyAlignment="1">
      <alignment vertical="center"/>
    </xf>
    <xf numFmtId="167" fontId="29" fillId="2" borderId="13" xfId="22" applyNumberFormat="1" applyFont="1" applyFill="1" applyBorder="1" applyAlignment="1">
      <alignment vertical="center"/>
    </xf>
    <xf numFmtId="167" fontId="27" fillId="2" borderId="13" xfId="22" applyNumberFormat="1" applyFont="1" applyFill="1" applyBorder="1" applyAlignment="1">
      <alignment vertical="center"/>
    </xf>
    <xf numFmtId="167" fontId="27" fillId="0" borderId="12" xfId="22" applyNumberFormat="1" applyFont="1" applyFill="1" applyBorder="1" applyAlignment="1">
      <alignment vertical="center"/>
    </xf>
    <xf numFmtId="167" fontId="29" fillId="5" borderId="24" xfId="36" applyNumberFormat="1" applyFont="1" applyFill="1" applyBorder="1" applyAlignment="1">
      <alignment vertical="center"/>
    </xf>
    <xf numFmtId="167" fontId="29" fillId="2" borderId="14" xfId="36" applyNumberFormat="1" applyFont="1" applyFill="1" applyBorder="1" applyAlignment="1">
      <alignment vertical="center"/>
    </xf>
    <xf numFmtId="167" fontId="27" fillId="2" borderId="14" xfId="36" applyNumberFormat="1" applyFont="1" applyFill="1" applyBorder="1" applyAlignment="1">
      <alignment vertical="center"/>
    </xf>
    <xf numFmtId="167" fontId="29" fillId="2" borderId="24" xfId="36" applyNumberFormat="1" applyFont="1" applyFill="1" applyBorder="1" applyAlignment="1">
      <alignment vertical="center"/>
    </xf>
    <xf numFmtId="167" fontId="27" fillId="2" borderId="24" xfId="36" applyNumberFormat="1" applyFont="1" applyFill="1" applyBorder="1" applyAlignment="1">
      <alignment vertical="center"/>
    </xf>
    <xf numFmtId="167" fontId="27" fillId="0" borderId="14" xfId="36" applyNumberFormat="1" applyFont="1" applyFill="1" applyBorder="1" applyAlignment="1">
      <alignment vertical="center"/>
    </xf>
    <xf numFmtId="167" fontId="29" fillId="14" borderId="12" xfId="22" applyNumberFormat="1" applyFont="1" applyFill="1" applyBorder="1" applyAlignment="1">
      <alignment vertical="center"/>
    </xf>
    <xf numFmtId="167" fontId="27" fillId="14" borderId="12" xfId="22" applyNumberFormat="1" applyFont="1" applyFill="1" applyBorder="1" applyAlignment="1">
      <alignment vertical="center"/>
    </xf>
    <xf numFmtId="167" fontId="29" fillId="14" borderId="12" xfId="36" applyNumberFormat="1" applyFont="1" applyFill="1" applyBorder="1" applyAlignment="1">
      <alignment vertical="center"/>
    </xf>
    <xf numFmtId="167" fontId="29" fillId="14" borderId="13" xfId="22" applyNumberFormat="1" applyFont="1" applyFill="1" applyBorder="1" applyAlignment="1">
      <alignment horizontal="center" vertical="center"/>
    </xf>
    <xf numFmtId="167" fontId="27" fillId="14" borderId="13" xfId="22" applyNumberFormat="1" applyFont="1" applyFill="1" applyBorder="1" applyAlignment="1">
      <alignment horizontal="center" vertical="center"/>
    </xf>
    <xf numFmtId="167" fontId="29" fillId="14" borderId="12" xfId="22" applyNumberFormat="1" applyFont="1" applyFill="1" applyBorder="1" applyAlignment="1">
      <alignment horizontal="center" vertical="center"/>
    </xf>
    <xf numFmtId="167" fontId="29" fillId="14" borderId="13" xfId="22" applyNumberFormat="1" applyFont="1" applyFill="1" applyBorder="1" applyAlignment="1">
      <alignment vertical="center"/>
    </xf>
    <xf numFmtId="167" fontId="29" fillId="8" borderId="13" xfId="0" applyNumberFormat="1" applyFont="1" applyFill="1" applyBorder="1"/>
    <xf numFmtId="167" fontId="29" fillId="2" borderId="34" xfId="0" applyNumberFormat="1" applyFont="1" applyFill="1" applyBorder="1"/>
    <xf numFmtId="167" fontId="27" fillId="2" borderId="12" xfId="0" applyNumberFormat="1" applyFont="1" applyFill="1" applyBorder="1"/>
    <xf numFmtId="167" fontId="27" fillId="2" borderId="12" xfId="0" applyNumberFormat="1" applyFont="1" applyFill="1" applyBorder="1" applyAlignment="1">
      <alignment vertical="center"/>
    </xf>
    <xf numFmtId="167" fontId="29" fillId="2" borderId="12" xfId="0" applyNumberFormat="1" applyFont="1" applyFill="1" applyBorder="1"/>
    <xf numFmtId="167" fontId="29" fillId="8" borderId="13" xfId="22" applyNumberFormat="1" applyFont="1" applyFill="1" applyBorder="1" applyAlignment="1">
      <alignment vertical="center"/>
    </xf>
    <xf numFmtId="167" fontId="29" fillId="2" borderId="36" xfId="0" applyNumberFormat="1" applyFont="1" applyFill="1" applyBorder="1"/>
    <xf numFmtId="167" fontId="29" fillId="2" borderId="53" xfId="0" applyNumberFormat="1" applyFont="1" applyFill="1" applyBorder="1"/>
    <xf numFmtId="167" fontId="29" fillId="2" borderId="13" xfId="0" applyNumberFormat="1" applyFont="1" applyFill="1" applyBorder="1"/>
    <xf numFmtId="167" fontId="27" fillId="2" borderId="34" xfId="0" applyNumberFormat="1" applyFont="1" applyFill="1" applyBorder="1"/>
    <xf numFmtId="167" fontId="29" fillId="14" borderId="34" xfId="0" applyNumberFormat="1" applyFont="1" applyFill="1" applyBorder="1"/>
    <xf numFmtId="167" fontId="27" fillId="14" borderId="12" xfId="0" applyNumberFormat="1" applyFont="1" applyFill="1" applyBorder="1"/>
    <xf numFmtId="167" fontId="27" fillId="14" borderId="12" xfId="0" applyNumberFormat="1" applyFont="1" applyFill="1" applyBorder="1" applyAlignment="1">
      <alignment vertical="center"/>
    </xf>
    <xf numFmtId="167" fontId="29" fillId="14" borderId="12" xfId="0" applyNumberFormat="1" applyFont="1" applyFill="1" applyBorder="1"/>
    <xf numFmtId="167" fontId="29" fillId="14" borderId="36" xfId="0" applyNumberFormat="1" applyFont="1" applyFill="1" applyBorder="1"/>
    <xf numFmtId="167" fontId="29" fillId="14" borderId="53" xfId="0" applyNumberFormat="1" applyFont="1" applyFill="1" applyBorder="1"/>
    <xf numFmtId="167" fontId="29" fillId="14" borderId="13" xfId="0" applyNumberFormat="1" applyFont="1" applyFill="1" applyBorder="1"/>
    <xf numFmtId="167" fontId="27" fillId="14" borderId="34" xfId="0" applyNumberFormat="1" applyFont="1" applyFill="1" applyBorder="1"/>
    <xf numFmtId="167" fontId="29" fillId="6" borderId="24" xfId="22" applyNumberFormat="1" applyFont="1" applyFill="1" applyBorder="1" applyAlignment="1">
      <alignment vertical="center"/>
    </xf>
    <xf numFmtId="167" fontId="29" fillId="2" borderId="0" xfId="22" applyNumberFormat="1" applyFont="1" applyFill="1" applyBorder="1" applyAlignment="1">
      <alignment vertical="center"/>
    </xf>
    <xf numFmtId="167" fontId="27" fillId="2" borderId="14" xfId="22" applyNumberFormat="1" applyFont="1" applyFill="1" applyBorder="1" applyAlignment="1">
      <alignment vertical="center"/>
    </xf>
    <xf numFmtId="167" fontId="29" fillId="2" borderId="14" xfId="22" applyNumberFormat="1" applyFont="1" applyFill="1" applyBorder="1" applyAlignment="1">
      <alignment vertical="center"/>
    </xf>
    <xf numFmtId="167" fontId="29" fillId="2" borderId="24" xfId="22" applyNumberFormat="1" applyFont="1" applyFill="1" applyBorder="1" applyAlignment="1">
      <alignment vertical="center"/>
    </xf>
    <xf numFmtId="167" fontId="27" fillId="2" borderId="24" xfId="22" applyNumberFormat="1" applyFont="1" applyFill="1" applyBorder="1" applyAlignment="1">
      <alignment vertical="center"/>
    </xf>
    <xf numFmtId="167" fontId="27" fillId="0" borderId="14" xfId="22" applyNumberFormat="1" applyFont="1" applyFill="1" applyBorder="1" applyAlignment="1">
      <alignment vertical="center"/>
    </xf>
    <xf numFmtId="167" fontId="29" fillId="14" borderId="0" xfId="22" applyNumberFormat="1" applyFont="1" applyFill="1" applyBorder="1" applyAlignment="1">
      <alignment vertical="center"/>
    </xf>
    <xf numFmtId="167" fontId="27" fillId="14" borderId="14" xfId="22" applyNumberFormat="1" applyFont="1" applyFill="1" applyBorder="1" applyAlignment="1">
      <alignment vertical="center"/>
    </xf>
    <xf numFmtId="167" fontId="29" fillId="14" borderId="14" xfId="22" applyNumberFormat="1" applyFont="1" applyFill="1" applyBorder="1" applyAlignment="1">
      <alignment vertical="center"/>
    </xf>
    <xf numFmtId="167" fontId="29" fillId="14" borderId="24" xfId="22" applyNumberFormat="1" applyFont="1" applyFill="1" applyBorder="1" applyAlignment="1">
      <alignment vertical="center"/>
    </xf>
    <xf numFmtId="167" fontId="27" fillId="14" borderId="24" xfId="22" applyNumberFormat="1" applyFont="1" applyFill="1" applyBorder="1" applyAlignment="1">
      <alignment vertical="center"/>
    </xf>
    <xf numFmtId="167" fontId="27" fillId="2" borderId="12" xfId="36" applyNumberFormat="1" applyFont="1" applyFill="1" applyBorder="1" applyAlignment="1">
      <alignment vertical="center"/>
    </xf>
    <xf numFmtId="167" fontId="29" fillId="8" borderId="13" xfId="36" applyNumberFormat="1" applyFont="1" applyFill="1" applyBorder="1" applyAlignment="1">
      <alignment vertical="center"/>
    </xf>
    <xf numFmtId="167" fontId="29" fillId="2" borderId="13" xfId="36" applyNumberFormat="1" applyFont="1" applyFill="1" applyBorder="1" applyAlignment="1">
      <alignment vertical="center"/>
    </xf>
    <xf numFmtId="167" fontId="27" fillId="14" borderId="12" xfId="0" applyNumberFormat="1" applyFont="1" applyFill="1" applyBorder="1" applyAlignment="1">
      <alignment horizontal="right"/>
    </xf>
    <xf numFmtId="2" fontId="29" fillId="5" borderId="10" xfId="22" applyNumberFormat="1" applyFont="1" applyFill="1" applyBorder="1" applyAlignment="1">
      <alignment vertical="center"/>
    </xf>
    <xf numFmtId="2" fontId="27" fillId="10" borderId="0" xfId="22" applyNumberFormat="1" applyFont="1" applyFill="1"/>
    <xf numFmtId="165" fontId="27" fillId="10" borderId="0" xfId="22" applyNumberFormat="1" applyFont="1" applyFill="1"/>
    <xf numFmtId="2" fontId="43" fillId="2" borderId="0" xfId="22" applyNumberFormat="1" applyFont="1" applyFill="1"/>
    <xf numFmtId="1" fontId="27" fillId="10" borderId="0" xfId="22" applyNumberFormat="1" applyFont="1" applyFill="1"/>
    <xf numFmtId="165" fontId="16" fillId="2" borderId="30" xfId="36" applyNumberFormat="1" applyFont="1" applyFill="1" applyBorder="1" applyAlignment="1">
      <alignment vertical="center"/>
    </xf>
    <xf numFmtId="165" fontId="29" fillId="15" borderId="5" xfId="36" applyNumberFormat="1" applyFont="1" applyFill="1" applyBorder="1" applyAlignment="1">
      <alignment vertical="center"/>
    </xf>
    <xf numFmtId="0" fontId="27" fillId="0" borderId="0" xfId="22" applyFont="1" applyFill="1"/>
    <xf numFmtId="0" fontId="27" fillId="2" borderId="0" xfId="22" applyFont="1" applyFill="1" applyAlignment="1">
      <alignment horizontal="right"/>
    </xf>
    <xf numFmtId="165" fontId="27" fillId="2" borderId="11" xfId="36" applyNumberFormat="1" applyFont="1" applyFill="1" applyBorder="1" applyAlignment="1">
      <alignment vertical="center"/>
    </xf>
    <xf numFmtId="49" fontId="27" fillId="2" borderId="0" xfId="22" applyNumberFormat="1" applyFont="1" applyFill="1" applyAlignment="1">
      <alignment horizontal="center" wrapText="1"/>
    </xf>
    <xf numFmtId="49" fontId="44" fillId="2" borderId="0" xfId="22" applyNumberFormat="1" applyFont="1" applyFill="1" applyAlignment="1">
      <alignment wrapText="1"/>
    </xf>
    <xf numFmtId="167" fontId="16" fillId="14" borderId="12" xfId="22" applyNumberFormat="1" applyFont="1" applyFill="1" applyBorder="1" applyAlignment="1">
      <alignment vertical="center"/>
    </xf>
    <xf numFmtId="165" fontId="16" fillId="14" borderId="30" xfId="22" applyNumberFormat="1" applyFont="1" applyFill="1" applyBorder="1" applyAlignment="1">
      <alignment vertical="center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 applyProtection="1">
      <alignment horizontal="center" vertical="center"/>
      <protection hidden="1"/>
    </xf>
    <xf numFmtId="166" fontId="27" fillId="5" borderId="23" xfId="0" applyNumberFormat="1" applyFont="1" applyFill="1" applyBorder="1" applyAlignment="1" applyProtection="1">
      <alignment horizontal="center" vertical="center"/>
      <protection hidden="1"/>
    </xf>
    <xf numFmtId="166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8" fillId="2" borderId="22" xfId="36" applyFont="1" applyFill="1" applyBorder="1" applyAlignment="1">
      <alignment horizontal="center" wrapText="1"/>
    </xf>
    <xf numFmtId="165" fontId="38" fillId="2" borderId="22" xfId="36" applyNumberFormat="1" applyFont="1" applyFill="1" applyBorder="1" applyAlignment="1">
      <alignment horizontal="center" wrapText="1"/>
    </xf>
    <xf numFmtId="0" fontId="36" fillId="12" borderId="54" xfId="22" applyFont="1" applyFill="1" applyBorder="1" applyAlignment="1">
      <alignment horizontal="center" vertical="center"/>
    </xf>
    <xf numFmtId="0" fontId="36" fillId="12" borderId="17" xfId="22" applyFont="1" applyFill="1" applyBorder="1" applyAlignment="1">
      <alignment horizontal="center" vertical="center"/>
    </xf>
    <xf numFmtId="0" fontId="29" fillId="8" borderId="26" xfId="22" applyFont="1" applyFill="1" applyBorder="1" applyAlignment="1">
      <alignment horizontal="center" vertical="center"/>
    </xf>
    <xf numFmtId="0" fontId="29" fillId="8" borderId="27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>
      <alignment horizontal="center" vertical="center"/>
    </xf>
    <xf numFmtId="166" fontId="27" fillId="8" borderId="2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 applyProtection="1">
      <alignment horizontal="center" vertical="center"/>
      <protection hidden="1"/>
    </xf>
    <xf numFmtId="166" fontId="27" fillId="8" borderId="23" xfId="0" applyNumberFormat="1" applyFont="1" applyFill="1" applyBorder="1" applyAlignment="1" applyProtection="1">
      <alignment horizontal="center" vertical="center"/>
      <protection hidden="1"/>
    </xf>
    <xf numFmtId="166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40" fillId="2" borderId="22" xfId="22" applyFont="1" applyFill="1" applyBorder="1" applyAlignment="1">
      <alignment horizontal="center"/>
    </xf>
    <xf numFmtId="166" fontId="27" fillId="6" borderId="6" xfId="0" applyNumberFormat="1" applyFont="1" applyFill="1" applyBorder="1" applyAlignment="1">
      <alignment horizontal="center" vertical="center"/>
    </xf>
    <xf numFmtId="166" fontId="27" fillId="6" borderId="24" xfId="0" applyNumberFormat="1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 applyProtection="1">
      <alignment horizontal="center" vertical="center"/>
      <protection hidden="1"/>
    </xf>
    <xf numFmtId="166" fontId="27" fillId="6" borderId="23" xfId="0" applyNumberFormat="1" applyFont="1" applyFill="1" applyBorder="1" applyAlignment="1" applyProtection="1">
      <alignment horizontal="center" vertical="center"/>
      <protection hidden="1"/>
    </xf>
    <xf numFmtId="166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1" fillId="2" borderId="22" xfId="22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</cellXfs>
  <cellStyles count="40">
    <cellStyle name="1 indent" xfId="1"/>
    <cellStyle name="2 indents" xfId="2"/>
    <cellStyle name="3 indents" xfId="3"/>
    <cellStyle name="4 indents" xf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214-4F9C-9597-60FBFB448219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14-4F9C-9597-60FBFB448219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14-4F9C-9597-60FBFB448219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214-4F9C-9597-60FBFB448219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214-4F9C-9597-60FBFB44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496"/>
        <c:axId val="1413488"/>
      </c:lineChart>
      <c:catAx>
        <c:axId val="2138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1413488"/>
        <c:crosses val="autoZero"/>
        <c:auto val="1"/>
        <c:lblAlgn val="ctr"/>
        <c:lblOffset val="100"/>
        <c:noMultiLvlLbl val="0"/>
      </c:catAx>
      <c:valAx>
        <c:axId val="1413488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213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E7-408C-A49B-85C2A6E6B2DC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E7-408C-A49B-85C2A6E6B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08064"/>
        <c:axId val="6407520"/>
      </c:lineChart>
      <c:catAx>
        <c:axId val="640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6407520"/>
        <c:crosses val="autoZero"/>
        <c:auto val="1"/>
        <c:lblAlgn val="ctr"/>
        <c:lblOffset val="100"/>
        <c:noMultiLvlLbl val="0"/>
      </c:catAx>
      <c:valAx>
        <c:axId val="6407520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sr-Latn-RS"/>
          </a:p>
        </c:txPr>
        <c:crossAx val="640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R78"/>
  <sheetViews>
    <sheetView tabSelected="1" topLeftCell="B1" zoomScaleNormal="100" workbookViewId="0">
      <selection activeCell="W27" sqref="W27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13" width="7.7109375" style="80" customWidth="1"/>
    <col min="14" max="62" width="9.140625" style="80" customWidth="1"/>
    <col min="63" max="63" width="9.140625" style="80"/>
    <col min="64" max="64" width="15.42578125" style="80" customWidth="1"/>
    <col min="65" max="65" width="12.7109375" style="80" customWidth="1"/>
    <col min="66" max="66" width="11.85546875" style="80" customWidth="1"/>
    <col min="67" max="16384" width="9.140625" style="80"/>
  </cols>
  <sheetData>
    <row r="1" spans="2:62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2:62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2:62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2:62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2:62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2:62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2:62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2:62" ht="15" hidden="1" customHeight="1">
      <c r="C8" s="81"/>
      <c r="D8" s="109"/>
      <c r="E8" s="109"/>
      <c r="F8" s="109"/>
      <c r="G8" s="125">
        <f>+J16/F16*100-100</f>
        <v>-6.6320263529091363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</row>
    <row r="9" spans="2:62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</row>
    <row r="10" spans="2:62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2:62" ht="18.75" customHeight="1" thickTop="1" thickBot="1">
      <c r="C11" s="178" t="str">
        <f>IF(MasterSheet!$A$1=1,MasterSheet!B67,MasterSheet!B66)</f>
        <v>BDP (u mil. €)</v>
      </c>
      <c r="D11" s="313">
        <v>3957200000</v>
      </c>
      <c r="E11" s="314"/>
      <c r="F11" s="314"/>
      <c r="G11" s="315"/>
      <c r="H11" s="318"/>
      <c r="I11" s="323"/>
      <c r="J11" s="320">
        <v>3773000000</v>
      </c>
      <c r="K11" s="320">
        <v>0</v>
      </c>
      <c r="L11" s="318"/>
      <c r="M11" s="319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2:62" ht="19.5" customHeight="1" thickTop="1">
      <c r="C12" s="81"/>
      <c r="D12" s="236"/>
      <c r="E12" s="236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2:62" ht="17.25" customHeight="1" thickBot="1">
      <c r="B13" s="85"/>
      <c r="C13" s="86"/>
      <c r="D13" s="325"/>
      <c r="E13" s="325"/>
      <c r="F13" s="235"/>
      <c r="G13" s="235"/>
      <c r="H13" s="235"/>
      <c r="I13" s="235"/>
      <c r="J13" s="324"/>
      <c r="K13" s="324"/>
      <c r="L13" s="162"/>
      <c r="M13" s="162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2:62" ht="15.75" customHeight="1" thickTop="1">
      <c r="B14" s="87"/>
      <c r="C14" s="316" t="str">
        <f>IF(MasterSheet!$A$1=1,MasterSheet!B71,MasterSheet!B70)</f>
        <v>Budžet Crne Gore</v>
      </c>
      <c r="D14" s="311" t="s">
        <v>468</v>
      </c>
      <c r="E14" s="312"/>
      <c r="F14" s="311" t="s">
        <v>469</v>
      </c>
      <c r="G14" s="312"/>
      <c r="H14" s="311" t="s">
        <v>447</v>
      </c>
      <c r="I14" s="312"/>
      <c r="J14" s="311" t="s">
        <v>464</v>
      </c>
      <c r="K14" s="312"/>
      <c r="L14" s="321" t="str">
        <f>+H14</f>
        <v>Odstupanje</v>
      </c>
      <c r="M14" s="32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2:62" ht="15" customHeight="1" thickBot="1">
      <c r="C15" s="317" t="str">
        <f>IF(MasterSheet!$A$1=1,MasterSheet!B71,MasterSheet!B70)</f>
        <v>Budžet Crne Gore</v>
      </c>
      <c r="D15" s="88" t="str">
        <f>+F15</f>
        <v>mil. €</v>
      </c>
      <c r="E15" s="200" t="str">
        <f>+G15</f>
        <v>% BDP</v>
      </c>
      <c r="F15" s="88" t="s">
        <v>262</v>
      </c>
      <c r="G15" s="89" t="s">
        <v>149</v>
      </c>
      <c r="H15" s="199" t="s">
        <v>262</v>
      </c>
      <c r="I15" s="199" t="s">
        <v>441</v>
      </c>
      <c r="J15" s="88" t="s">
        <v>262</v>
      </c>
      <c r="K15" s="89" t="s">
        <v>149</v>
      </c>
      <c r="L15" s="201" t="s">
        <v>262</v>
      </c>
      <c r="M15" s="129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2:62" ht="15" customHeight="1" thickTop="1" thickBot="1">
      <c r="B16" s="80">
        <v>7</v>
      </c>
      <c r="C16" s="90" t="str">
        <f>IF(MasterSheet!$A$1=1,MasterSheet!C72,MasterSheet!B72)</f>
        <v>Izvorni prihodi</v>
      </c>
      <c r="D16" s="163">
        <f>+D17+D25+SUM(D30:D34)</f>
        <v>297738758.42000002</v>
      </c>
      <c r="E16" s="242">
        <f>+D16/$D$11*100</f>
        <v>7.5239754983321543</v>
      </c>
      <c r="F16" s="163">
        <f>+F17+F25+SUM(F30:F34)</f>
        <v>304992586.5868597</v>
      </c>
      <c r="G16" s="242">
        <f>+F16/$D$11*100</f>
        <v>7.7072825883670193</v>
      </c>
      <c r="H16" s="163">
        <f>+D16-F16</f>
        <v>-7253828.1668596864</v>
      </c>
      <c r="I16" s="245">
        <f>+IF(ISNUMBER(D16/F16*100-100),D16/F16*100-100,"...")</f>
        <v>-2.3783621261213312</v>
      </c>
      <c r="J16" s="163">
        <f>+J17+J25+SUM(J30:J34)</f>
        <v>284765397.86999995</v>
      </c>
      <c r="K16" s="242">
        <f>+J16/$J$11*100</f>
        <v>7.5474528987543064</v>
      </c>
      <c r="L16" s="163">
        <f>+D16-J16</f>
        <v>12973360.550000072</v>
      </c>
      <c r="M16" s="242">
        <f t="shared" ref="M16:M59" si="0">+IF(ISNUMBER(D16/J16*100-100),D16/J16*100-100,"...")</f>
        <v>4.5558065154821321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2:69" ht="15" customHeight="1" thickTop="1">
      <c r="B17" s="80">
        <v>711</v>
      </c>
      <c r="C17" s="93" t="str">
        <f>IF(MasterSheet!$A$1=1,MasterSheet!C73,MasterSheet!B73)</f>
        <v>Porezi</v>
      </c>
      <c r="D17" s="152">
        <f>+SUM(D18:D24)</f>
        <v>194651537.56</v>
      </c>
      <c r="E17" s="243">
        <f t="shared" ref="E17:E74" si="1">+D17/$D$11*100</f>
        <v>4.9189208925502879</v>
      </c>
      <c r="F17" s="152">
        <f>+SUM(F18:F24)</f>
        <v>191931750.56307486</v>
      </c>
      <c r="G17" s="243">
        <f t="shared" ref="G17:G74" si="2">+F17/$D$11*100</f>
        <v>4.8501908056978387</v>
      </c>
      <c r="H17" s="205">
        <f t="shared" ref="H17:H68" si="3">+D17-F17</f>
        <v>2719786.9969251454</v>
      </c>
      <c r="I17" s="256">
        <f t="shared" ref="I17:I68" si="4">+IF(ISNUMBER(D17/F17*100-100),D17/F17*100-100,"...")</f>
        <v>1.4170594437585464</v>
      </c>
      <c r="J17" s="152">
        <f>+SUM(J18:J24)</f>
        <v>180419238.19999999</v>
      </c>
      <c r="K17" s="243">
        <f t="shared" ref="K17:K68" si="5">+J17/$J$11*100</f>
        <v>4.7818509992048766</v>
      </c>
      <c r="L17" s="205">
        <f t="shared" ref="L17:L35" si="6">+D17-J17</f>
        <v>14232299.360000014</v>
      </c>
      <c r="M17" s="256">
        <f t="shared" si="0"/>
        <v>7.8884599569271501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2:69" ht="15" customHeight="1">
      <c r="B18" s="80">
        <v>7111</v>
      </c>
      <c r="C18" s="97" t="str">
        <f>IF(MasterSheet!$A$1=1,MasterSheet!C74,MasterSheet!B74)</f>
        <v>Porez na dohodak fizičkih lica</v>
      </c>
      <c r="D18" s="153">
        <v>20700370.130000003</v>
      </c>
      <c r="E18" s="244">
        <f t="shared" si="1"/>
        <v>0.52310649272212684</v>
      </c>
      <c r="F18" s="153">
        <v>22712908.198148303</v>
      </c>
      <c r="G18" s="244">
        <f t="shared" si="2"/>
        <v>0.57396412104893113</v>
      </c>
      <c r="H18" s="206">
        <f t="shared" si="3"/>
        <v>-2012538.0681483001</v>
      </c>
      <c r="I18" s="257">
        <f t="shared" si="4"/>
        <v>-8.8607678531997749</v>
      </c>
      <c r="J18" s="154">
        <v>22269479.659999993</v>
      </c>
      <c r="K18" s="244">
        <f t="shared" si="5"/>
        <v>0.59023269705804382</v>
      </c>
      <c r="L18" s="206">
        <f t="shared" si="6"/>
        <v>-1569109.52999999</v>
      </c>
      <c r="M18" s="257">
        <f t="shared" si="0"/>
        <v>-7.0460089501704601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2:69" ht="15" customHeight="1">
      <c r="B19" s="80">
        <v>7112</v>
      </c>
      <c r="C19" s="97" t="str">
        <f>IF(MasterSheet!$A$1=1,MasterSheet!C75,MasterSheet!B75)</f>
        <v>Porez na dobit pravnih lica</v>
      </c>
      <c r="D19" s="154">
        <v>19487007.920000002</v>
      </c>
      <c r="E19" s="244">
        <f t="shared" si="1"/>
        <v>0.49244435257252606</v>
      </c>
      <c r="F19" s="154">
        <v>17202335.449503724</v>
      </c>
      <c r="G19" s="244">
        <f t="shared" si="2"/>
        <v>0.43470978089314977</v>
      </c>
      <c r="H19" s="206">
        <f t="shared" si="3"/>
        <v>2284672.4704962783</v>
      </c>
      <c r="I19" s="257">
        <f t="shared" si="4"/>
        <v>13.281176135663557</v>
      </c>
      <c r="J19" s="154">
        <v>16590793.719999999</v>
      </c>
      <c r="K19" s="244">
        <f t="shared" si="5"/>
        <v>0.43972419082957853</v>
      </c>
      <c r="L19" s="206">
        <f t="shared" si="6"/>
        <v>2896214.200000003</v>
      </c>
      <c r="M19" s="257">
        <f t="shared" si="0"/>
        <v>17.456754926129008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L19" s="81"/>
    </row>
    <row r="20" spans="2:69" ht="15" customHeight="1">
      <c r="B20" s="80">
        <v>7113</v>
      </c>
      <c r="C20" s="97" t="str">
        <f>IF(MasterSheet!$A$1=1,MasterSheet!C76,MasterSheet!B76)</f>
        <v>Porez na promet nepokretnosti</v>
      </c>
      <c r="D20" s="154">
        <v>255324.69</v>
      </c>
      <c r="E20" s="244">
        <f t="shared" si="1"/>
        <v>6.4521553118366522E-3</v>
      </c>
      <c r="F20" s="154">
        <v>545625.00483547617</v>
      </c>
      <c r="G20" s="244">
        <f t="shared" si="2"/>
        <v>1.3788158415937434E-2</v>
      </c>
      <c r="H20" s="206">
        <f t="shared" si="3"/>
        <v>-290300.31483547617</v>
      </c>
      <c r="I20" s="257">
        <f t="shared" si="4"/>
        <v>-53.205097321925564</v>
      </c>
      <c r="J20" s="154">
        <v>295076.11000000004</v>
      </c>
      <c r="K20" s="244">
        <f t="shared" si="5"/>
        <v>7.8207291280148437E-3</v>
      </c>
      <c r="L20" s="206">
        <f t="shared" si="6"/>
        <v>-39751.420000000042</v>
      </c>
      <c r="M20" s="257">
        <f t="shared" si="0"/>
        <v>-13.471581958973246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</row>
    <row r="21" spans="2:69" ht="15" customHeight="1">
      <c r="B21" s="80">
        <v>7114</v>
      </c>
      <c r="C21" s="97" t="str">
        <f>IF(MasterSheet!$A$1=1,MasterSheet!C77,MasterSheet!B77)</f>
        <v>Porez na dodatu vrijednost</v>
      </c>
      <c r="D21" s="153">
        <v>106205407.37</v>
      </c>
      <c r="E21" s="244">
        <f t="shared" si="1"/>
        <v>2.6838524049833214</v>
      </c>
      <c r="F21" s="153">
        <v>106087842.9110896</v>
      </c>
      <c r="G21" s="244">
        <f t="shared" si="2"/>
        <v>2.6808815048794501</v>
      </c>
      <c r="H21" s="206">
        <f t="shared" si="3"/>
        <v>117564.45891040564</v>
      </c>
      <c r="I21" s="257">
        <f t="shared" si="4"/>
        <v>0.11081803125070167</v>
      </c>
      <c r="J21" s="154">
        <v>101136918.48</v>
      </c>
      <c r="K21" s="244">
        <f t="shared" si="5"/>
        <v>2.6805438240127222</v>
      </c>
      <c r="L21" s="206">
        <f t="shared" si="6"/>
        <v>5068488.8900000006</v>
      </c>
      <c r="M21" s="257">
        <f t="shared" si="0"/>
        <v>5.0115120830009232</v>
      </c>
    </row>
    <row r="22" spans="2:69" ht="15" customHeight="1">
      <c r="B22" s="80">
        <v>7115</v>
      </c>
      <c r="C22" s="97" t="str">
        <f>IF(MasterSheet!$A$1=1,MasterSheet!C78,MasterSheet!B78)</f>
        <v>Akcize</v>
      </c>
      <c r="D22" s="154">
        <v>41137630.969999999</v>
      </c>
      <c r="E22" s="244">
        <f t="shared" si="1"/>
        <v>1.0395641102294553</v>
      </c>
      <c r="F22" s="154">
        <v>38883013.039741859</v>
      </c>
      <c r="G22" s="244">
        <f t="shared" si="2"/>
        <v>0.98258902859956176</v>
      </c>
      <c r="H22" s="206">
        <f t="shared" si="3"/>
        <v>2254617.93025814</v>
      </c>
      <c r="I22" s="257">
        <f t="shared" si="4"/>
        <v>5.7984650725336593</v>
      </c>
      <c r="J22" s="154">
        <v>33745496.479999989</v>
      </c>
      <c r="K22" s="244">
        <f t="shared" si="5"/>
        <v>0.89439428783461405</v>
      </c>
      <c r="L22" s="206">
        <f t="shared" si="6"/>
        <v>7392134.4900000095</v>
      </c>
      <c r="M22" s="257">
        <f t="shared" si="0"/>
        <v>21.905543734942896</v>
      </c>
    </row>
    <row r="23" spans="2:6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4">
        <v>4895082.8100000005</v>
      </c>
      <c r="E23" s="244">
        <f t="shared" si="1"/>
        <v>0.12370066739108461</v>
      </c>
      <c r="F23" s="154">
        <v>4565162.3622602774</v>
      </c>
      <c r="G23" s="244">
        <f t="shared" si="2"/>
        <v>0.11536344794956732</v>
      </c>
      <c r="H23" s="206">
        <f t="shared" si="3"/>
        <v>329920.44773972314</v>
      </c>
      <c r="I23" s="257">
        <f t="shared" si="4"/>
        <v>7.2269159683594495</v>
      </c>
      <c r="J23" s="154">
        <v>4538417.9700000007</v>
      </c>
      <c r="K23" s="244">
        <f t="shared" si="5"/>
        <v>0.12028672064670026</v>
      </c>
      <c r="L23" s="206">
        <f t="shared" si="6"/>
        <v>356664.83999999985</v>
      </c>
      <c r="M23" s="257">
        <f t="shared" si="0"/>
        <v>7.8587922566329667</v>
      </c>
      <c r="BM23" s="138"/>
      <c r="BN23" s="138"/>
      <c r="BO23" s="81"/>
    </row>
    <row r="24" spans="2:69" ht="15" customHeight="1">
      <c r="B24" s="80">
        <v>7118</v>
      </c>
      <c r="C24" s="97" t="s">
        <v>461</v>
      </c>
      <c r="D24" s="154">
        <v>1970713.67</v>
      </c>
      <c r="E24" s="244">
        <f t="shared" si="1"/>
        <v>4.9800709339937327E-2</v>
      </c>
      <c r="F24" s="154">
        <v>1934863.5974955964</v>
      </c>
      <c r="G24" s="244">
        <f t="shared" si="2"/>
        <v>4.8894763911240174E-2</v>
      </c>
      <c r="H24" s="206">
        <f t="shared" si="3"/>
        <v>35850.072504403535</v>
      </c>
      <c r="I24" s="257">
        <f t="shared" si="4"/>
        <v>1.8528475366845782</v>
      </c>
      <c r="J24" s="154">
        <v>1843055.7799999993</v>
      </c>
      <c r="K24" s="244">
        <f t="shared" si="5"/>
        <v>4.8848549695202734E-2</v>
      </c>
      <c r="L24" s="206">
        <f t="shared" si="6"/>
        <v>127657.8900000006</v>
      </c>
      <c r="M24" s="257">
        <f t="shared" si="0"/>
        <v>6.9264257427955158</v>
      </c>
      <c r="BM24" s="138"/>
      <c r="BN24" s="138"/>
      <c r="BO24" s="81"/>
    </row>
    <row r="25" spans="2:69" ht="15" customHeight="1">
      <c r="B25" s="80">
        <v>712</v>
      </c>
      <c r="C25" s="93" t="str">
        <f>IF(MasterSheet!$A$1=1,MasterSheet!C81,MasterSheet!B81)</f>
        <v>Doprinosi</v>
      </c>
      <c r="D25" s="152">
        <f>+SUM(D26:D29)</f>
        <v>85700155.700000003</v>
      </c>
      <c r="E25" s="243">
        <f t="shared" si="1"/>
        <v>2.1656766324674015</v>
      </c>
      <c r="F25" s="152">
        <f>+SUM(F26:F29)</f>
        <v>95293122.329963237</v>
      </c>
      <c r="G25" s="243">
        <f t="shared" si="2"/>
        <v>2.4080946712312556</v>
      </c>
      <c r="H25" s="205">
        <f t="shared" si="3"/>
        <v>-9592966.6299632341</v>
      </c>
      <c r="I25" s="256">
        <f t="shared" si="4"/>
        <v>-10.066798521667181</v>
      </c>
      <c r="J25" s="152">
        <f>+SUM(J26:J29)</f>
        <v>90140128.719999999</v>
      </c>
      <c r="K25" s="243">
        <f t="shared" si="5"/>
        <v>2.3890837190564538</v>
      </c>
      <c r="L25" s="205">
        <f t="shared" si="6"/>
        <v>-4439973.0199999958</v>
      </c>
      <c r="M25" s="256">
        <f t="shared" si="0"/>
        <v>-4.9256342131391619</v>
      </c>
      <c r="BM25" s="138"/>
      <c r="BN25" s="138"/>
      <c r="BO25" s="81"/>
    </row>
    <row r="26" spans="2:69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4">
        <v>51533607.93</v>
      </c>
      <c r="E26" s="244">
        <f t="shared" si="1"/>
        <v>1.3022745357828767</v>
      </c>
      <c r="F26" s="154">
        <v>57963648.693399683</v>
      </c>
      <c r="G26" s="244">
        <f t="shared" si="2"/>
        <v>1.464764194213072</v>
      </c>
      <c r="H26" s="206">
        <f t="shared" si="3"/>
        <v>-6430040.7633996829</v>
      </c>
      <c r="I26" s="257">
        <f t="shared" si="4"/>
        <v>-11.093229823076811</v>
      </c>
      <c r="J26" s="154">
        <v>54003599.459999993</v>
      </c>
      <c r="K26" s="244">
        <f t="shared" si="5"/>
        <v>1.4313172398621783</v>
      </c>
      <c r="L26" s="206">
        <f t="shared" si="6"/>
        <v>-2469991.5299999937</v>
      </c>
      <c r="M26" s="257">
        <f t="shared" si="0"/>
        <v>-4.5737535177252369</v>
      </c>
      <c r="BM26" s="138"/>
      <c r="BN26" s="138"/>
      <c r="BO26" s="81"/>
    </row>
    <row r="27" spans="2:69" ht="15" customHeight="1">
      <c r="B27" s="80">
        <v>7122</v>
      </c>
      <c r="C27" s="97" t="str">
        <f>IF(MasterSheet!$A$1=1,MasterSheet!C83,MasterSheet!B83)</f>
        <v>Doprinosi za zdravstveno osiguranje</v>
      </c>
      <c r="D27" s="154">
        <v>29657420.16</v>
      </c>
      <c r="E27" s="244">
        <f t="shared" si="1"/>
        <v>0.74945466895784907</v>
      </c>
      <c r="F27" s="154">
        <v>32784672.767619453</v>
      </c>
      <c r="G27" s="244">
        <f t="shared" si="2"/>
        <v>0.82848157201100403</v>
      </c>
      <c r="H27" s="206">
        <f t="shared" si="3"/>
        <v>-3127252.6076194532</v>
      </c>
      <c r="I27" s="257">
        <f t="shared" si="4"/>
        <v>-9.5387641346481757</v>
      </c>
      <c r="J27" s="154">
        <v>31264327.100000001</v>
      </c>
      <c r="K27" s="244">
        <f t="shared" si="5"/>
        <v>0.82863310628147369</v>
      </c>
      <c r="L27" s="206">
        <f t="shared" si="6"/>
        <v>-1606906.9400000013</v>
      </c>
      <c r="M27" s="257">
        <f t="shared" si="0"/>
        <v>-5.1397458031329393</v>
      </c>
      <c r="BM27" s="138"/>
      <c r="BN27" s="138"/>
      <c r="BO27" s="81"/>
    </row>
    <row r="28" spans="2:69" ht="15" customHeight="1">
      <c r="B28" s="80">
        <v>7123</v>
      </c>
      <c r="C28" s="97" t="str">
        <f>IF(MasterSheet!$A$1=1,MasterSheet!C84,MasterSheet!B84)</f>
        <v>Doprinosi za osiguranje od nezaposlenosti</v>
      </c>
      <c r="D28" s="154">
        <v>2358732.2199999997</v>
      </c>
      <c r="E28" s="244">
        <f t="shared" si="1"/>
        <v>5.9606090670170822E-2</v>
      </c>
      <c r="F28" s="154">
        <v>2142258.5001878752</v>
      </c>
      <c r="G28" s="244">
        <f t="shared" si="2"/>
        <v>5.4135714651467583E-2</v>
      </c>
      <c r="H28" s="206">
        <f t="shared" si="3"/>
        <v>216473.7198121245</v>
      </c>
      <c r="I28" s="257">
        <f t="shared" si="4"/>
        <v>10.104929904264111</v>
      </c>
      <c r="J28" s="154">
        <v>2530450.5399999991</v>
      </c>
      <c r="K28" s="244">
        <f t="shared" si="5"/>
        <v>6.706733474688574E-2</v>
      </c>
      <c r="L28" s="206">
        <f t="shared" si="6"/>
        <v>-171718.31999999937</v>
      </c>
      <c r="M28" s="257">
        <f t="shared" si="0"/>
        <v>-6.786076917353995</v>
      </c>
      <c r="BM28" s="138"/>
      <c r="BN28" s="138"/>
      <c r="BO28" s="81"/>
    </row>
    <row r="29" spans="2:69" ht="15" customHeight="1">
      <c r="B29" s="80">
        <v>7124</v>
      </c>
      <c r="C29" s="97" t="str">
        <f>IF(MasterSheet!$A$1=1,MasterSheet!C85,MasterSheet!B85)</f>
        <v>Ostali doprinosi</v>
      </c>
      <c r="D29" s="153">
        <v>2150395.39</v>
      </c>
      <c r="E29" s="244">
        <f t="shared" si="1"/>
        <v>5.434133705650461E-2</v>
      </c>
      <c r="F29" s="153">
        <v>2402542.3687562374</v>
      </c>
      <c r="G29" s="244">
        <f t="shared" si="2"/>
        <v>6.071319035571205E-2</v>
      </c>
      <c r="H29" s="206">
        <f t="shared" si="3"/>
        <v>-252146.97875623731</v>
      </c>
      <c r="I29" s="257">
        <f t="shared" si="4"/>
        <v>-10.495006541207019</v>
      </c>
      <c r="J29" s="154">
        <v>2341751.62</v>
      </c>
      <c r="K29" s="244">
        <f t="shared" si="5"/>
        <v>6.2066038165915716E-2</v>
      </c>
      <c r="L29" s="206">
        <f t="shared" si="6"/>
        <v>-191356.22999999998</v>
      </c>
      <c r="M29" s="257">
        <f t="shared" si="0"/>
        <v>-8.1714998450604241</v>
      </c>
      <c r="BM29" s="81"/>
      <c r="BN29" s="81"/>
      <c r="BO29" s="81"/>
    </row>
    <row r="30" spans="2:69" ht="15" customHeight="1">
      <c r="B30" s="80">
        <v>713</v>
      </c>
      <c r="C30" s="93" t="str">
        <f>IF(MasterSheet!$A$1=1,MasterSheet!C86,MasterSheet!B86)</f>
        <v>Takse</v>
      </c>
      <c r="D30" s="152">
        <v>2282180.02</v>
      </c>
      <c r="E30" s="243">
        <f t="shared" si="1"/>
        <v>5.7671586475285558E-2</v>
      </c>
      <c r="F30" s="152">
        <v>2668586.1003126977</v>
      </c>
      <c r="G30" s="243">
        <f t="shared" si="2"/>
        <v>6.7436220062486049E-2</v>
      </c>
      <c r="H30" s="205">
        <f t="shared" si="3"/>
        <v>-386406.08031269768</v>
      </c>
      <c r="I30" s="256">
        <f t="shared" si="4"/>
        <v>-14.479805626935544</v>
      </c>
      <c r="J30" s="152">
        <v>2470447.08</v>
      </c>
      <c r="K30" s="243">
        <f t="shared" si="5"/>
        <v>6.5476996554465941E-2</v>
      </c>
      <c r="L30" s="205">
        <f t="shared" si="6"/>
        <v>-188267.06000000006</v>
      </c>
      <c r="M30" s="256">
        <f t="shared" si="0"/>
        <v>-7.6207687881336881</v>
      </c>
      <c r="BM30" s="81"/>
      <c r="BN30" s="81"/>
      <c r="BO30" s="81"/>
    </row>
    <row r="31" spans="2:69" ht="15" customHeight="1">
      <c r="B31" s="80">
        <v>714</v>
      </c>
      <c r="C31" s="93" t="str">
        <f>IF(MasterSheet!$A$1=1,MasterSheet!C91,MasterSheet!B91)</f>
        <v>Naknade</v>
      </c>
      <c r="D31" s="152">
        <v>4541619.6199999992</v>
      </c>
      <c r="E31" s="243">
        <f t="shared" si="1"/>
        <v>0.11476851359547152</v>
      </c>
      <c r="F31" s="152">
        <v>4247518.0883582663</v>
      </c>
      <c r="G31" s="243">
        <f t="shared" si="2"/>
        <v>0.10733645224801037</v>
      </c>
      <c r="H31" s="205">
        <f t="shared" si="3"/>
        <v>294101.5316417329</v>
      </c>
      <c r="I31" s="256">
        <f t="shared" si="4"/>
        <v>6.9240795571375173</v>
      </c>
      <c r="J31" s="152">
        <v>4234315.87</v>
      </c>
      <c r="K31" s="243">
        <f t="shared" si="5"/>
        <v>0.11222676570368406</v>
      </c>
      <c r="L31" s="205">
        <f t="shared" si="6"/>
        <v>307303.74999999907</v>
      </c>
      <c r="M31" s="256">
        <f t="shared" si="0"/>
        <v>7.2574592787759968</v>
      </c>
      <c r="BM31" s="138"/>
      <c r="BN31" s="138"/>
      <c r="BO31" s="138"/>
    </row>
    <row r="32" spans="2:69" ht="15" customHeight="1">
      <c r="B32" s="80">
        <v>715</v>
      </c>
      <c r="C32" s="93" t="str">
        <f>IF(MasterSheet!$A$1=1,MasterSheet!C98,MasterSheet!B98)</f>
        <v>Ostali prihodi</v>
      </c>
      <c r="D32" s="152">
        <v>6153138.8200000003</v>
      </c>
      <c r="E32" s="243">
        <f t="shared" si="1"/>
        <v>0.15549223744061458</v>
      </c>
      <c r="F32" s="152">
        <v>7184787.6370446961</v>
      </c>
      <c r="G32" s="243">
        <f t="shared" si="2"/>
        <v>0.18156240869919882</v>
      </c>
      <c r="H32" s="205">
        <f t="shared" si="3"/>
        <v>-1031648.8170446958</v>
      </c>
      <c r="I32" s="256">
        <f t="shared" si="4"/>
        <v>-14.358793455850034</v>
      </c>
      <c r="J32" s="152">
        <v>6070064.0900000017</v>
      </c>
      <c r="K32" s="243">
        <f t="shared" si="5"/>
        <v>0.160881635038431</v>
      </c>
      <c r="L32" s="205">
        <f t="shared" si="6"/>
        <v>83074.729999998584</v>
      </c>
      <c r="M32" s="256">
        <f t="shared" si="0"/>
        <v>1.3685972465572291</v>
      </c>
      <c r="BM32" s="81"/>
      <c r="BN32" s="81"/>
      <c r="BO32" s="81"/>
      <c r="BP32" s="81"/>
      <c r="BQ32" s="81"/>
    </row>
    <row r="33" spans="1:70">
      <c r="B33" s="80">
        <v>73</v>
      </c>
      <c r="C33" s="101" t="str">
        <f>IF(MasterSheet!$A$1=1,MasterSheet!C103,MasterSheet!B103)</f>
        <v xml:space="preserve">Primici od otplate kredita </v>
      </c>
      <c r="D33" s="152">
        <v>776589.92</v>
      </c>
      <c r="E33" s="243">
        <f t="shared" si="1"/>
        <v>1.9624732639239868E-2</v>
      </c>
      <c r="F33" s="152">
        <v>433830.05676903774</v>
      </c>
      <c r="G33" s="243">
        <f t="shared" si="2"/>
        <v>1.0963056119706806E-2</v>
      </c>
      <c r="H33" s="205">
        <f t="shared" si="3"/>
        <v>342759.86323096231</v>
      </c>
      <c r="I33" s="256">
        <f t="shared" si="4"/>
        <v>79.007864458188209</v>
      </c>
      <c r="J33" s="152">
        <v>349880.75</v>
      </c>
      <c r="K33" s="243">
        <f t="shared" si="5"/>
        <v>9.2732772329711111E-3</v>
      </c>
      <c r="L33" s="205">
        <f t="shared" si="6"/>
        <v>426709.17000000004</v>
      </c>
      <c r="M33" s="256">
        <f t="shared" si="0"/>
        <v>121.9584587034297</v>
      </c>
      <c r="BL33" s="100"/>
      <c r="BM33" s="100"/>
      <c r="BN33" s="99"/>
      <c r="BO33" s="143"/>
      <c r="BP33" s="143"/>
      <c r="BQ33" s="143"/>
      <c r="BR33" s="140"/>
    </row>
    <row r="34" spans="1:70" ht="13.5" customHeight="1" thickBot="1">
      <c r="B34" s="80">
        <v>74</v>
      </c>
      <c r="C34" s="93" t="s">
        <v>122</v>
      </c>
      <c r="D34" s="152">
        <v>3633536.7800000003</v>
      </c>
      <c r="E34" s="243">
        <f t="shared" si="1"/>
        <v>9.1820903163853246E-2</v>
      </c>
      <c r="F34" s="152">
        <v>3232991.8113368941</v>
      </c>
      <c r="G34" s="243">
        <f t="shared" si="2"/>
        <v>8.1698974308523561E-2</v>
      </c>
      <c r="H34" s="205">
        <f t="shared" si="3"/>
        <v>400544.96866310621</v>
      </c>
      <c r="I34" s="256">
        <f t="shared" si="4"/>
        <v>12.389297345528206</v>
      </c>
      <c r="J34" s="152">
        <v>1081323.1600000001</v>
      </c>
      <c r="K34" s="243">
        <f t="shared" si="5"/>
        <v>2.8659505963424335E-2</v>
      </c>
      <c r="L34" s="205">
        <f t="shared" si="6"/>
        <v>2552213.62</v>
      </c>
      <c r="M34" s="256">
        <f t="shared" si="0"/>
        <v>236.02690799668062</v>
      </c>
      <c r="BM34" s="159"/>
      <c r="BN34" s="159"/>
      <c r="BO34" s="143"/>
      <c r="BP34" s="143"/>
      <c r="BQ34" s="143"/>
      <c r="BR34" s="140"/>
    </row>
    <row r="35" spans="1:70" ht="15" customHeight="1" thickTop="1" thickBot="1">
      <c r="B35" s="102"/>
      <c r="C35" s="90" t="s">
        <v>460</v>
      </c>
      <c r="D35" s="91">
        <f>+D37+D48+D54+SUM(D57:D62)</f>
        <v>368247438.16999996</v>
      </c>
      <c r="E35" s="245">
        <f t="shared" si="1"/>
        <v>9.3057575601435349</v>
      </c>
      <c r="F35" s="91">
        <f>+F37+F48+F54+SUM(F57:F62)</f>
        <v>424859823.4375</v>
      </c>
      <c r="G35" s="250">
        <f t="shared" si="2"/>
        <v>10.736374796257454</v>
      </c>
      <c r="H35" s="91">
        <f t="shared" si="3"/>
        <v>-56612385.267500043</v>
      </c>
      <c r="I35" s="245">
        <f t="shared" si="4"/>
        <v>-13.324956172474643</v>
      </c>
      <c r="J35" s="91">
        <f>+J37+J48+J54+SUM(J57:J62)</f>
        <v>356580756.70999998</v>
      </c>
      <c r="K35" s="245">
        <f t="shared" si="5"/>
        <v>9.4508549353299767</v>
      </c>
      <c r="L35" s="91">
        <f t="shared" si="6"/>
        <v>11666681.459999979</v>
      </c>
      <c r="M35" s="245">
        <f t="shared" si="0"/>
        <v>3.2718202652445143</v>
      </c>
      <c r="BM35" s="81"/>
      <c r="BN35" s="81"/>
      <c r="BO35" s="143"/>
      <c r="BP35" s="143"/>
      <c r="BQ35" s="143"/>
      <c r="BR35" s="140"/>
    </row>
    <row r="36" spans="1:70" ht="13.5" customHeight="1" thickTop="1" thickBot="1">
      <c r="C36" s="297" t="s">
        <v>448</v>
      </c>
      <c r="D36" s="91">
        <f>+D35-D57</f>
        <v>359283382.89999998</v>
      </c>
      <c r="E36" s="245">
        <f t="shared" si="1"/>
        <v>9.0792323587385013</v>
      </c>
      <c r="F36" s="91">
        <f>+F35-F57</f>
        <v>382398033.4375</v>
      </c>
      <c r="G36" s="250">
        <f t="shared" si="2"/>
        <v>9.6633486666708794</v>
      </c>
      <c r="H36" s="91">
        <f t="shared" si="3"/>
        <v>-23114650.537500024</v>
      </c>
      <c r="I36" s="245">
        <f t="shared" si="4"/>
        <v>-6.0446572723491698</v>
      </c>
      <c r="J36" s="160">
        <f>+J35-J57</f>
        <v>354142831.76999998</v>
      </c>
      <c r="K36" s="245">
        <f t="shared" si="5"/>
        <v>9.386239909090909</v>
      </c>
      <c r="L36" s="91">
        <f t="shared" ref="L36:L74" si="7">+D36-J36</f>
        <v>5140551.1299999952</v>
      </c>
      <c r="M36" s="245">
        <f t="shared" si="0"/>
        <v>1.4515474178335381</v>
      </c>
      <c r="N36" s="212"/>
      <c r="BM36" s="159"/>
      <c r="BN36" s="159"/>
      <c r="BO36" s="143"/>
      <c r="BP36" s="143"/>
      <c r="BQ36" s="143"/>
      <c r="BR36" s="140"/>
    </row>
    <row r="37" spans="1:70" ht="13.5" customHeight="1" thickTop="1">
      <c r="A37" s="80">
        <v>41</v>
      </c>
      <c r="B37" s="80">
        <v>41</v>
      </c>
      <c r="C37" s="93" t="s">
        <v>62</v>
      </c>
      <c r="D37" s="94">
        <f>+SUM(D38:D47)</f>
        <v>189036648.19</v>
      </c>
      <c r="E37" s="243">
        <f t="shared" si="1"/>
        <v>4.7770304303547961</v>
      </c>
      <c r="F37" s="94">
        <f>+SUM(F38:F47)</f>
        <v>194563761.63749999</v>
      </c>
      <c r="G37" s="251">
        <f t="shared" si="2"/>
        <v>4.9167027604745774</v>
      </c>
      <c r="H37" s="203">
        <f t="shared" si="3"/>
        <v>-5527113.4474999905</v>
      </c>
      <c r="I37" s="256">
        <f t="shared" si="4"/>
        <v>-2.8407723005467886</v>
      </c>
      <c r="J37" s="94">
        <f>+SUM(J38:J47)</f>
        <v>168201829.16999999</v>
      </c>
      <c r="K37" s="243">
        <f t="shared" si="5"/>
        <v>4.4580394691227134</v>
      </c>
      <c r="L37" s="203">
        <f t="shared" si="7"/>
        <v>20834819.020000011</v>
      </c>
      <c r="M37" s="256">
        <f t="shared" si="0"/>
        <v>12.386796934855255</v>
      </c>
      <c r="BM37" s="159"/>
      <c r="BN37" s="159"/>
      <c r="BO37" s="143"/>
      <c r="BP37" s="143"/>
      <c r="BQ37" s="143"/>
      <c r="BR37" s="140"/>
    </row>
    <row r="38" spans="1:70" ht="13.5" customHeight="1">
      <c r="B38" s="80">
        <v>411</v>
      </c>
      <c r="C38" s="93" t="s">
        <v>63</v>
      </c>
      <c r="D38" s="164">
        <v>109193717.32000001</v>
      </c>
      <c r="E38" s="243">
        <f t="shared" si="1"/>
        <v>2.7593681724451637</v>
      </c>
      <c r="F38" s="152">
        <v>109561559.99499997</v>
      </c>
      <c r="G38" s="251">
        <f t="shared" si="2"/>
        <v>2.7686637014808442</v>
      </c>
      <c r="H38" s="205">
        <f t="shared" si="3"/>
        <v>-367842.67499996722</v>
      </c>
      <c r="I38" s="256">
        <f t="shared" si="4"/>
        <v>-0.33574063295260714</v>
      </c>
      <c r="J38" s="152">
        <v>97503883.709999979</v>
      </c>
      <c r="K38" s="243">
        <f t="shared" si="5"/>
        <v>2.5842534776040282</v>
      </c>
      <c r="L38" s="205">
        <f t="shared" si="7"/>
        <v>11689833.610000029</v>
      </c>
      <c r="M38" s="256">
        <f t="shared" si="0"/>
        <v>11.98909537261963</v>
      </c>
      <c r="BM38" s="159"/>
      <c r="BN38" s="159"/>
      <c r="BO38" s="143"/>
      <c r="BP38" s="143"/>
      <c r="BQ38" s="143"/>
      <c r="BR38" s="140"/>
    </row>
    <row r="39" spans="1:70" ht="13.5" customHeight="1">
      <c r="B39" s="80">
        <v>412</v>
      </c>
      <c r="C39" s="93" t="s">
        <v>74</v>
      </c>
      <c r="D39" s="152">
        <v>1927480.5899999999</v>
      </c>
      <c r="E39" s="243">
        <f t="shared" si="1"/>
        <v>4.870819240877388E-2</v>
      </c>
      <c r="F39" s="152">
        <v>2547036.7425000002</v>
      </c>
      <c r="G39" s="251">
        <f t="shared" si="2"/>
        <v>6.4364619996462147E-2</v>
      </c>
      <c r="H39" s="205">
        <f t="shared" si="3"/>
        <v>-619556.15250000032</v>
      </c>
      <c r="I39" s="256">
        <f t="shared" si="4"/>
        <v>-24.324586377654128</v>
      </c>
      <c r="J39" s="152">
        <v>2950991.69</v>
      </c>
      <c r="K39" s="243">
        <f t="shared" si="5"/>
        <v>7.8213402862443673E-2</v>
      </c>
      <c r="L39" s="205">
        <f t="shared" si="7"/>
        <v>-1023511.1000000001</v>
      </c>
      <c r="M39" s="256">
        <f t="shared" si="0"/>
        <v>-34.683632064040154</v>
      </c>
      <c r="BM39" s="159"/>
      <c r="BN39" s="159"/>
      <c r="BO39" s="143"/>
      <c r="BP39" s="143"/>
      <c r="BQ39" s="143"/>
      <c r="BR39" s="140"/>
    </row>
    <row r="40" spans="1:70" ht="13.5" customHeight="1">
      <c r="B40" s="80">
        <v>413</v>
      </c>
      <c r="C40" s="93" t="s">
        <v>428</v>
      </c>
      <c r="D40" s="152">
        <v>5845529.9900000002</v>
      </c>
      <c r="E40" s="243">
        <f t="shared" si="1"/>
        <v>0.14771884135247143</v>
      </c>
      <c r="F40" s="152">
        <v>5919422.5800000001</v>
      </c>
      <c r="G40" s="251">
        <f t="shared" si="2"/>
        <v>0.1495861361568786</v>
      </c>
      <c r="H40" s="205">
        <f t="shared" si="3"/>
        <v>-73892.589999999851</v>
      </c>
      <c r="I40" s="256">
        <f t="shared" si="4"/>
        <v>-1.2483073982530186</v>
      </c>
      <c r="J40" s="152">
        <v>5637436.790000001</v>
      </c>
      <c r="K40" s="243">
        <f t="shared" si="5"/>
        <v>0.14941523429631595</v>
      </c>
      <c r="L40" s="205">
        <f t="shared" si="7"/>
        <v>208093.19999999925</v>
      </c>
      <c r="M40" s="256">
        <f t="shared" si="0"/>
        <v>3.6912733171416932</v>
      </c>
      <c r="BM40" s="159"/>
      <c r="BN40" s="159"/>
      <c r="BO40" s="143"/>
      <c r="BP40" s="143"/>
      <c r="BQ40" s="143"/>
      <c r="BR40" s="140"/>
    </row>
    <row r="41" spans="1:70" ht="13.5" customHeight="1">
      <c r="B41" s="80">
        <v>414</v>
      </c>
      <c r="C41" s="93" t="s">
        <v>429</v>
      </c>
      <c r="D41" s="152">
        <v>11815678.470000001</v>
      </c>
      <c r="E41" s="243">
        <f t="shared" si="1"/>
        <v>0.29858684094814519</v>
      </c>
      <c r="F41" s="152">
        <v>10604950.199999999</v>
      </c>
      <c r="G41" s="251">
        <f t="shared" si="2"/>
        <v>0.26799126149802888</v>
      </c>
      <c r="H41" s="205">
        <f t="shared" si="3"/>
        <v>1210728.2700000014</v>
      </c>
      <c r="I41" s="256">
        <f t="shared" si="4"/>
        <v>11.41663324359601</v>
      </c>
      <c r="J41" s="152">
        <v>10800306.800000001</v>
      </c>
      <c r="K41" s="243">
        <f t="shared" si="5"/>
        <v>0.28625249933739733</v>
      </c>
      <c r="L41" s="205">
        <f t="shared" si="7"/>
        <v>1015371.6699999999</v>
      </c>
      <c r="M41" s="256">
        <f t="shared" si="0"/>
        <v>9.4013224698394708</v>
      </c>
      <c r="BM41" s="159"/>
      <c r="BN41" s="159"/>
      <c r="BO41" s="143"/>
      <c r="BP41" s="143"/>
      <c r="BQ41" s="143"/>
      <c r="BR41" s="140"/>
    </row>
    <row r="42" spans="1:70" ht="13.5" customHeight="1">
      <c r="B42" s="80">
        <v>415</v>
      </c>
      <c r="C42" s="93" t="s">
        <v>430</v>
      </c>
      <c r="D42" s="152">
        <v>2483254.8199999998</v>
      </c>
      <c r="E42" s="243">
        <f t="shared" si="1"/>
        <v>6.2752825735368445E-2</v>
      </c>
      <c r="F42" s="152">
        <v>4245393.93</v>
      </c>
      <c r="G42" s="251">
        <f t="shared" si="2"/>
        <v>0.10728277393106235</v>
      </c>
      <c r="H42" s="205">
        <f t="shared" si="3"/>
        <v>-1762139.1099999999</v>
      </c>
      <c r="I42" s="256">
        <f t="shared" si="4"/>
        <v>-41.507081299284756</v>
      </c>
      <c r="J42" s="152">
        <v>2322441.83</v>
      </c>
      <c r="K42" s="243">
        <f t="shared" si="5"/>
        <v>6.1554249403657571E-2</v>
      </c>
      <c r="L42" s="205">
        <f t="shared" si="7"/>
        <v>160812.98999999976</v>
      </c>
      <c r="M42" s="256">
        <f t="shared" si="0"/>
        <v>6.9243064744489118</v>
      </c>
      <c r="BM42" s="159"/>
      <c r="BN42" s="159"/>
      <c r="BO42" s="143"/>
      <c r="BP42" s="143"/>
      <c r="BQ42" s="143"/>
      <c r="BR42" s="140"/>
    </row>
    <row r="43" spans="1:70" ht="13.5" customHeight="1">
      <c r="B43" s="80">
        <v>416</v>
      </c>
      <c r="C43" s="93" t="s">
        <v>79</v>
      </c>
      <c r="D43" s="152">
        <v>43696938.169999994</v>
      </c>
      <c r="E43" s="243">
        <f t="shared" si="1"/>
        <v>1.1042388095117759</v>
      </c>
      <c r="F43" s="152">
        <v>40556719.140000001</v>
      </c>
      <c r="G43" s="251">
        <f t="shared" si="2"/>
        <v>1.0248842398665723</v>
      </c>
      <c r="H43" s="205">
        <f t="shared" si="3"/>
        <v>3140219.0299999937</v>
      </c>
      <c r="I43" s="256">
        <f t="shared" si="4"/>
        <v>7.742783678236151</v>
      </c>
      <c r="J43" s="152">
        <v>31450165.119999997</v>
      </c>
      <c r="K43" s="243">
        <f t="shared" si="5"/>
        <v>0.83355857725947513</v>
      </c>
      <c r="L43" s="205">
        <f t="shared" si="7"/>
        <v>12246773.049999997</v>
      </c>
      <c r="M43" s="256">
        <f t="shared" si="0"/>
        <v>38.940250403365781</v>
      </c>
      <c r="BM43" s="159"/>
      <c r="BN43" s="159"/>
      <c r="BO43" s="143"/>
      <c r="BP43" s="143"/>
      <c r="BQ43" s="143"/>
      <c r="BR43" s="140"/>
    </row>
    <row r="44" spans="1:70" ht="13.5" customHeight="1">
      <c r="B44" s="80">
        <v>417</v>
      </c>
      <c r="C44" s="93" t="s">
        <v>81</v>
      </c>
      <c r="D44" s="152">
        <v>1833053.4100000001</v>
      </c>
      <c r="E44" s="243">
        <f t="shared" si="1"/>
        <v>4.6321980440715664E-2</v>
      </c>
      <c r="F44" s="152">
        <v>2330944.88</v>
      </c>
      <c r="G44" s="251">
        <f t="shared" si="2"/>
        <v>5.8903893662185382E-2</v>
      </c>
      <c r="H44" s="205">
        <f t="shared" si="3"/>
        <v>-497891.46999999974</v>
      </c>
      <c r="I44" s="256">
        <f t="shared" si="4"/>
        <v>-21.360070513550696</v>
      </c>
      <c r="J44" s="152">
        <v>2505470.4899999998</v>
      </c>
      <c r="K44" s="243">
        <f t="shared" si="5"/>
        <v>6.6405260800424068E-2</v>
      </c>
      <c r="L44" s="205">
        <f t="shared" si="7"/>
        <v>-672417.07999999961</v>
      </c>
      <c r="M44" s="256">
        <f t="shared" si="0"/>
        <v>-26.837956490958305</v>
      </c>
      <c r="BM44" s="159"/>
      <c r="BN44" s="159"/>
      <c r="BO44" s="143"/>
      <c r="BP44" s="143"/>
      <c r="BQ44" s="143"/>
      <c r="BR44" s="140"/>
    </row>
    <row r="45" spans="1:70" ht="13.5" customHeight="1">
      <c r="B45" s="80">
        <v>418</v>
      </c>
      <c r="C45" s="93" t="s">
        <v>83</v>
      </c>
      <c r="D45" s="152">
        <v>3002828.18</v>
      </c>
      <c r="E45" s="243">
        <f t="shared" si="1"/>
        <v>7.5882648842616002E-2</v>
      </c>
      <c r="F45" s="152">
        <v>4984359.99</v>
      </c>
      <c r="G45" s="251">
        <f t="shared" si="2"/>
        <v>0.12595673683412514</v>
      </c>
      <c r="H45" s="205">
        <f t="shared" si="3"/>
        <v>-1981531.81</v>
      </c>
      <c r="I45" s="256">
        <f t="shared" si="4"/>
        <v>-39.754989887879269</v>
      </c>
      <c r="J45" s="152">
        <v>3010942.39</v>
      </c>
      <c r="K45" s="243">
        <f t="shared" si="5"/>
        <v>7.9802342698118214E-2</v>
      </c>
      <c r="L45" s="205">
        <f t="shared" si="7"/>
        <v>-8114.2099999999627</v>
      </c>
      <c r="M45" s="256">
        <f t="shared" si="0"/>
        <v>-0.26949070918624329</v>
      </c>
      <c r="BM45" s="159"/>
      <c r="BN45" s="159"/>
      <c r="BO45" s="143"/>
      <c r="BP45" s="143"/>
      <c r="BQ45" s="143"/>
      <c r="BR45" s="140"/>
    </row>
    <row r="46" spans="1:70" ht="13.5" customHeight="1">
      <c r="B46" s="80">
        <v>419</v>
      </c>
      <c r="C46" s="93" t="s">
        <v>85</v>
      </c>
      <c r="D46" s="152">
        <v>6306141.3399999999</v>
      </c>
      <c r="E46" s="243">
        <f t="shared" si="1"/>
        <v>0.15935867128272516</v>
      </c>
      <c r="F46" s="152">
        <v>6591989.5199999996</v>
      </c>
      <c r="G46" s="251">
        <f t="shared" si="2"/>
        <v>0.16658216718892144</v>
      </c>
      <c r="H46" s="205">
        <f t="shared" si="3"/>
        <v>-285848.1799999997</v>
      </c>
      <c r="I46" s="256">
        <f t="shared" si="4"/>
        <v>-4.3362960322182005</v>
      </c>
      <c r="J46" s="152">
        <v>7351969.2700000005</v>
      </c>
      <c r="K46" s="243">
        <f>+J45/$J$11*100</f>
        <v>7.9802342698118214E-2</v>
      </c>
      <c r="L46" s="205">
        <f t="shared" si="7"/>
        <v>-1045827.9300000006</v>
      </c>
      <c r="M46" s="256">
        <f t="shared" si="0"/>
        <v>-14.225140116778547</v>
      </c>
      <c r="BM46" s="159"/>
      <c r="BN46" s="159"/>
      <c r="BO46" s="143"/>
      <c r="BP46" s="143"/>
      <c r="BQ46" s="143"/>
      <c r="BR46" s="140"/>
    </row>
    <row r="47" spans="1:70" ht="13.5" customHeight="1">
      <c r="B47" s="80">
        <v>441</v>
      </c>
      <c r="C47" s="93" t="s">
        <v>129</v>
      </c>
      <c r="D47" s="164">
        <v>2932025.9</v>
      </c>
      <c r="E47" s="246">
        <f t="shared" si="1"/>
        <v>7.409344738704135E-2</v>
      </c>
      <c r="F47" s="152">
        <v>7221384.6600000001</v>
      </c>
      <c r="G47" s="251">
        <f t="shared" si="2"/>
        <v>0.18248722985949661</v>
      </c>
      <c r="H47" s="205">
        <f t="shared" si="3"/>
        <v>-4289358.76</v>
      </c>
      <c r="I47" s="258">
        <f t="shared" si="4"/>
        <v>-59.398009688629436</v>
      </c>
      <c r="J47" s="152">
        <v>4668221.08</v>
      </c>
      <c r="K47" s="246">
        <f>+J46/$J$11*100</f>
        <v>0.1948573885502253</v>
      </c>
      <c r="L47" s="205">
        <f t="shared" si="7"/>
        <v>-1736195.1800000002</v>
      </c>
      <c r="M47" s="258">
        <f t="shared" si="0"/>
        <v>-37.191794266950183</v>
      </c>
      <c r="BM47" s="159"/>
      <c r="BN47" s="159"/>
      <c r="BO47" s="143"/>
      <c r="BP47" s="143"/>
      <c r="BQ47" s="143"/>
      <c r="BR47" s="140"/>
    </row>
    <row r="48" spans="1:70" ht="13.5" customHeight="1">
      <c r="A48" s="80">
        <v>42</v>
      </c>
      <c r="B48" s="80">
        <v>42</v>
      </c>
      <c r="C48" s="93" t="s">
        <v>86</v>
      </c>
      <c r="D48" s="152">
        <f>+SUM(D49:D53)</f>
        <v>136609747.72</v>
      </c>
      <c r="E48" s="243">
        <f t="shared" si="1"/>
        <v>3.4521820408369557</v>
      </c>
      <c r="F48" s="152">
        <f>+SUM(F49:F53)</f>
        <v>142729526.25</v>
      </c>
      <c r="G48" s="251">
        <f t="shared" si="2"/>
        <v>3.6068312506317599</v>
      </c>
      <c r="H48" s="203">
        <f t="shared" si="3"/>
        <v>-6119778.5300000012</v>
      </c>
      <c r="I48" s="256">
        <f t="shared" si="4"/>
        <v>-4.2876752209495947</v>
      </c>
      <c r="J48" s="152">
        <f>+SUM(J49:J53)</f>
        <v>129274435.21999998</v>
      </c>
      <c r="K48" s="243">
        <f t="shared" si="5"/>
        <v>3.4263036103896098</v>
      </c>
      <c r="L48" s="203">
        <f t="shared" si="7"/>
        <v>7335312.5000000149</v>
      </c>
      <c r="M48" s="256">
        <f t="shared" si="0"/>
        <v>5.6742174023168133</v>
      </c>
      <c r="BM48" s="159"/>
      <c r="BN48" s="159"/>
      <c r="BO48" s="143"/>
      <c r="BP48" s="143"/>
      <c r="BQ48" s="143"/>
      <c r="BR48" s="140"/>
    </row>
    <row r="49" spans="1:70" ht="13.5" customHeight="1">
      <c r="B49" s="80">
        <v>421</v>
      </c>
      <c r="C49" s="97" t="s">
        <v>88</v>
      </c>
      <c r="D49" s="154">
        <v>29681873.329999998</v>
      </c>
      <c r="E49" s="244">
        <f t="shared" si="1"/>
        <v>0.75007261017891436</v>
      </c>
      <c r="F49" s="154">
        <v>28678906.25</v>
      </c>
      <c r="G49" s="252">
        <f t="shared" si="2"/>
        <v>0.72472723769331848</v>
      </c>
      <c r="H49" s="206">
        <f t="shared" si="3"/>
        <v>1002967.0799999982</v>
      </c>
      <c r="I49" s="257">
        <f t="shared" si="4"/>
        <v>3.497229187392719</v>
      </c>
      <c r="J49" s="154">
        <v>20392502.149999999</v>
      </c>
      <c r="K49" s="244">
        <f t="shared" si="5"/>
        <v>0.54048508216273516</v>
      </c>
      <c r="L49" s="206">
        <f t="shared" si="7"/>
        <v>9289371.1799999997</v>
      </c>
      <c r="M49" s="257">
        <f t="shared" si="0"/>
        <v>45.552875815192692</v>
      </c>
      <c r="BM49" s="159"/>
      <c r="BN49" s="159"/>
      <c r="BO49" s="143"/>
      <c r="BP49" s="143"/>
      <c r="BQ49" s="143"/>
      <c r="BR49" s="140"/>
    </row>
    <row r="50" spans="1:70" ht="13.5" customHeight="1">
      <c r="B50" s="80">
        <v>422</v>
      </c>
      <c r="C50" s="97" t="s">
        <v>90</v>
      </c>
      <c r="D50" s="154">
        <v>2264022.77</v>
      </c>
      <c r="E50" s="244">
        <f t="shared" si="1"/>
        <v>5.7212745628221977E-2</v>
      </c>
      <c r="F50" s="154">
        <v>5149120</v>
      </c>
      <c r="G50" s="252">
        <f t="shared" si="2"/>
        <v>0.13012028707166681</v>
      </c>
      <c r="H50" s="206">
        <f t="shared" si="3"/>
        <v>-2885097.23</v>
      </c>
      <c r="I50" s="257">
        <f t="shared" si="4"/>
        <v>-56.030879645453979</v>
      </c>
      <c r="J50" s="154">
        <v>5960124.3599999994</v>
      </c>
      <c r="K50" s="244">
        <f t="shared" si="5"/>
        <v>0.15796778054598462</v>
      </c>
      <c r="L50" s="206">
        <f t="shared" si="7"/>
        <v>-3696101.5899999994</v>
      </c>
      <c r="M50" s="257">
        <f t="shared" si="0"/>
        <v>-62.013833382496728</v>
      </c>
      <c r="BM50" s="159"/>
      <c r="BN50" s="159"/>
      <c r="BO50" s="143"/>
      <c r="BP50" s="143"/>
      <c r="BQ50" s="143"/>
      <c r="BR50" s="140"/>
    </row>
    <row r="51" spans="1:70" ht="13.5" customHeight="1">
      <c r="B51" s="80">
        <v>423</v>
      </c>
      <c r="C51" s="97" t="s">
        <v>92</v>
      </c>
      <c r="D51" s="154">
        <v>99398781.730000004</v>
      </c>
      <c r="E51" s="244">
        <f t="shared" si="1"/>
        <v>2.5118462986455072</v>
      </c>
      <c r="F51" s="154">
        <v>102787500</v>
      </c>
      <c r="G51" s="252">
        <f t="shared" si="2"/>
        <v>2.5974805417972302</v>
      </c>
      <c r="H51" s="206">
        <f t="shared" si="3"/>
        <v>-3388718.2699999958</v>
      </c>
      <c r="I51" s="257">
        <f t="shared" si="4"/>
        <v>-3.2968194284324426</v>
      </c>
      <c r="J51" s="154">
        <v>97277018.590000004</v>
      </c>
      <c r="K51" s="244">
        <f t="shared" si="5"/>
        <v>2.5782406199310897</v>
      </c>
      <c r="L51" s="206">
        <f t="shared" si="7"/>
        <v>2121763.1400000006</v>
      </c>
      <c r="M51" s="257">
        <f t="shared" si="0"/>
        <v>2.1811556015534705</v>
      </c>
      <c r="BM51" s="159"/>
      <c r="BN51" s="159"/>
      <c r="BO51" s="143"/>
      <c r="BP51" s="143"/>
      <c r="BQ51" s="143"/>
      <c r="BR51" s="140"/>
    </row>
    <row r="52" spans="1:70" ht="13.5" customHeight="1">
      <c r="B52" s="80">
        <v>424</v>
      </c>
      <c r="C52" s="97" t="s">
        <v>94</v>
      </c>
      <c r="D52" s="154">
        <v>3430865.82</v>
      </c>
      <c r="E52" s="244">
        <f t="shared" si="1"/>
        <v>8.6699328312948548E-2</v>
      </c>
      <c r="F52" s="154">
        <v>3982750</v>
      </c>
      <c r="G52" s="252">
        <f t="shared" si="2"/>
        <v>0.10064565854644698</v>
      </c>
      <c r="H52" s="206">
        <f t="shared" si="3"/>
        <v>-551884.18000000017</v>
      </c>
      <c r="I52" s="257">
        <f t="shared" si="4"/>
        <v>-13.856862218316493</v>
      </c>
      <c r="J52" s="154">
        <v>3553912.0699999989</v>
      </c>
      <c r="K52" s="244">
        <f t="shared" si="5"/>
        <v>9.4193269811820801E-2</v>
      </c>
      <c r="L52" s="206">
        <f t="shared" si="7"/>
        <v>-123046.24999999907</v>
      </c>
      <c r="M52" s="257">
        <f t="shared" si="0"/>
        <v>-3.4622761502368604</v>
      </c>
      <c r="BM52" s="159"/>
      <c r="BN52" s="159"/>
      <c r="BO52" s="143"/>
      <c r="BP52" s="143"/>
      <c r="BQ52" s="143"/>
      <c r="BR52" s="140"/>
    </row>
    <row r="53" spans="1:70" ht="13.5" customHeight="1">
      <c r="B53" s="80">
        <v>425</v>
      </c>
      <c r="C53" s="97" t="s">
        <v>431</v>
      </c>
      <c r="D53" s="154">
        <v>1834204.0699999998</v>
      </c>
      <c r="E53" s="244">
        <f t="shared" si="1"/>
        <v>4.6351058071363582E-2</v>
      </c>
      <c r="F53" s="154">
        <v>2131250</v>
      </c>
      <c r="G53" s="252">
        <f t="shared" si="2"/>
        <v>5.3857525523097138E-2</v>
      </c>
      <c r="H53" s="206">
        <f t="shared" si="3"/>
        <v>-297045.93000000017</v>
      </c>
      <c r="I53" s="257">
        <f t="shared" si="4"/>
        <v>-13.937638944281531</v>
      </c>
      <c r="J53" s="154">
        <v>2090878.0499999998</v>
      </c>
      <c r="K53" s="244">
        <f t="shared" si="5"/>
        <v>5.5416857937980388E-2</v>
      </c>
      <c r="L53" s="206">
        <f t="shared" si="7"/>
        <v>-256673.97999999998</v>
      </c>
      <c r="M53" s="257">
        <f t="shared" si="0"/>
        <v>-12.27589433061388</v>
      </c>
      <c r="BM53" s="159"/>
      <c r="BN53" s="159"/>
      <c r="BO53" s="143"/>
      <c r="BP53" s="143"/>
      <c r="BQ53" s="143"/>
      <c r="BR53" s="140"/>
    </row>
    <row r="54" spans="1:70" ht="13.5" customHeight="1">
      <c r="A54" s="80">
        <v>43</v>
      </c>
      <c r="B54" s="80">
        <v>431</v>
      </c>
      <c r="C54" s="93" t="s">
        <v>432</v>
      </c>
      <c r="D54" s="152">
        <f>SUM(D55:D56)</f>
        <v>25870410.140000001</v>
      </c>
      <c r="E54" s="243">
        <f t="shared" si="1"/>
        <v>0.65375543667239466</v>
      </c>
      <c r="F54" s="152">
        <f>SUM(F55:F56)</f>
        <v>40923827.079999998</v>
      </c>
      <c r="G54" s="251">
        <f t="shared" si="2"/>
        <v>1.0341612018599009</v>
      </c>
      <c r="H54" s="203">
        <f t="shared" si="3"/>
        <v>-15053416.939999998</v>
      </c>
      <c r="I54" s="256">
        <f t="shared" si="4"/>
        <v>-36.783991171140485</v>
      </c>
      <c r="J54" s="152">
        <f>SUM(J55:J56)</f>
        <v>34732245.769999996</v>
      </c>
      <c r="K54" s="243">
        <f t="shared" si="5"/>
        <v>0.92054719772064664</v>
      </c>
      <c r="L54" s="203">
        <f t="shared" si="7"/>
        <v>-8861835.6299999952</v>
      </c>
      <c r="M54" s="256">
        <f t="shared" si="0"/>
        <v>-25.514721071259999</v>
      </c>
      <c r="BM54" s="159"/>
      <c r="BN54" s="159"/>
      <c r="BO54" s="143"/>
      <c r="BP54" s="143"/>
      <c r="BQ54" s="143"/>
      <c r="BR54" s="140"/>
    </row>
    <row r="55" spans="1:70" ht="13.5" customHeight="1">
      <c r="C55" s="238" t="s">
        <v>432</v>
      </c>
      <c r="D55" s="302">
        <v>25670410.140000001</v>
      </c>
      <c r="E55" s="243">
        <f t="shared" si="1"/>
        <v>0.64870135803093099</v>
      </c>
      <c r="F55" s="302">
        <v>40498827.07</v>
      </c>
      <c r="G55" s="251">
        <f t="shared" si="2"/>
        <v>1.0234212844940866</v>
      </c>
      <c r="H55" s="310">
        <f t="shared" si="3"/>
        <v>-14828416.93</v>
      </c>
      <c r="I55" s="309">
        <f t="shared" si="4"/>
        <v>-36.614435535058561</v>
      </c>
      <c r="J55" s="302">
        <v>34429646.549999997</v>
      </c>
      <c r="K55" s="243">
        <f t="shared" si="5"/>
        <v>0.91252707527166699</v>
      </c>
      <c r="L55" s="310">
        <f t="shared" si="7"/>
        <v>-8759236.4099999964</v>
      </c>
      <c r="M55" s="309">
        <f t="shared" si="0"/>
        <v>-25.440971045925536</v>
      </c>
      <c r="BM55" s="159"/>
      <c r="BN55" s="159"/>
      <c r="BO55" s="143"/>
      <c r="BP55" s="143"/>
      <c r="BQ55" s="143"/>
      <c r="BR55" s="140"/>
    </row>
    <row r="56" spans="1:70" ht="13.5" customHeight="1" thickBot="1">
      <c r="C56" s="238" t="s">
        <v>463</v>
      </c>
      <c r="D56" s="302">
        <v>200000</v>
      </c>
      <c r="E56" s="243">
        <f t="shared" si="1"/>
        <v>5.0540786414636609E-3</v>
      </c>
      <c r="F56" s="302">
        <v>425000.01</v>
      </c>
      <c r="G56" s="251">
        <f t="shared" si="2"/>
        <v>1.0739917365814212E-2</v>
      </c>
      <c r="H56" s="310">
        <f t="shared" si="3"/>
        <v>-225000.01</v>
      </c>
      <c r="I56" s="309">
        <f t="shared" si="4"/>
        <v>-52.941177577854646</v>
      </c>
      <c r="J56" s="302">
        <v>302599.21999999997</v>
      </c>
      <c r="K56" s="243">
        <f t="shared" si="5"/>
        <v>8.0201224489795907E-3</v>
      </c>
      <c r="L56" s="310">
        <f t="shared" si="7"/>
        <v>-102599.21999999997</v>
      </c>
      <c r="M56" s="309">
        <f t="shared" si="0"/>
        <v>-33.90597636041494</v>
      </c>
      <c r="BM56" s="159"/>
      <c r="BN56" s="159"/>
      <c r="BO56" s="143"/>
      <c r="BP56" s="143"/>
      <c r="BQ56" s="143"/>
      <c r="BR56" s="140"/>
    </row>
    <row r="57" spans="1:70" ht="13.5" customHeight="1" thickTop="1" thickBot="1">
      <c r="B57" s="80">
        <v>44</v>
      </c>
      <c r="C57" s="90" t="s">
        <v>130</v>
      </c>
      <c r="D57" s="303">
        <v>8964055.2699999996</v>
      </c>
      <c r="E57" s="245">
        <f t="shared" si="1"/>
        <v>0.22652520140503382</v>
      </c>
      <c r="F57" s="160">
        <v>42461790</v>
      </c>
      <c r="G57" s="250">
        <f t="shared" si="2"/>
        <v>1.0730261295865764</v>
      </c>
      <c r="H57" s="160">
        <f t="shared" si="3"/>
        <v>-33497734.73</v>
      </c>
      <c r="I57" s="245">
        <f t="shared" si="4"/>
        <v>-78.889125328913366</v>
      </c>
      <c r="J57" s="160">
        <v>2437924.94</v>
      </c>
      <c r="K57" s="245">
        <f t="shared" si="5"/>
        <v>6.461502623906705E-2</v>
      </c>
      <c r="L57" s="160">
        <f>+D57-J57</f>
        <v>6526130.3300000001</v>
      </c>
      <c r="M57" s="245">
        <f t="shared" si="0"/>
        <v>267.69201228976311</v>
      </c>
      <c r="BM57" s="159"/>
      <c r="BN57" s="159"/>
      <c r="BO57" s="143"/>
      <c r="BP57" s="143"/>
      <c r="BQ57" s="143"/>
      <c r="BR57" s="140"/>
    </row>
    <row r="58" spans="1:70" ht="13.5" customHeight="1" thickTop="1">
      <c r="B58" s="80">
        <v>451</v>
      </c>
      <c r="C58" s="93" t="s">
        <v>110</v>
      </c>
      <c r="D58" s="152">
        <v>285802</v>
      </c>
      <c r="E58" s="243">
        <f t="shared" si="1"/>
        <v>7.2223289194379859E-3</v>
      </c>
      <c r="F58" s="152">
        <v>606250</v>
      </c>
      <c r="G58" s="251">
        <f t="shared" si="2"/>
        <v>1.5320175881936723E-2</v>
      </c>
      <c r="H58" s="205">
        <f t="shared" si="3"/>
        <v>-320448</v>
      </c>
      <c r="I58" s="256">
        <f t="shared" si="4"/>
        <v>-52.857402061855666</v>
      </c>
      <c r="J58" s="152">
        <v>591126.66999999993</v>
      </c>
      <c r="K58" s="243">
        <f t="shared" si="5"/>
        <v>1.5667285184203551E-2</v>
      </c>
      <c r="L58" s="152">
        <f t="shared" si="7"/>
        <v>-305324.66999999993</v>
      </c>
      <c r="M58" s="256">
        <f t="shared" si="0"/>
        <v>-51.65131020057003</v>
      </c>
      <c r="BM58" s="159"/>
      <c r="BN58" s="159"/>
      <c r="BO58" s="143"/>
      <c r="BP58" s="143"/>
      <c r="BQ58" s="143"/>
      <c r="BR58" s="140"/>
    </row>
    <row r="59" spans="1:70" ht="13.5" customHeight="1" thickBot="1">
      <c r="B59" s="80">
        <v>47</v>
      </c>
      <c r="C59" s="93" t="s">
        <v>117</v>
      </c>
      <c r="D59" s="152">
        <v>524100</v>
      </c>
      <c r="E59" s="243">
        <f t="shared" si="1"/>
        <v>1.3244213079955524E-2</v>
      </c>
      <c r="F59" s="152">
        <v>3574668.47</v>
      </c>
      <c r="G59" s="251">
        <f t="shared" si="2"/>
        <v>9.0333277822702923E-2</v>
      </c>
      <c r="H59" s="205">
        <f t="shared" si="3"/>
        <v>-3050568.47</v>
      </c>
      <c r="I59" s="256">
        <f t="shared" si="4"/>
        <v>-85.338500495963473</v>
      </c>
      <c r="J59" s="152">
        <v>4525914.18</v>
      </c>
      <c r="K59" s="243">
        <f t="shared" si="5"/>
        <v>0.11995531884442087</v>
      </c>
      <c r="L59" s="152">
        <f t="shared" si="7"/>
        <v>-4001814.1799999997</v>
      </c>
      <c r="M59" s="256">
        <f t="shared" si="0"/>
        <v>-88.420019046848125</v>
      </c>
      <c r="BM59" s="159"/>
      <c r="BN59" s="159"/>
      <c r="BO59" s="143"/>
      <c r="BP59" s="143"/>
      <c r="BQ59" s="143"/>
      <c r="BR59" s="140"/>
    </row>
    <row r="60" spans="1:70" ht="13.5" customHeight="1" thickTop="1" thickBot="1">
      <c r="B60" s="80">
        <v>462</v>
      </c>
      <c r="C60" s="146" t="s">
        <v>112</v>
      </c>
      <c r="D60" s="161">
        <v>0</v>
      </c>
      <c r="E60" s="247">
        <f t="shared" si="1"/>
        <v>0</v>
      </c>
      <c r="F60" s="161">
        <v>0</v>
      </c>
      <c r="G60" s="253">
        <f t="shared" si="2"/>
        <v>0</v>
      </c>
      <c r="H60" s="207">
        <f t="shared" si="3"/>
        <v>0</v>
      </c>
      <c r="I60" s="259" t="str">
        <f t="shared" si="4"/>
        <v>...</v>
      </c>
      <c r="J60" s="161">
        <v>0</v>
      </c>
      <c r="K60" s="247">
        <f t="shared" si="5"/>
        <v>0</v>
      </c>
      <c r="L60" s="161">
        <f t="shared" si="7"/>
        <v>0</v>
      </c>
      <c r="M60" s="259" t="str">
        <f>+IF(ISNUMBER(D60/J60*100-100),D60/J60*100-100,"...")</f>
        <v>...</v>
      </c>
      <c r="BM60" s="159"/>
      <c r="BN60" s="159"/>
      <c r="BO60" s="143"/>
      <c r="BP60" s="143"/>
      <c r="BQ60" s="143"/>
      <c r="BR60" s="140"/>
    </row>
    <row r="61" spans="1:70" ht="13.5" customHeight="1" thickTop="1" thickBot="1">
      <c r="B61" s="305" t="s">
        <v>450</v>
      </c>
      <c r="C61" s="209" t="s">
        <v>449</v>
      </c>
      <c r="D61" s="210">
        <v>6956674.8499999996</v>
      </c>
      <c r="E61" s="248">
        <f t="shared" si="1"/>
        <v>0.17579790887496211</v>
      </c>
      <c r="F61" s="210">
        <v>0</v>
      </c>
      <c r="G61" s="254">
        <f t="shared" si="2"/>
        <v>0</v>
      </c>
      <c r="H61" s="211">
        <f>+D61-F61</f>
        <v>6956674.8499999996</v>
      </c>
      <c r="I61" s="260" t="str">
        <f>+IF(ISNUMBER(D61/F61*100-100),D61/F61*100-100,"...")</f>
        <v>...</v>
      </c>
      <c r="J61" s="210">
        <v>16817280.759999998</v>
      </c>
      <c r="K61" s="248">
        <f>+J61/$J$11*100</f>
        <v>0.4457270278293135</v>
      </c>
      <c r="L61" s="211">
        <f>+D61-J61</f>
        <v>-9860605.9099999983</v>
      </c>
      <c r="M61" s="259">
        <f t="shared" ref="M61:M74" si="8">+IF(ISNUMBER(H61/J61*100-100),H61/J61*100-100,"...")</f>
        <v>-58.633771123411982</v>
      </c>
      <c r="BM61" s="159"/>
      <c r="BN61" s="159"/>
      <c r="BO61" s="143"/>
      <c r="BP61" s="143"/>
      <c r="BQ61" s="143"/>
      <c r="BR61" s="140"/>
    </row>
    <row r="62" spans="1:70" ht="13.5" customHeight="1" thickTop="1" thickBot="1">
      <c r="B62" s="80">
        <v>990</v>
      </c>
      <c r="C62" s="198" t="s">
        <v>151</v>
      </c>
      <c r="D62" s="152">
        <v>0</v>
      </c>
      <c r="E62" s="243">
        <f t="shared" si="1"/>
        <v>0</v>
      </c>
      <c r="F62" s="152">
        <v>0</v>
      </c>
      <c r="G62" s="251">
        <f t="shared" si="2"/>
        <v>0</v>
      </c>
      <c r="H62" s="205">
        <f t="shared" si="3"/>
        <v>0</v>
      </c>
      <c r="I62" s="261" t="str">
        <f t="shared" si="4"/>
        <v>...</v>
      </c>
      <c r="J62" s="152">
        <v>0</v>
      </c>
      <c r="K62" s="243">
        <f t="shared" si="5"/>
        <v>0</v>
      </c>
      <c r="L62" s="152">
        <f t="shared" si="7"/>
        <v>0</v>
      </c>
      <c r="M62" s="259" t="str">
        <f t="shared" si="8"/>
        <v>...</v>
      </c>
      <c r="BM62" s="159"/>
      <c r="BN62" s="159"/>
      <c r="BO62" s="143"/>
      <c r="BP62" s="143"/>
      <c r="BQ62" s="143"/>
      <c r="BR62" s="140"/>
    </row>
    <row r="63" spans="1:70" ht="13.5" customHeight="1" thickTop="1" thickBot="1">
      <c r="C63" s="90" t="s">
        <v>446</v>
      </c>
      <c r="D63" s="91">
        <f>+D16-D35</f>
        <v>-70508679.74999994</v>
      </c>
      <c r="E63" s="245">
        <f>+D63/$D$11*100</f>
        <v>-1.7817820618113802</v>
      </c>
      <c r="F63" s="91">
        <f>+F16-F35</f>
        <v>-119867236.8506403</v>
      </c>
      <c r="G63" s="250">
        <f t="shared" si="2"/>
        <v>-3.029092207890435</v>
      </c>
      <c r="H63" s="91">
        <f t="shared" si="3"/>
        <v>49358557.100640357</v>
      </c>
      <c r="I63" s="245">
        <f t="shared" si="4"/>
        <v>-41.177688246992147</v>
      </c>
      <c r="J63" s="91">
        <f>+J16-J35-J62</f>
        <v>-71815358.840000033</v>
      </c>
      <c r="K63" s="245">
        <f t="shared" si="5"/>
        <v>-1.9034020365756701</v>
      </c>
      <c r="L63" s="91">
        <f t="shared" si="7"/>
        <v>1306679.090000093</v>
      </c>
      <c r="M63" s="245">
        <f t="shared" si="8"/>
        <v>-168.72980640618675</v>
      </c>
      <c r="BM63" s="159"/>
      <c r="BN63" s="159"/>
      <c r="BO63" s="143"/>
      <c r="BP63" s="143"/>
      <c r="BQ63" s="143"/>
      <c r="BR63" s="140"/>
    </row>
    <row r="64" spans="1:70" ht="13.5" customHeight="1" thickTop="1" thickBot="1">
      <c r="C64" s="90" t="s">
        <v>452</v>
      </c>
      <c r="D64" s="91">
        <f>+D63+D43</f>
        <v>-26811741.579999946</v>
      </c>
      <c r="E64" s="245">
        <f t="shared" si="1"/>
        <v>-0.67754325229960444</v>
      </c>
      <c r="F64" s="91">
        <f>+F63+F43</f>
        <v>-79310517.710640296</v>
      </c>
      <c r="G64" s="250">
        <f t="shared" si="2"/>
        <v>-2.0042079680238625</v>
      </c>
      <c r="H64" s="91">
        <f t="shared" si="3"/>
        <v>52498776.13064035</v>
      </c>
      <c r="I64" s="245">
        <f t="shared" si="4"/>
        <v>-66.193964742707919</v>
      </c>
      <c r="J64" s="91">
        <f>+J63+J43</f>
        <v>-40365193.720000036</v>
      </c>
      <c r="K64" s="245">
        <f t="shared" si="5"/>
        <v>-1.069843459316195</v>
      </c>
      <c r="L64" s="91">
        <f t="shared" si="7"/>
        <v>13553452.14000009</v>
      </c>
      <c r="M64" s="245">
        <f t="shared" si="8"/>
        <v>-230.05951735251651</v>
      </c>
      <c r="BM64" s="159"/>
      <c r="BN64" s="159"/>
      <c r="BO64" s="143"/>
      <c r="BP64" s="143"/>
      <c r="BQ64" s="143"/>
      <c r="BR64" s="140"/>
    </row>
    <row r="65" spans="2:70" ht="13.5" customHeight="1" thickTop="1" thickBot="1">
      <c r="C65" s="90" t="s">
        <v>453</v>
      </c>
      <c r="D65" s="91">
        <f>+SUM(D66:D67)</f>
        <v>27201992.129999999</v>
      </c>
      <c r="E65" s="245">
        <f t="shared" si="1"/>
        <v>0.68740503714747803</v>
      </c>
      <c r="F65" s="91">
        <f>+SUM(F66:F68)</f>
        <v>28331293.16</v>
      </c>
      <c r="G65" s="250">
        <f t="shared" si="2"/>
        <v>0.71594291822500766</v>
      </c>
      <c r="H65" s="91">
        <f t="shared" si="3"/>
        <v>-1129301.0300000012</v>
      </c>
      <c r="I65" s="245">
        <f t="shared" si="4"/>
        <v>-3.9860553615477841</v>
      </c>
      <c r="J65" s="91">
        <f>+SUM(J66:J67)</f>
        <v>120778016.26000001</v>
      </c>
      <c r="K65" s="245">
        <f t="shared" si="5"/>
        <v>3.2011136034985426</v>
      </c>
      <c r="L65" s="91">
        <f t="shared" si="7"/>
        <v>-93576024.13000001</v>
      </c>
      <c r="M65" s="245">
        <f t="shared" si="8"/>
        <v>-100.93502200563465</v>
      </c>
      <c r="BM65" s="159"/>
      <c r="BN65" s="159"/>
      <c r="BO65" s="143"/>
      <c r="BP65" s="143"/>
      <c r="BQ65" s="143"/>
      <c r="BR65" s="140"/>
    </row>
    <row r="66" spans="2:70" ht="13.5" customHeight="1" thickTop="1">
      <c r="B66" s="80">
        <v>4611</v>
      </c>
      <c r="C66" s="97" t="s">
        <v>454</v>
      </c>
      <c r="D66" s="154">
        <v>15562639.439999999</v>
      </c>
      <c r="E66" s="244">
        <f t="shared" si="1"/>
        <v>0.39327401799251993</v>
      </c>
      <c r="F66" s="154">
        <v>8039446.4700000007</v>
      </c>
      <c r="G66" s="252">
        <f t="shared" si="2"/>
        <v>0.20315997346608713</v>
      </c>
      <c r="H66" s="206">
        <f t="shared" si="3"/>
        <v>7523192.9699999988</v>
      </c>
      <c r="I66" s="257">
        <f t="shared" si="4"/>
        <v>93.578494465676783</v>
      </c>
      <c r="J66" s="154">
        <v>90843039.590000004</v>
      </c>
      <c r="K66" s="244">
        <f t="shared" si="5"/>
        <v>2.4077137447654389</v>
      </c>
      <c r="L66" s="206">
        <f t="shared" si="7"/>
        <v>-75280400.150000006</v>
      </c>
      <c r="M66" s="257">
        <f t="shared" si="8"/>
        <v>-91.718470667698625</v>
      </c>
      <c r="BM66" s="159"/>
      <c r="BN66" s="159"/>
      <c r="BO66" s="143"/>
      <c r="BP66" s="143"/>
      <c r="BQ66" s="143"/>
      <c r="BR66" s="140"/>
    </row>
    <row r="67" spans="2:70" ht="13.5" customHeight="1">
      <c r="B67" s="80">
        <v>4612</v>
      </c>
      <c r="C67" s="97" t="s">
        <v>455</v>
      </c>
      <c r="D67" s="154">
        <v>11639352.689999999</v>
      </c>
      <c r="E67" s="244">
        <f t="shared" si="1"/>
        <v>0.29413101915495804</v>
      </c>
      <c r="F67" s="154">
        <v>11862721.99</v>
      </c>
      <c r="G67" s="252">
        <f t="shared" si="2"/>
        <v>0.29977564919640148</v>
      </c>
      <c r="H67" s="206">
        <f t="shared" si="3"/>
        <v>-223369.30000000075</v>
      </c>
      <c r="I67" s="257">
        <f t="shared" si="4"/>
        <v>-1.8829514860779568</v>
      </c>
      <c r="J67" s="154">
        <v>29934976.669999998</v>
      </c>
      <c r="K67" s="244">
        <f t="shared" si="5"/>
        <v>0.79339985873310359</v>
      </c>
      <c r="L67" s="206">
        <f t="shared" si="7"/>
        <v>-18295623.979999997</v>
      </c>
      <c r="M67" s="257">
        <f t="shared" si="8"/>
        <v>-100.74618164050167</v>
      </c>
      <c r="BM67" s="159"/>
      <c r="BN67" s="159"/>
      <c r="BO67" s="143"/>
      <c r="BP67" s="143"/>
      <c r="BQ67" s="143"/>
      <c r="BR67" s="140"/>
    </row>
    <row r="68" spans="2:70" ht="13.5" customHeight="1" thickBot="1">
      <c r="B68" s="80" t="s">
        <v>451</v>
      </c>
      <c r="C68" s="97" t="s">
        <v>449</v>
      </c>
      <c r="D68" s="154">
        <v>0</v>
      </c>
      <c r="E68" s="244">
        <f t="shared" si="1"/>
        <v>0</v>
      </c>
      <c r="F68" s="306">
        <v>8429124.6999999993</v>
      </c>
      <c r="G68" s="252">
        <f t="shared" si="2"/>
        <v>0.21300729556251893</v>
      </c>
      <c r="H68" s="206">
        <f t="shared" si="3"/>
        <v>-8429124.6999999993</v>
      </c>
      <c r="I68" s="257">
        <f t="shared" si="4"/>
        <v>-100</v>
      </c>
      <c r="J68" s="154">
        <v>0</v>
      </c>
      <c r="K68" s="244">
        <f t="shared" si="5"/>
        <v>0</v>
      </c>
      <c r="L68" s="206">
        <f t="shared" si="7"/>
        <v>0</v>
      </c>
      <c r="M68" s="257" t="str">
        <f t="shared" si="8"/>
        <v>...</v>
      </c>
      <c r="BM68" s="159"/>
      <c r="BN68" s="159"/>
      <c r="BO68" s="143"/>
      <c r="BP68" s="143"/>
      <c r="BQ68" s="143"/>
      <c r="BR68" s="140"/>
    </row>
    <row r="69" spans="2:70" ht="13.5" customHeight="1" thickTop="1" thickBot="1">
      <c r="C69" s="90" t="s">
        <v>140</v>
      </c>
      <c r="D69" s="91">
        <f>+D63-D65</f>
        <v>-97710671.879999936</v>
      </c>
      <c r="E69" s="245">
        <f t="shared" si="1"/>
        <v>-2.4691870989588582</v>
      </c>
      <c r="F69" s="91">
        <f>+F63-F65</f>
        <v>-148198530.01064029</v>
      </c>
      <c r="G69" s="250">
        <f t="shared" si="2"/>
        <v>-3.7450351261154422</v>
      </c>
      <c r="H69" s="91">
        <f t="shared" ref="H69:H74" si="9">+D69-F69</f>
        <v>50487858.130640358</v>
      </c>
      <c r="I69" s="245">
        <f t="shared" ref="I69:I74" si="10">+IF(ISNUMBER(D69/F69*100-100),D69/F69*100-100,"...")</f>
        <v>-34.067718571173046</v>
      </c>
      <c r="J69" s="91">
        <f>+J63-J65</f>
        <v>-192593375.10000002</v>
      </c>
      <c r="K69" s="245">
        <f t="shared" ref="K69:K74" si="11">+J69/$J$11*100</f>
        <v>-5.1045156400742124</v>
      </c>
      <c r="L69" s="91">
        <f t="shared" si="7"/>
        <v>94882703.220000088</v>
      </c>
      <c r="M69" s="245">
        <f t="shared" si="8"/>
        <v>-126.21474290298178</v>
      </c>
      <c r="BM69" s="159"/>
      <c r="BN69" s="159"/>
      <c r="BO69" s="143"/>
      <c r="BP69" s="143"/>
      <c r="BQ69" s="143"/>
      <c r="BR69" s="140"/>
    </row>
    <row r="70" spans="2:70" ht="13.5" customHeight="1" thickTop="1" thickBot="1">
      <c r="C70" s="90" t="s">
        <v>120</v>
      </c>
      <c r="D70" s="91">
        <f>+SUM(D71:D74)</f>
        <v>97710671.879999936</v>
      </c>
      <c r="E70" s="245">
        <f t="shared" si="1"/>
        <v>2.4691870989588582</v>
      </c>
      <c r="F70" s="91">
        <f>+SUM(F71:F74)</f>
        <v>148198530.01064029</v>
      </c>
      <c r="G70" s="250">
        <f t="shared" si="2"/>
        <v>3.7450351261154422</v>
      </c>
      <c r="H70" s="91">
        <f t="shared" si="9"/>
        <v>-50487858.130640358</v>
      </c>
      <c r="I70" s="245">
        <f t="shared" si="10"/>
        <v>-34.067718571173046</v>
      </c>
      <c r="J70" s="91">
        <f>+SUM(J71:J74)</f>
        <v>192593375.10000002</v>
      </c>
      <c r="K70" s="245">
        <f t="shared" si="11"/>
        <v>5.1045156400742124</v>
      </c>
      <c r="L70" s="91">
        <f>+SUM(L71:L74)</f>
        <v>-94882703.220000088</v>
      </c>
      <c r="M70" s="245">
        <f t="shared" si="8"/>
        <v>-126.21474290298178</v>
      </c>
      <c r="BM70" s="159"/>
      <c r="BN70" s="159"/>
      <c r="BO70" s="143"/>
      <c r="BP70" s="143"/>
      <c r="BQ70" s="143"/>
      <c r="BR70" s="140"/>
    </row>
    <row r="71" spans="2:70" ht="13.5" customHeight="1" thickTop="1">
      <c r="B71" s="80">
        <v>7511</v>
      </c>
      <c r="C71" s="97" t="s">
        <v>456</v>
      </c>
      <c r="D71" s="154">
        <v>76669148.420000002</v>
      </c>
      <c r="E71" s="244">
        <f t="shared" si="1"/>
        <v>1.9374595274436472</v>
      </c>
      <c r="F71" s="154">
        <v>25000000</v>
      </c>
      <c r="G71" s="252">
        <f t="shared" si="2"/>
        <v>0.63175983018295767</v>
      </c>
      <c r="H71" s="206">
        <f t="shared" si="9"/>
        <v>51669148.420000002</v>
      </c>
      <c r="I71" s="257">
        <f t="shared" si="10"/>
        <v>206.67659368</v>
      </c>
      <c r="J71" s="154">
        <v>93370000</v>
      </c>
      <c r="K71" s="244">
        <f t="shared" si="11"/>
        <v>2.4746885767293931</v>
      </c>
      <c r="L71" s="206">
        <f t="shared" si="7"/>
        <v>-16700851.579999998</v>
      </c>
      <c r="M71" s="257">
        <f t="shared" si="8"/>
        <v>-44.661938074327942</v>
      </c>
      <c r="BM71" s="159"/>
      <c r="BN71" s="159"/>
      <c r="BO71" s="143"/>
      <c r="BP71" s="143"/>
      <c r="BQ71" s="143"/>
      <c r="BR71" s="140"/>
    </row>
    <row r="72" spans="2:70" ht="13.5" customHeight="1">
      <c r="B72" s="80">
        <v>7512</v>
      </c>
      <c r="C72" s="97" t="s">
        <v>457</v>
      </c>
      <c r="D72" s="154">
        <v>6013734.0099999998</v>
      </c>
      <c r="E72" s="244">
        <f t="shared" si="1"/>
        <v>0.15196942307692307</v>
      </c>
      <c r="F72" s="154">
        <v>88543455.908717483</v>
      </c>
      <c r="G72" s="252">
        <f t="shared" si="2"/>
        <v>2.2375279467481421</v>
      </c>
      <c r="H72" s="206">
        <f t="shared" si="9"/>
        <v>-82529721.898717478</v>
      </c>
      <c r="I72" s="257">
        <f t="shared" si="10"/>
        <v>-93.208155308281889</v>
      </c>
      <c r="J72" s="154">
        <v>306936312.91000003</v>
      </c>
      <c r="K72" s="244">
        <f t="shared" si="11"/>
        <v>8.1350732284654121</v>
      </c>
      <c r="L72" s="206">
        <f t="shared" si="7"/>
        <v>-300922578.90000004</v>
      </c>
      <c r="M72" s="257">
        <f t="shared" si="8"/>
        <v>-126.88822352633032</v>
      </c>
      <c r="BM72" s="159"/>
      <c r="BN72" s="159"/>
      <c r="BO72" s="143"/>
      <c r="BP72" s="143"/>
      <c r="BQ72" s="143"/>
      <c r="BR72" s="140"/>
    </row>
    <row r="73" spans="2:70" ht="13.5" customHeight="1" thickBot="1">
      <c r="B73" s="80">
        <v>72</v>
      </c>
      <c r="C73" s="103" t="s">
        <v>401</v>
      </c>
      <c r="D73" s="154">
        <v>157750.49</v>
      </c>
      <c r="E73" s="249">
        <f t="shared" si="1"/>
        <v>3.9864169109471341E-3</v>
      </c>
      <c r="F73" s="154">
        <v>0</v>
      </c>
      <c r="G73" s="255">
        <f t="shared" si="2"/>
        <v>0</v>
      </c>
      <c r="H73" s="206">
        <f t="shared" si="9"/>
        <v>157750.49</v>
      </c>
      <c r="I73" s="257" t="str">
        <f t="shared" si="10"/>
        <v>...</v>
      </c>
      <c r="J73" s="154">
        <v>748711.19000000006</v>
      </c>
      <c r="K73" s="249">
        <f t="shared" si="11"/>
        <v>1.9843922342963161E-2</v>
      </c>
      <c r="L73" s="206">
        <f t="shared" si="7"/>
        <v>-590960.70000000007</v>
      </c>
      <c r="M73" s="257">
        <f t="shared" si="8"/>
        <v>-78.930395043247586</v>
      </c>
      <c r="BM73" s="159"/>
      <c r="BN73" s="159"/>
      <c r="BO73" s="143"/>
      <c r="BP73" s="143"/>
      <c r="BQ73" s="143"/>
      <c r="BR73" s="140"/>
    </row>
    <row r="74" spans="2:70" ht="13.5" customHeight="1" thickTop="1" thickBot="1">
      <c r="C74" s="146" t="s">
        <v>458</v>
      </c>
      <c r="D74" s="161">
        <f>-D69-SUM(D71:D73)</f>
        <v>14870038.959999934</v>
      </c>
      <c r="E74" s="247">
        <f t="shared" si="1"/>
        <v>0.37577173152734089</v>
      </c>
      <c r="F74" s="161">
        <f>-F69-SUM(F71:F73)</f>
        <v>34655074.10192281</v>
      </c>
      <c r="G74" s="253">
        <f t="shared" si="2"/>
        <v>0.87574734918434272</v>
      </c>
      <c r="H74" s="204">
        <f t="shared" si="9"/>
        <v>-19785035.141922876</v>
      </c>
      <c r="I74" s="262">
        <f t="shared" si="10"/>
        <v>-57.091308140717892</v>
      </c>
      <c r="J74" s="161">
        <f>-J69-SUM(J71:J73)</f>
        <v>-208461649</v>
      </c>
      <c r="K74" s="247">
        <f t="shared" si="11"/>
        <v>-5.5250900874635569</v>
      </c>
      <c r="L74" s="211">
        <f t="shared" si="7"/>
        <v>223331687.95999992</v>
      </c>
      <c r="M74" s="262">
        <f t="shared" si="8"/>
        <v>-90.509028765323222</v>
      </c>
      <c r="BM74" s="159"/>
      <c r="BN74" s="159"/>
      <c r="BO74" s="143"/>
      <c r="BP74" s="143"/>
      <c r="BQ74" s="143"/>
      <c r="BR74" s="140"/>
    </row>
    <row r="75" spans="2:70" s="187" customFormat="1" ht="13.5" thickTop="1">
      <c r="C75" s="188" t="str">
        <f>IF([1]MasterSheet!$A$1=1,[1]MasterSheet!C151,[1]MasterSheet!B151)</f>
        <v>Izvor: Ministarstvo finansija Crne Gore</v>
      </c>
      <c r="D75" s="193"/>
      <c r="E75" s="193"/>
      <c r="F75" s="192"/>
      <c r="G75" s="193"/>
      <c r="H75" s="193"/>
      <c r="I75" s="193"/>
      <c r="J75" s="192"/>
      <c r="K75" s="193"/>
      <c r="L75" s="193"/>
      <c r="M75" s="193"/>
    </row>
    <row r="76" spans="2:70" s="187" customFormat="1">
      <c r="C76" s="190"/>
      <c r="D76" s="189"/>
      <c r="E76" s="189"/>
      <c r="F76" s="194"/>
      <c r="G76" s="189"/>
      <c r="H76" s="189"/>
      <c r="I76" s="189"/>
      <c r="J76" s="194"/>
      <c r="K76" s="197"/>
      <c r="L76" s="189"/>
      <c r="M76" s="189"/>
    </row>
    <row r="77" spans="2:70" s="187" customFormat="1">
      <c r="F77" s="189"/>
      <c r="G77" s="189"/>
      <c r="H77" s="189"/>
      <c r="I77" s="189"/>
      <c r="J77" s="189"/>
      <c r="K77" s="189"/>
      <c r="L77" s="189"/>
      <c r="M77" s="189"/>
    </row>
    <row r="78" spans="2:70" s="187" customFormat="1">
      <c r="C78" s="191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93"/>
  <sheetViews>
    <sheetView topLeftCell="B1" zoomScaleNormal="100" workbookViewId="0">
      <selection activeCell="H75" sqref="H75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49" t="str">
        <f>+'Cental Budget'!C11</f>
        <v>BDP (u mil. €)</v>
      </c>
      <c r="D11" s="335">
        <f>+'Cental Budget'!D11:G11</f>
        <v>3957200000</v>
      </c>
      <c r="E11" s="336"/>
      <c r="F11" s="336"/>
      <c r="G11" s="337"/>
      <c r="H11" s="330"/>
      <c r="I11" s="331"/>
      <c r="J11" s="332">
        <f>+'Cental Budget'!J11:K11</f>
        <v>3773000000</v>
      </c>
      <c r="K11" s="333" t="e">
        <f>+'Cental Budget'!#REF!</f>
        <v>#REF!</v>
      </c>
      <c r="L11" s="330"/>
      <c r="M11" s="334"/>
      <c r="N11" s="202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38"/>
      <c r="E13" s="338"/>
      <c r="F13" s="86"/>
      <c r="G13" s="86"/>
      <c r="H13" s="86"/>
      <c r="I13" s="86"/>
      <c r="J13" s="338"/>
      <c r="K13" s="338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26" t="s">
        <v>258</v>
      </c>
      <c r="D14" s="328" t="s">
        <v>468</v>
      </c>
      <c r="E14" s="329"/>
      <c r="F14" s="328" t="s">
        <v>469</v>
      </c>
      <c r="G14" s="329"/>
      <c r="H14" s="328" t="str">
        <f>+'Cental Budget'!H14:I14</f>
        <v>Odstupanje</v>
      </c>
      <c r="I14" s="329"/>
      <c r="J14" s="328" t="s">
        <v>464</v>
      </c>
      <c r="K14" s="329"/>
      <c r="L14" s="328" t="str">
        <f>+H14</f>
        <v>Odstupanje</v>
      </c>
      <c r="M14" s="329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27"/>
      <c r="D15" s="150" t="str">
        <f>IF(MasterSheet!$A$1=1,MasterSheet!C71,MasterSheet!C70)</f>
        <v>mil. €</v>
      </c>
      <c r="E15" s="157" t="str">
        <f>IF(MasterSheet!$A$1=1,MasterSheet!D71,MasterSheet!D70)</f>
        <v>% BDP</v>
      </c>
      <c r="F15" s="150" t="str">
        <f>IF(MasterSheet!$A$1=1,MasterSheet!E71,MasterSheet!E70)</f>
        <v>mil. €</v>
      </c>
      <c r="G15" s="157" t="str">
        <f>IF(MasterSheet!$A$1=1,MasterSheet!F71,MasterSheet!F70)</f>
        <v>% BDP</v>
      </c>
      <c r="H15" s="150" t="str">
        <f>IF(MasterSheet!$A$1=1,MasterSheet!G71,MasterSheet!G70)</f>
        <v>mil. €</v>
      </c>
      <c r="I15" s="157" t="s">
        <v>441</v>
      </c>
      <c r="J15" s="150" t="str">
        <f>IF(MasterSheet!$A$1=1,MasterSheet!I71,MasterSheet!I70)</f>
        <v>mil. €</v>
      </c>
      <c r="K15" s="157" t="str">
        <f>IF(MasterSheet!$A$1=1,MasterSheet!J71,MasterSheet!J70)</f>
        <v>% BDP</v>
      </c>
      <c r="L15" s="150" t="str">
        <f>IF(MasterSheet!$A$1=1,MasterSheet!K71,MasterSheet!K70)</f>
        <v>mil. €</v>
      </c>
      <c r="M15" s="157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51" t="str">
        <f>IF(MasterSheet!$A$1=1,MasterSheet!C72,MasterSheet!B72)</f>
        <v>Izvorni prihodi</v>
      </c>
      <c r="D16" s="213">
        <f>+D17+D21+D27+D33+D38+D39</f>
        <v>34816159.713</v>
      </c>
      <c r="E16" s="263">
        <f>+D16/$D$11*100</f>
        <v>0.87981804591630453</v>
      </c>
      <c r="F16" s="213">
        <f>+F17+F21+F27+F33+F38+F39</f>
        <v>29919245.9362</v>
      </c>
      <c r="G16" s="263">
        <f t="shared" ref="G16:G76" si="0">+F16/$D$11*100</f>
        <v>0.75607110927423427</v>
      </c>
      <c r="H16" s="213">
        <f>+D16-F16</f>
        <v>4896913.7767999992</v>
      </c>
      <c r="I16" s="263">
        <f>+D16/F16*100-100</f>
        <v>16.367102925127881</v>
      </c>
      <c r="J16" s="213">
        <f>+J17+J21+J27+J33+J38+J39</f>
        <v>33395509.510000002</v>
      </c>
      <c r="K16" s="263">
        <f>+J16/$J$11*100</f>
        <v>0.88511819533527691</v>
      </c>
      <c r="L16" s="213">
        <f>+D16-J16</f>
        <v>1420650.2029999979</v>
      </c>
      <c r="M16" s="263">
        <f>+D16/J16*100-100</f>
        <v>4.2540156561306333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2:81" ht="15" customHeight="1" thickTop="1">
      <c r="B17" s="80">
        <v>711</v>
      </c>
      <c r="C17" s="93" t="str">
        <f>IF(MasterSheet!$A$1=1,MasterSheet!C73,MasterSheet!B73)</f>
        <v>Porezi</v>
      </c>
      <c r="D17" s="214">
        <f>+SUM(D18:D20)</f>
        <v>19446096.493000001</v>
      </c>
      <c r="E17" s="264">
        <f t="shared" ref="E17:E76" si="1">+D17/$D$11*100</f>
        <v>0.49141050472556352</v>
      </c>
      <c r="F17" s="214">
        <f>+SUM(F18:F20)</f>
        <v>17516757.330400001</v>
      </c>
      <c r="G17" s="264">
        <f t="shared" si="0"/>
        <v>0.44265534545638335</v>
      </c>
      <c r="H17" s="215">
        <f t="shared" ref="H17:J76" si="2">+D17-F17</f>
        <v>1929339.1625999995</v>
      </c>
      <c r="I17" s="273">
        <f t="shared" ref="I17:I76" si="3">+D17/F17*100-100</f>
        <v>11.014248392033537</v>
      </c>
      <c r="J17" s="214">
        <f>+J18+J19+J20</f>
        <v>20334096.740000002</v>
      </c>
      <c r="K17" s="264">
        <f t="shared" ref="K17:K76" si="4">+J17/$J$11*100</f>
        <v>0.53893709886032337</v>
      </c>
      <c r="L17" s="215">
        <f t="shared" ref="L17:L76" si="5">+D17-J17</f>
        <v>-888000.24700000137</v>
      </c>
      <c r="M17" s="273">
        <f t="shared" ref="M17:M76" si="6">+D17/J17*100-100</f>
        <v>-4.3670503703918229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2:81" ht="15" customHeight="1">
      <c r="B18" s="80">
        <v>7111</v>
      </c>
      <c r="C18" s="97" t="str">
        <f>IF(MasterSheet!$A$1=1,MasterSheet!C74,MasterSheet!B74)</f>
        <v>Porez na dohodak fizičkih lica</v>
      </c>
      <c r="D18" s="216">
        <v>6328021.5099999998</v>
      </c>
      <c r="E18" s="265">
        <f t="shared" si="1"/>
        <v>0.15991159178206812</v>
      </c>
      <c r="F18" s="216">
        <v>5596167.5307999998</v>
      </c>
      <c r="G18" s="265">
        <f t="shared" si="0"/>
        <v>0.14141735395734356</v>
      </c>
      <c r="H18" s="217">
        <f>+D18-F18</f>
        <v>731853.97919999994</v>
      </c>
      <c r="I18" s="274">
        <f>+D18/F18*100-100</f>
        <v>13.077771084801284</v>
      </c>
      <c r="J18" s="216">
        <v>7321053.9800000004</v>
      </c>
      <c r="K18" s="265">
        <f t="shared" si="4"/>
        <v>0.19403800636098595</v>
      </c>
      <c r="L18" s="217">
        <f>+D18-J18</f>
        <v>-993032.47000000067</v>
      </c>
      <c r="M18" s="274">
        <f>+D18/J18*100-100</f>
        <v>-13.564064309767602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2:81" ht="15" customHeight="1">
      <c r="B19" s="80">
        <v>7113</v>
      </c>
      <c r="C19" s="97" t="str">
        <f>IF(MasterSheet!$A$1=1,MasterSheet!C76,MasterSheet!B76)</f>
        <v>Porez na promet nepokretnosti</v>
      </c>
      <c r="D19" s="216">
        <v>2231494.8429999999</v>
      </c>
      <c r="E19" s="265">
        <f t="shared" si="1"/>
        <v>5.6390752122713023E-2</v>
      </c>
      <c r="F19" s="216">
        <v>2594518.7889999999</v>
      </c>
      <c r="G19" s="265">
        <f t="shared" si="0"/>
        <v>6.5564509981805325E-2</v>
      </c>
      <c r="H19" s="217">
        <f>+D19-F19</f>
        <v>-363023.946</v>
      </c>
      <c r="I19" s="274">
        <f>+D19/F19*100-100</f>
        <v>-13.991956718105698</v>
      </c>
      <c r="J19" s="216">
        <v>2420328.44</v>
      </c>
      <c r="K19" s="265">
        <f t="shared" si="4"/>
        <v>6.4148646700238537E-2</v>
      </c>
      <c r="L19" s="217">
        <f>+D19-J19</f>
        <v>-188833.59700000007</v>
      </c>
      <c r="M19" s="274">
        <f>+D19/J19*100-100</f>
        <v>-7.8019823210439938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7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</row>
    <row r="20" spans="2:81" ht="15" customHeight="1">
      <c r="B20" s="80">
        <v>7117</v>
      </c>
      <c r="C20" s="97" t="s">
        <v>11</v>
      </c>
      <c r="D20" s="216">
        <v>10886580.140000001</v>
      </c>
      <c r="E20" s="265">
        <f t="shared" si="1"/>
        <v>0.27510816082078238</v>
      </c>
      <c r="F20" s="216">
        <v>9326071.0106000006</v>
      </c>
      <c r="G20" s="265">
        <f t="shared" si="0"/>
        <v>0.23567348151723441</v>
      </c>
      <c r="H20" s="217">
        <f>+D20-F20</f>
        <v>1560509.1294</v>
      </c>
      <c r="I20" s="274">
        <f>+D20/F20*100-100</f>
        <v>16.732760533630156</v>
      </c>
      <c r="J20" s="216">
        <v>10592714.32</v>
      </c>
      <c r="K20" s="265">
        <f t="shared" si="4"/>
        <v>0.28075044579909886</v>
      </c>
      <c r="L20" s="217">
        <f>+D20-J20</f>
        <v>293865.8200000003</v>
      </c>
      <c r="M20" s="274">
        <f>+D20/J20*100-100</f>
        <v>2.7742258605535568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7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</row>
    <row r="21" spans="2:81" ht="15" customHeight="1">
      <c r="B21" s="80">
        <v>713</v>
      </c>
      <c r="C21" s="93" t="str">
        <f>IF(MasterSheet!$A$1=1,MasterSheet!C86,MasterSheet!B86)</f>
        <v>Takse</v>
      </c>
      <c r="D21" s="94">
        <f>+D22+D25+D26</f>
        <v>2216861.3099999996</v>
      </c>
      <c r="E21" s="243">
        <f t="shared" si="1"/>
        <v>5.6020956989790753E-2</v>
      </c>
      <c r="F21" s="94">
        <f>+F22+F25+F26</f>
        <v>1113525.9726000002</v>
      </c>
      <c r="G21" s="243">
        <f t="shared" si="0"/>
        <v>2.8139239174163555E-2</v>
      </c>
      <c r="H21" s="203">
        <f t="shared" si="2"/>
        <v>1103335.3373999994</v>
      </c>
      <c r="I21" s="256">
        <f t="shared" si="3"/>
        <v>99.084831835919687</v>
      </c>
      <c r="J21" s="94">
        <f>+J22+J25+J26</f>
        <v>1330062.4300000002</v>
      </c>
      <c r="K21" s="246">
        <f t="shared" si="4"/>
        <v>3.5252118473363375E-2</v>
      </c>
      <c r="L21" s="203">
        <f t="shared" si="5"/>
        <v>886798.87999999942</v>
      </c>
      <c r="M21" s="256">
        <f t="shared" si="6"/>
        <v>66.673477875771539</v>
      </c>
      <c r="BY21" s="81"/>
      <c r="BZ21" s="81"/>
      <c r="CA21" s="81"/>
    </row>
    <row r="22" spans="2:81" ht="15" customHeight="1">
      <c r="B22" s="80">
        <v>7131</v>
      </c>
      <c r="C22" s="97" t="str">
        <f>IF(MasterSheet!$A$1=1,MasterSheet!C87,MasterSheet!B87)</f>
        <v>Administrativne takse</v>
      </c>
      <c r="D22" s="216">
        <v>238146.27</v>
      </c>
      <c r="E22" s="265">
        <f t="shared" si="1"/>
        <v>6.0180498837561908E-3</v>
      </c>
      <c r="F22" s="216">
        <v>266246.14260000002</v>
      </c>
      <c r="G22" s="265">
        <f t="shared" si="0"/>
        <v>6.7281447134337419E-3</v>
      </c>
      <c r="H22" s="217">
        <f t="shared" si="2"/>
        <v>-28099.872600000032</v>
      </c>
      <c r="I22" s="274">
        <f t="shared" si="3"/>
        <v>-10.554095667112222</v>
      </c>
      <c r="J22" s="216">
        <v>235234.17</v>
      </c>
      <c r="K22" s="265">
        <f t="shared" si="4"/>
        <v>6.2346718791412674E-3</v>
      </c>
      <c r="L22" s="217">
        <f t="shared" si="5"/>
        <v>2912.0999999999767</v>
      </c>
      <c r="M22" s="274">
        <f t="shared" si="6"/>
        <v>1.2379579038198187</v>
      </c>
      <c r="BY22" s="81"/>
      <c r="BZ22" s="81"/>
      <c r="CA22" s="81"/>
    </row>
    <row r="23" spans="2:81" ht="15" hidden="1" customHeight="1">
      <c r="B23" s="80">
        <v>7133</v>
      </c>
      <c r="C23" s="97" t="str">
        <f>IF(MasterSheet!$A$1=1,MasterSheet!C89,MasterSheet!B89)</f>
        <v>Boravišne takse</v>
      </c>
      <c r="D23" s="216">
        <v>261025.63</v>
      </c>
      <c r="E23" s="265">
        <f t="shared" si="1"/>
        <v>6.5962203072879814E-3</v>
      </c>
      <c r="F23" s="216">
        <v>820220.70900000003</v>
      </c>
      <c r="G23" s="265">
        <f t="shared" si="0"/>
        <v>2.0727299833215404E-2</v>
      </c>
      <c r="H23" s="217">
        <f t="shared" si="2"/>
        <v>-559195.07900000003</v>
      </c>
      <c r="I23" s="274">
        <f t="shared" si="3"/>
        <v>-68.176171713801494</v>
      </c>
      <c r="J23" s="216"/>
      <c r="K23" s="265">
        <f t="shared" si="4"/>
        <v>0</v>
      </c>
      <c r="L23" s="217">
        <f t="shared" si="5"/>
        <v>261025.63</v>
      </c>
      <c r="M23" s="274" t="e">
        <f t="shared" si="6"/>
        <v>#DIV/0!</v>
      </c>
      <c r="BY23" s="138"/>
      <c r="BZ23" s="138"/>
      <c r="CA23" s="138"/>
    </row>
    <row r="24" spans="2:81" ht="15" hidden="1" customHeight="1">
      <c r="B24" s="80">
        <v>7134</v>
      </c>
      <c r="C24" s="97" t="s">
        <v>434</v>
      </c>
      <c r="D24" s="216">
        <v>261025.63</v>
      </c>
      <c r="E24" s="265">
        <f t="shared" si="1"/>
        <v>6.5962203072879814E-3</v>
      </c>
      <c r="F24" s="216">
        <v>27059.120999999999</v>
      </c>
      <c r="G24" s="265">
        <f t="shared" si="0"/>
        <v>6.8379462751440409E-4</v>
      </c>
      <c r="H24" s="217">
        <f t="shared" si="2"/>
        <v>233966.50900000002</v>
      </c>
      <c r="I24" s="274">
        <f t="shared" si="3"/>
        <v>864.6493321050599</v>
      </c>
      <c r="J24" s="216"/>
      <c r="K24" s="265">
        <f t="shared" si="4"/>
        <v>0</v>
      </c>
      <c r="L24" s="217">
        <f t="shared" si="5"/>
        <v>261025.63</v>
      </c>
      <c r="M24" s="274" t="e">
        <f t="shared" si="6"/>
        <v>#DIV/0!</v>
      </c>
      <c r="BY24" s="138"/>
      <c r="BZ24" s="138"/>
      <c r="CA24" s="138"/>
    </row>
    <row r="25" spans="2:81" ht="15" customHeight="1">
      <c r="B25" s="80">
        <v>7135</v>
      </c>
      <c r="C25" s="97" t="s">
        <v>36</v>
      </c>
      <c r="D25" s="216">
        <v>1948786.5799999998</v>
      </c>
      <c r="E25" s="265">
        <f t="shared" si="1"/>
        <v>4.9246603153745072E-2</v>
      </c>
      <c r="F25" s="216">
        <v>820220.70900000003</v>
      </c>
      <c r="G25" s="265">
        <f t="shared" si="0"/>
        <v>2.0727299833215404E-2</v>
      </c>
      <c r="H25" s="217">
        <f t="shared" si="2"/>
        <v>1128565.8709999998</v>
      </c>
      <c r="I25" s="274">
        <f t="shared" si="3"/>
        <v>137.59295011899044</v>
      </c>
      <c r="J25" s="216">
        <v>1070918.6700000002</v>
      </c>
      <c r="K25" s="265">
        <f t="shared" si="4"/>
        <v>2.8383744235356487E-2</v>
      </c>
      <c r="L25" s="217">
        <f t="shared" si="5"/>
        <v>877867.90999999968</v>
      </c>
      <c r="M25" s="274">
        <f t="shared" si="6"/>
        <v>81.97335003973734</v>
      </c>
      <c r="BY25" s="138"/>
      <c r="BZ25" s="138"/>
      <c r="CA25" s="138"/>
    </row>
    <row r="26" spans="2:81" ht="15" customHeight="1">
      <c r="B26" s="80">
        <v>7136</v>
      </c>
      <c r="C26" s="97" t="s">
        <v>37</v>
      </c>
      <c r="D26" s="216">
        <v>29928.459999999995</v>
      </c>
      <c r="E26" s="265">
        <f t="shared" si="1"/>
        <v>7.5630395228949753E-4</v>
      </c>
      <c r="F26" s="216">
        <v>27059.120999999999</v>
      </c>
      <c r="G26" s="265">
        <f t="shared" si="0"/>
        <v>6.8379462751440409E-4</v>
      </c>
      <c r="H26" s="217">
        <f t="shared" si="2"/>
        <v>2869.3389999999963</v>
      </c>
      <c r="I26" s="274">
        <f t="shared" si="3"/>
        <v>10.603962338614025</v>
      </c>
      <c r="J26" s="216">
        <v>23909.59</v>
      </c>
      <c r="K26" s="265">
        <f t="shared" si="4"/>
        <v>6.3370235886562416E-4</v>
      </c>
      <c r="L26" s="217">
        <f t="shared" si="5"/>
        <v>6018.8699999999953</v>
      </c>
      <c r="M26" s="274">
        <f t="shared" si="6"/>
        <v>25.173455504674052</v>
      </c>
      <c r="BY26" s="138"/>
      <c r="BZ26" s="138"/>
      <c r="CA26" s="138"/>
    </row>
    <row r="27" spans="2:81" ht="15" customHeight="1">
      <c r="B27" s="80">
        <v>714</v>
      </c>
      <c r="C27" s="93" t="str">
        <f>IF(MasterSheet!$A$1=1,MasterSheet!C91,MasterSheet!B91)</f>
        <v>Naknade</v>
      </c>
      <c r="D27" s="94">
        <f>+SUM(D28:D32)</f>
        <v>10359356.299999999</v>
      </c>
      <c r="E27" s="243">
        <f t="shared" si="1"/>
        <v>0.26178500707571006</v>
      </c>
      <c r="F27" s="94">
        <f>+SUM(F28:F32)</f>
        <v>8503357.0421999991</v>
      </c>
      <c r="G27" s="243">
        <f t="shared" si="0"/>
        <v>0.21488317603861315</v>
      </c>
      <c r="H27" s="203">
        <f t="shared" si="2"/>
        <v>1855999.2577999998</v>
      </c>
      <c r="I27" s="256">
        <f t="shared" si="3"/>
        <v>21.826665028754505</v>
      </c>
      <c r="J27" s="94">
        <f>+SUM(J28:J32)</f>
        <v>8581113.2200000007</v>
      </c>
      <c r="K27" s="246">
        <f t="shared" si="4"/>
        <v>0.22743475271667107</v>
      </c>
      <c r="L27" s="203">
        <f t="shared" si="5"/>
        <v>1778243.0799999982</v>
      </c>
      <c r="M27" s="256">
        <f t="shared" si="6"/>
        <v>20.72275512989907</v>
      </c>
      <c r="BY27" s="138"/>
      <c r="BZ27" s="138"/>
      <c r="CA27" s="138"/>
    </row>
    <row r="28" spans="2:81" ht="15" customHeight="1">
      <c r="B28" s="80">
        <v>7141</v>
      </c>
      <c r="C28" s="97" t="str">
        <f>IF(MasterSheet!$A$1=1,MasterSheet!C92,MasterSheet!B92)</f>
        <v>Naknade za korišćenje dobara od opšteg interesa</v>
      </c>
      <c r="D28" s="218">
        <v>122222.96</v>
      </c>
      <c r="E28" s="266">
        <f t="shared" si="1"/>
        <v>3.0886222581623371E-3</v>
      </c>
      <c r="F28" s="218">
        <v>164193.10260000004</v>
      </c>
      <c r="G28" s="266">
        <f t="shared" si="0"/>
        <v>4.1492242646315588E-3</v>
      </c>
      <c r="H28" s="219">
        <f t="shared" si="2"/>
        <v>-41970.142600000036</v>
      </c>
      <c r="I28" s="275">
        <f t="shared" si="3"/>
        <v>-25.561452908436621</v>
      </c>
      <c r="J28" s="218">
        <v>178155.49</v>
      </c>
      <c r="K28" s="266">
        <f t="shared" si="4"/>
        <v>4.7218523721176782E-3</v>
      </c>
      <c r="L28" s="219">
        <f t="shared" si="5"/>
        <v>-55932.529999999984</v>
      </c>
      <c r="M28" s="275">
        <f t="shared" si="6"/>
        <v>-31.395344594769426</v>
      </c>
      <c r="BY28" s="138"/>
      <c r="BZ28" s="138"/>
      <c r="CA28" s="138"/>
    </row>
    <row r="29" spans="2:81" ht="15" customHeight="1">
      <c r="B29" s="80">
        <v>7142</v>
      </c>
      <c r="C29" s="97" t="str">
        <f>IF(MasterSheet!$A$1=1,MasterSheet!C93,MasterSheet!B93)</f>
        <v>Naknade za korišćenje prirodnih dobara</v>
      </c>
      <c r="D29" s="220">
        <v>1328721.5399999998</v>
      </c>
      <c r="E29" s="244">
        <f t="shared" si="1"/>
        <v>3.3577315778833515E-2</v>
      </c>
      <c r="F29" s="154">
        <v>1249942.9452</v>
      </c>
      <c r="G29" s="244">
        <f t="shared" si="0"/>
        <v>3.1586549711917516E-2</v>
      </c>
      <c r="H29" s="221">
        <f t="shared" si="2"/>
        <v>78778.594799999846</v>
      </c>
      <c r="I29" s="257">
        <f t="shared" si="3"/>
        <v>6.3025752577366347</v>
      </c>
      <c r="J29" s="154">
        <v>1460291.26</v>
      </c>
      <c r="K29" s="293">
        <f t="shared" si="4"/>
        <v>3.8703717466207266E-2</v>
      </c>
      <c r="L29" s="221">
        <f t="shared" si="5"/>
        <v>-131569.7200000002</v>
      </c>
      <c r="M29" s="257">
        <f t="shared" si="6"/>
        <v>-9.0098272587072898</v>
      </c>
      <c r="BY29" s="138"/>
      <c r="BZ29" s="138"/>
      <c r="CA29" s="138"/>
    </row>
    <row r="30" spans="2:81" ht="24.75" customHeight="1">
      <c r="B30" s="80">
        <v>7146</v>
      </c>
      <c r="C30" s="155" t="s">
        <v>445</v>
      </c>
      <c r="D30" s="218">
        <v>7365765.8999999994</v>
      </c>
      <c r="E30" s="244">
        <f t="shared" si="1"/>
        <v>0.1861358005660568</v>
      </c>
      <c r="F30" s="218">
        <v>6000000</v>
      </c>
      <c r="G30" s="244">
        <f t="shared" si="0"/>
        <v>0.15162235924390982</v>
      </c>
      <c r="H30" s="219">
        <f t="shared" si="2"/>
        <v>1365765.8999999994</v>
      </c>
      <c r="I30" s="257">
        <f t="shared" si="3"/>
        <v>22.762764999999987</v>
      </c>
      <c r="J30" s="218">
        <v>6029935.3500000015</v>
      </c>
      <c r="K30" s="293">
        <f t="shared" si="4"/>
        <v>0.15981805857407902</v>
      </c>
      <c r="L30" s="219">
        <f t="shared" si="5"/>
        <v>1335830.549999998</v>
      </c>
      <c r="M30" s="257">
        <f t="shared" si="6"/>
        <v>22.153314628820979</v>
      </c>
      <c r="BY30" s="138"/>
      <c r="BZ30" s="138"/>
      <c r="CA30" s="138"/>
    </row>
    <row r="31" spans="2:81" ht="38.25">
      <c r="B31" s="156">
        <v>7147</v>
      </c>
      <c r="C31" s="155" t="s">
        <v>435</v>
      </c>
      <c r="D31" s="218">
        <v>426469.65</v>
      </c>
      <c r="E31" s="244">
        <f t="shared" si="1"/>
        <v>1.0777055746487416E-2</v>
      </c>
      <c r="F31" s="218">
        <v>442751.7672</v>
      </c>
      <c r="G31" s="244">
        <f t="shared" si="0"/>
        <v>1.1188511250379056E-2</v>
      </c>
      <c r="H31" s="219">
        <f t="shared" si="2"/>
        <v>-16282.117199999979</v>
      </c>
      <c r="I31" s="257">
        <f t="shared" si="3"/>
        <v>-3.6774821482858187</v>
      </c>
      <c r="J31" s="218">
        <v>556579.92999999993</v>
      </c>
      <c r="K31" s="293">
        <f t="shared" si="4"/>
        <v>1.4751654651470976E-2</v>
      </c>
      <c r="L31" s="221">
        <f t="shared" si="5"/>
        <v>-130110.27999999991</v>
      </c>
      <c r="M31" s="257">
        <f t="shared" si="6"/>
        <v>-23.376746624694121</v>
      </c>
      <c r="BY31" s="138"/>
      <c r="BZ31" s="138"/>
      <c r="CA31" s="138"/>
    </row>
    <row r="32" spans="2:81" ht="15" customHeight="1">
      <c r="B32" s="80">
        <v>7149</v>
      </c>
      <c r="C32" s="97" t="str">
        <f>IF(MasterSheet!$A$1=1,MasterSheet!C97,MasterSheet!B97)</f>
        <v>Ostale naknade</v>
      </c>
      <c r="D32" s="216">
        <v>1116176.25</v>
      </c>
      <c r="E32" s="265">
        <f t="shared" si="1"/>
        <v>2.8206212726170018E-2</v>
      </c>
      <c r="F32" s="216">
        <v>646469.22720000008</v>
      </c>
      <c r="G32" s="265">
        <f t="shared" si="0"/>
        <v>1.6336531567775196E-2</v>
      </c>
      <c r="H32" s="217">
        <f t="shared" si="2"/>
        <v>469707.02279999992</v>
      </c>
      <c r="I32" s="274">
        <f t="shared" si="3"/>
        <v>72.657290252531283</v>
      </c>
      <c r="J32" s="216">
        <v>356151.18999999994</v>
      </c>
      <c r="K32" s="265">
        <f t="shared" si="4"/>
        <v>9.4394696527961824E-3</v>
      </c>
      <c r="L32" s="217">
        <f t="shared" si="5"/>
        <v>760025.06</v>
      </c>
      <c r="M32" s="274">
        <f t="shared" si="6"/>
        <v>213.39955651980279</v>
      </c>
      <c r="BY32" s="81"/>
      <c r="BZ32" s="81"/>
      <c r="CA32" s="81"/>
      <c r="CB32" s="81"/>
      <c r="CC32" s="81"/>
    </row>
    <row r="33" spans="1:82" ht="15" customHeight="1">
      <c r="B33" s="80">
        <v>715</v>
      </c>
      <c r="C33" s="93" t="str">
        <f>IF(MasterSheet!$A$1=1,MasterSheet!C98,MasterSheet!B98)</f>
        <v>Ostali prihodi</v>
      </c>
      <c r="D33" s="222">
        <f>+SUM(D34:D37)</f>
        <v>2308219.96</v>
      </c>
      <c r="E33" s="267">
        <f t="shared" si="1"/>
        <v>5.8329625998180527E-2</v>
      </c>
      <c r="F33" s="222">
        <f>+SUM(F34:F37)</f>
        <v>2120350.9456000002</v>
      </c>
      <c r="G33" s="267">
        <f t="shared" si="0"/>
        <v>5.3582102132821191E-2</v>
      </c>
      <c r="H33" s="223">
        <f t="shared" si="2"/>
        <v>187869.01439999975</v>
      </c>
      <c r="I33" s="276">
        <f t="shared" si="3"/>
        <v>8.8602792282971734</v>
      </c>
      <c r="J33" s="222">
        <f>+SUM(J34:J37)</f>
        <v>1731202.6199999999</v>
      </c>
      <c r="K33" s="267">
        <f t="shared" si="4"/>
        <v>4.58839814471243E-2</v>
      </c>
      <c r="L33" s="223">
        <f t="shared" si="5"/>
        <v>577017.34000000008</v>
      </c>
      <c r="M33" s="276">
        <f t="shared" si="6"/>
        <v>33.330433614986106</v>
      </c>
      <c r="BY33" s="81"/>
      <c r="BZ33" s="81"/>
      <c r="CA33" s="81"/>
      <c r="CB33" s="81"/>
      <c r="CC33" s="81"/>
    </row>
    <row r="34" spans="1:82" ht="15" customHeight="1">
      <c r="B34" s="80">
        <v>7151</v>
      </c>
      <c r="C34" s="97" t="str">
        <f>IF(MasterSheet!$A$1=1,MasterSheet!C99,MasterSheet!B99)</f>
        <v>Prihodi od kapitala</v>
      </c>
      <c r="D34" s="216">
        <v>487994.94999999995</v>
      </c>
      <c r="E34" s="265">
        <f t="shared" si="1"/>
        <v>1.2331824269685635E-2</v>
      </c>
      <c r="F34" s="216">
        <v>463619.46780000004</v>
      </c>
      <c r="G34" s="265">
        <f t="shared" si="0"/>
        <v>1.1715846249873648E-2</v>
      </c>
      <c r="H34" s="217">
        <f t="shared" si="2"/>
        <v>24375.482199999911</v>
      </c>
      <c r="I34" s="274">
        <f t="shared" si="3"/>
        <v>5.2576485443262584</v>
      </c>
      <c r="J34" s="216">
        <v>423681.05</v>
      </c>
      <c r="K34" s="265">
        <f t="shared" si="4"/>
        <v>1.1229288364696529E-2</v>
      </c>
      <c r="L34" s="217">
        <f t="shared" si="5"/>
        <v>64313.899999999965</v>
      </c>
      <c r="M34" s="274">
        <f t="shared" si="6"/>
        <v>15.179791496457057</v>
      </c>
      <c r="BY34" s="139"/>
      <c r="BZ34" s="139"/>
      <c r="CA34" s="139"/>
      <c r="CB34" s="139"/>
      <c r="CC34" s="139"/>
      <c r="CD34" s="140"/>
    </row>
    <row r="35" spans="1:82" ht="15" customHeight="1">
      <c r="B35" s="80">
        <v>7152</v>
      </c>
      <c r="C35" s="97" t="str">
        <f>IF(MasterSheet!$A$1=1,MasterSheet!C100,MasterSheet!B100)</f>
        <v>Novčane kazne i oduzete imovinske koristi</v>
      </c>
      <c r="D35" s="216">
        <v>228595.18000000002</v>
      </c>
      <c r="E35" s="265">
        <f t="shared" si="1"/>
        <v>5.7766900838977057E-3</v>
      </c>
      <c r="F35" s="216">
        <v>115152.23699999999</v>
      </c>
      <c r="G35" s="265">
        <f t="shared" si="0"/>
        <v>2.9099423076923074E-3</v>
      </c>
      <c r="H35" s="217">
        <f t="shared" si="2"/>
        <v>113442.94300000003</v>
      </c>
      <c r="I35" s="274">
        <f t="shared" si="3"/>
        <v>98.515622410357537</v>
      </c>
      <c r="J35" s="216">
        <v>77335.66</v>
      </c>
      <c r="K35" s="265">
        <f t="shared" si="4"/>
        <v>2.0497126954677975E-3</v>
      </c>
      <c r="L35" s="217">
        <f t="shared" si="5"/>
        <v>151259.52000000002</v>
      </c>
      <c r="M35" s="274">
        <f t="shared" si="6"/>
        <v>195.58832238581789</v>
      </c>
      <c r="BY35" s="139"/>
      <c r="BZ35" s="139"/>
      <c r="CA35" s="141"/>
      <c r="CB35" s="141"/>
      <c r="CC35" s="142"/>
      <c r="CD35" s="140"/>
    </row>
    <row r="36" spans="1:82" ht="15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216">
        <v>353284.5400000001</v>
      </c>
      <c r="E36" s="265">
        <f t="shared" si="1"/>
        <v>8.9276392398665739E-3</v>
      </c>
      <c r="F36" s="216">
        <v>541579.24079999991</v>
      </c>
      <c r="G36" s="265">
        <f t="shared" si="0"/>
        <v>1.3685920367936925E-2</v>
      </c>
      <c r="H36" s="217">
        <f t="shared" si="2"/>
        <v>-188294.70079999982</v>
      </c>
      <c r="I36" s="274">
        <f t="shared" si="3"/>
        <v>-34.767710173281046</v>
      </c>
      <c r="J36" s="216">
        <v>369042.65999999992</v>
      </c>
      <c r="K36" s="265">
        <f t="shared" si="4"/>
        <v>9.7811465677179934E-3</v>
      </c>
      <c r="L36" s="217">
        <f t="shared" si="5"/>
        <v>-15758.119999999821</v>
      </c>
      <c r="M36" s="274">
        <f t="shared" si="6"/>
        <v>-4.2699995713232255</v>
      </c>
      <c r="BY36" s="81"/>
      <c r="BZ36" s="81"/>
      <c r="CA36" s="143"/>
      <c r="CB36" s="143"/>
      <c r="CC36" s="143"/>
      <c r="CD36" s="140"/>
    </row>
    <row r="37" spans="1:82" ht="15" customHeight="1">
      <c r="B37" s="80">
        <v>7154</v>
      </c>
      <c r="C37" s="97" t="str">
        <f>IF(MasterSheet!$A$1=1,MasterSheet!C102,MasterSheet!B102)</f>
        <v>Ostali prihodi</v>
      </c>
      <c r="D37" s="216">
        <v>1238345.2899999998</v>
      </c>
      <c r="E37" s="265">
        <f t="shared" si="1"/>
        <v>3.1293472404730613E-2</v>
      </c>
      <c r="F37" s="216">
        <v>1000000</v>
      </c>
      <c r="G37" s="265">
        <f t="shared" si="0"/>
        <v>2.5270393207318307E-2</v>
      </c>
      <c r="H37" s="217">
        <f t="shared" si="2"/>
        <v>238345.2899999998</v>
      </c>
      <c r="I37" s="274">
        <f t="shared" si="3"/>
        <v>23.834528999999975</v>
      </c>
      <c r="J37" s="216">
        <v>861143.25</v>
      </c>
      <c r="K37" s="265">
        <f t="shared" si="4"/>
        <v>2.2823833819241985E-2</v>
      </c>
      <c r="L37" s="217">
        <f t="shared" si="5"/>
        <v>377202.0399999998</v>
      </c>
      <c r="M37" s="274">
        <f t="shared" si="6"/>
        <v>43.80247304963487</v>
      </c>
      <c r="BX37" s="100"/>
      <c r="BY37" s="100"/>
      <c r="BZ37" s="99"/>
      <c r="CA37" s="143"/>
      <c r="CB37" s="143"/>
      <c r="CC37" s="143"/>
      <c r="CD37" s="140"/>
    </row>
    <row r="38" spans="1:82">
      <c r="B38" s="80">
        <v>73</v>
      </c>
      <c r="C38" s="101" t="str">
        <f>IF(MasterSheet!$A$1=1,MasterSheet!C103,MasterSheet!B103)</f>
        <v xml:space="preserve">Primici od otplate kredita </v>
      </c>
      <c r="D38" s="222">
        <v>0</v>
      </c>
      <c r="E38" s="267">
        <f t="shared" si="1"/>
        <v>0</v>
      </c>
      <c r="F38" s="222">
        <v>0</v>
      </c>
      <c r="G38" s="267">
        <f t="shared" si="0"/>
        <v>0</v>
      </c>
      <c r="H38" s="223">
        <f t="shared" si="2"/>
        <v>0</v>
      </c>
      <c r="I38" s="274" t="e">
        <f t="shared" si="3"/>
        <v>#DIV/0!</v>
      </c>
      <c r="J38" s="222">
        <v>0</v>
      </c>
      <c r="K38" s="267">
        <f t="shared" si="4"/>
        <v>0</v>
      </c>
      <c r="L38" s="223">
        <f t="shared" si="5"/>
        <v>0</v>
      </c>
      <c r="M38" s="276" t="e">
        <f t="shared" si="6"/>
        <v>#DIV/0!</v>
      </c>
      <c r="BX38" s="100"/>
      <c r="BY38" s="100"/>
      <c r="BZ38" s="99"/>
      <c r="CA38" s="143"/>
      <c r="CB38" s="143"/>
      <c r="CC38" s="143"/>
      <c r="CD38" s="140"/>
    </row>
    <row r="39" spans="1:82" ht="13.5" customHeight="1" thickBot="1">
      <c r="B39" s="80">
        <v>74</v>
      </c>
      <c r="C39" s="93" t="s">
        <v>122</v>
      </c>
      <c r="D39" s="222">
        <v>485625.65</v>
      </c>
      <c r="E39" s="267">
        <f t="shared" si="1"/>
        <v>1.227195112705954E-2</v>
      </c>
      <c r="F39" s="222">
        <f>479996.9754+185257.67</f>
        <v>665254.64540000004</v>
      </c>
      <c r="G39" s="267">
        <f t="shared" si="0"/>
        <v>1.681124647225311E-2</v>
      </c>
      <c r="H39" s="223">
        <f t="shared" si="2"/>
        <v>-179628.99540000001</v>
      </c>
      <c r="I39" s="276">
        <f t="shared" si="3"/>
        <v>-27.001539431865794</v>
      </c>
      <c r="J39" s="222">
        <v>1419034.5</v>
      </c>
      <c r="K39" s="267">
        <f t="shared" si="4"/>
        <v>3.7610243837794856E-2</v>
      </c>
      <c r="L39" s="223">
        <f t="shared" si="5"/>
        <v>-933408.85</v>
      </c>
      <c r="M39" s="276">
        <f t="shared" si="6"/>
        <v>-65.777741837848197</v>
      </c>
      <c r="BY39" s="144"/>
      <c r="BZ39" s="144"/>
      <c r="CA39" s="143"/>
      <c r="CB39" s="143"/>
      <c r="CC39" s="143"/>
      <c r="CD39" s="140"/>
    </row>
    <row r="40" spans="1:82" ht="15" customHeight="1" thickTop="1" thickBot="1">
      <c r="B40" s="102"/>
      <c r="C40" s="151" t="str">
        <f>IF(MasterSheet!$A$1=1,MasterSheet!C104,MasterSheet!B104)</f>
        <v>Izdaci</v>
      </c>
      <c r="D40" s="224">
        <f>+D42+D52+D55+D58+D59+D60+D61+D62+D63</f>
        <v>39272996.920000002</v>
      </c>
      <c r="E40" s="268">
        <f t="shared" si="1"/>
        <v>0.99244407459820083</v>
      </c>
      <c r="F40" s="224">
        <f>+F42+F52+F55+F58+F59+F60+F61+F62+F63</f>
        <v>36114212.103</v>
      </c>
      <c r="G40" s="268">
        <f t="shared" si="0"/>
        <v>0.9126203402153038</v>
      </c>
      <c r="H40" s="224">
        <f t="shared" si="2"/>
        <v>3158784.8170000017</v>
      </c>
      <c r="I40" s="268">
        <f t="shared" si="3"/>
        <v>8.746653001845786</v>
      </c>
      <c r="J40" s="224">
        <f>+J42+J52+J55+J58+J59+J60+J61+J62+J63</f>
        <v>41854469.129999995</v>
      </c>
      <c r="K40" s="294">
        <f t="shared" si="4"/>
        <v>1.1093153758282532</v>
      </c>
      <c r="L40" s="224">
        <f t="shared" si="5"/>
        <v>-2581472.2099999934</v>
      </c>
      <c r="M40" s="268">
        <f t="shared" si="6"/>
        <v>-6.1677337298961703</v>
      </c>
      <c r="BY40" s="81"/>
      <c r="BZ40" s="81"/>
      <c r="CA40" s="143"/>
      <c r="CB40" s="143"/>
      <c r="CC40" s="143"/>
      <c r="CD40" s="140"/>
    </row>
    <row r="41" spans="1:82" ht="13.5" customHeight="1" thickTop="1" thickBot="1">
      <c r="C41" s="151" t="str">
        <f>IF(MasterSheet!$A$1=1,MasterSheet!C105,MasterSheet!B105)</f>
        <v>Tekuća budžetska potrošnja</v>
      </c>
      <c r="D41" s="224">
        <f>+D40-D58</f>
        <v>33219668.880000003</v>
      </c>
      <c r="E41" s="268">
        <f t="shared" si="1"/>
        <v>0.8394740948145154</v>
      </c>
      <c r="F41" s="224">
        <f>+F40-F58</f>
        <v>29796535.2564</v>
      </c>
      <c r="G41" s="268">
        <f t="shared" si="0"/>
        <v>0.75297016214495094</v>
      </c>
      <c r="H41" s="224">
        <f t="shared" si="2"/>
        <v>3423133.6236000024</v>
      </c>
      <c r="I41" s="268">
        <f t="shared" si="3"/>
        <v>11.488361294841326</v>
      </c>
      <c r="J41" s="224">
        <f>+J40-J58</f>
        <v>36305701.75</v>
      </c>
      <c r="K41" s="294">
        <f t="shared" si="4"/>
        <v>0.96225024516300017</v>
      </c>
      <c r="L41" s="224">
        <f t="shared" si="5"/>
        <v>-3086032.8699999973</v>
      </c>
      <c r="M41" s="268">
        <f t="shared" si="6"/>
        <v>-8.5001328200466304</v>
      </c>
      <c r="BY41" s="144"/>
      <c r="BZ41" s="144"/>
      <c r="CA41" s="143"/>
      <c r="CB41" s="143"/>
      <c r="CC41" s="143"/>
      <c r="CD41" s="140"/>
    </row>
    <row r="42" spans="1:82" ht="13.5" customHeight="1" thickTop="1">
      <c r="A42" s="80">
        <v>41</v>
      </c>
      <c r="C42" s="93" t="str">
        <f>+'Cental Budget'!C37</f>
        <v>Tekući izdaci</v>
      </c>
      <c r="D42" s="94">
        <f>+SUM(D43:D51)</f>
        <v>14225724.869999999</v>
      </c>
      <c r="E42" s="243">
        <f t="shared" si="1"/>
        <v>0.35948966112402708</v>
      </c>
      <c r="F42" s="94">
        <f>+SUM(F43:F51)</f>
        <v>11383300.476600002</v>
      </c>
      <c r="G42" s="243">
        <f t="shared" si="0"/>
        <v>0.28766047904073594</v>
      </c>
      <c r="H42" s="203">
        <f t="shared" si="2"/>
        <v>2842424.3933999967</v>
      </c>
      <c r="I42" s="256">
        <f t="shared" si="3"/>
        <v>24.970125309816837</v>
      </c>
      <c r="J42" s="94">
        <f>+SUM(J43:J51)</f>
        <v>13497671.569999998</v>
      </c>
      <c r="K42" s="246">
        <f t="shared" si="4"/>
        <v>0.35774374688576727</v>
      </c>
      <c r="L42" s="203">
        <f t="shared" si="5"/>
        <v>728053.30000000075</v>
      </c>
      <c r="M42" s="256">
        <f t="shared" si="6"/>
        <v>5.3939177303600587</v>
      </c>
      <c r="BY42" s="144"/>
      <c r="BZ42" s="144"/>
      <c r="CA42" s="143"/>
      <c r="CB42" s="143"/>
      <c r="CC42" s="143"/>
      <c r="CD42" s="140"/>
    </row>
    <row r="43" spans="1:82" ht="13.5" customHeight="1">
      <c r="B43" s="80">
        <v>411</v>
      </c>
      <c r="C43" s="93" t="str">
        <f>+'Cental Budget'!C38</f>
        <v>Bruto zarade i doprinosi na teret poslodavca</v>
      </c>
      <c r="D43" s="222">
        <v>8500416.5299999993</v>
      </c>
      <c r="E43" s="267">
        <f t="shared" si="1"/>
        <v>0.21480886813908823</v>
      </c>
      <c r="F43" s="222">
        <v>6204487.5499999998</v>
      </c>
      <c r="G43" s="267">
        <f t="shared" si="0"/>
        <v>0.15678984003841098</v>
      </c>
      <c r="H43" s="223">
        <f t="shared" si="2"/>
        <v>2295928.9799999995</v>
      </c>
      <c r="I43" s="276">
        <f t="shared" si="3"/>
        <v>37.004328907066622</v>
      </c>
      <c r="J43" s="222">
        <v>7018408.5099999998</v>
      </c>
      <c r="K43" s="267">
        <f t="shared" si="4"/>
        <v>0.18601665809700504</v>
      </c>
      <c r="L43" s="223">
        <f t="shared" si="5"/>
        <v>1482008.0199999996</v>
      </c>
      <c r="M43" s="276">
        <f t="shared" si="6"/>
        <v>21.116012524611506</v>
      </c>
      <c r="BY43" s="144"/>
      <c r="BZ43" s="144"/>
      <c r="CA43" s="143"/>
      <c r="CB43" s="143"/>
      <c r="CC43" s="143"/>
      <c r="CD43" s="140"/>
    </row>
    <row r="44" spans="1:82" ht="13.5" customHeight="1">
      <c r="B44" s="80">
        <v>412</v>
      </c>
      <c r="C44" s="93" t="str">
        <f>+'Cental Budget'!C39</f>
        <v>Ostala lična primanja</v>
      </c>
      <c r="D44" s="222">
        <v>498630.47000000003</v>
      </c>
      <c r="E44" s="267">
        <f t="shared" si="1"/>
        <v>1.2600588042049936E-2</v>
      </c>
      <c r="F44" s="222">
        <v>1200000</v>
      </c>
      <c r="G44" s="267">
        <f t="shared" si="0"/>
        <v>3.0324471848781967E-2</v>
      </c>
      <c r="H44" s="223">
        <f t="shared" si="2"/>
        <v>-701369.53</v>
      </c>
      <c r="I44" s="276">
        <f t="shared" si="3"/>
        <v>-58.447460833333331</v>
      </c>
      <c r="J44" s="222">
        <v>1640216.7200000004</v>
      </c>
      <c r="K44" s="267">
        <f t="shared" si="4"/>
        <v>4.3472481314603774E-2</v>
      </c>
      <c r="L44" s="223">
        <f t="shared" si="5"/>
        <v>-1141586.2500000005</v>
      </c>
      <c r="M44" s="276">
        <f t="shared" si="6"/>
        <v>-69.599720334517755</v>
      </c>
      <c r="BY44" s="144"/>
      <c r="BZ44" s="144"/>
      <c r="CA44" s="143"/>
      <c r="CB44" s="143"/>
      <c r="CC44" s="143"/>
      <c r="CD44" s="140"/>
    </row>
    <row r="45" spans="1:82" ht="13.5" customHeight="1">
      <c r="B45" s="80">
        <v>413</v>
      </c>
      <c r="C45" s="93" t="str">
        <f>+'Cental Budget'!C40</f>
        <v>Rashodi za materijal</v>
      </c>
      <c r="D45" s="222">
        <v>1630823.6400000001</v>
      </c>
      <c r="E45" s="267">
        <f t="shared" si="1"/>
        <v>4.1211554634590121E-2</v>
      </c>
      <c r="F45" s="222">
        <v>1000000</v>
      </c>
      <c r="G45" s="267">
        <f t="shared" si="0"/>
        <v>2.5270393207318307E-2</v>
      </c>
      <c r="H45" s="223">
        <f t="shared" si="2"/>
        <v>630823.64000000013</v>
      </c>
      <c r="I45" s="276">
        <f t="shared" si="3"/>
        <v>63.082364000000013</v>
      </c>
      <c r="J45" s="222">
        <v>1399387.5299999998</v>
      </c>
      <c r="K45" s="267">
        <f t="shared" si="4"/>
        <v>3.7089518420355148E-2</v>
      </c>
      <c r="L45" s="223">
        <f t="shared" si="5"/>
        <v>231436.11000000034</v>
      </c>
      <c r="M45" s="276">
        <f t="shared" si="6"/>
        <v>16.538385903724631</v>
      </c>
      <c r="BY45" s="144"/>
      <c r="BZ45" s="144"/>
      <c r="CA45" s="143"/>
      <c r="CB45" s="143"/>
      <c r="CC45" s="143"/>
      <c r="CD45" s="140"/>
    </row>
    <row r="46" spans="1:82" ht="13.5" customHeight="1">
      <c r="B46" s="80">
        <v>414</v>
      </c>
      <c r="C46" s="93" t="str">
        <f>+'Cental Budget'!C41</f>
        <v>Rashodi za usluge</v>
      </c>
      <c r="D46" s="94">
        <v>1153953.7000000002</v>
      </c>
      <c r="E46" s="243">
        <f t="shared" si="1"/>
        <v>2.9160863742039831E-2</v>
      </c>
      <c r="F46" s="152">
        <v>1167694.4598000003</v>
      </c>
      <c r="G46" s="243">
        <f t="shared" si="0"/>
        <v>2.9508098145153146E-2</v>
      </c>
      <c r="H46" s="203">
        <f t="shared" si="2"/>
        <v>-13740.759800000116</v>
      </c>
      <c r="I46" s="276">
        <f t="shared" si="3"/>
        <v>-1.1767427416204015</v>
      </c>
      <c r="J46" s="152">
        <v>1257860.7</v>
      </c>
      <c r="K46" s="246">
        <f t="shared" si="4"/>
        <v>3.3338476013782134E-2</v>
      </c>
      <c r="L46" s="203">
        <f t="shared" si="5"/>
        <v>-103906.99999999977</v>
      </c>
      <c r="M46" s="256">
        <f t="shared" si="6"/>
        <v>-8.2606126417654906</v>
      </c>
      <c r="BY46" s="144"/>
      <c r="BZ46" s="144"/>
      <c r="CA46" s="143"/>
      <c r="CB46" s="143"/>
      <c r="CC46" s="143"/>
      <c r="CD46" s="140"/>
    </row>
    <row r="47" spans="1:82" ht="13.5" customHeight="1">
      <c r="B47" s="80">
        <v>415</v>
      </c>
      <c r="C47" s="93" t="str">
        <f>+'Cental Budget'!C42</f>
        <v>Rashodi za tekuće održavanje</v>
      </c>
      <c r="D47" s="222">
        <v>789842.50000000012</v>
      </c>
      <c r="E47" s="267">
        <f t="shared" si="1"/>
        <v>1.9959630546851313E-2</v>
      </c>
      <c r="F47" s="222">
        <v>610241.93820000009</v>
      </c>
      <c r="G47" s="267">
        <f t="shared" si="0"/>
        <v>1.5421053729910039E-2</v>
      </c>
      <c r="H47" s="223">
        <f t="shared" si="2"/>
        <v>179600.56180000002</v>
      </c>
      <c r="I47" s="276">
        <f t="shared" si="3"/>
        <v>29.431042109258954</v>
      </c>
      <c r="J47" s="222">
        <v>575173.76000000013</v>
      </c>
      <c r="K47" s="267">
        <f t="shared" si="4"/>
        <v>1.5244467532467536E-2</v>
      </c>
      <c r="L47" s="223">
        <f t="shared" si="5"/>
        <v>214668.74</v>
      </c>
      <c r="M47" s="276">
        <f t="shared" si="6"/>
        <v>37.322415403651235</v>
      </c>
      <c r="BY47" s="144"/>
      <c r="BZ47" s="144"/>
      <c r="CA47" s="143"/>
      <c r="CB47" s="143"/>
      <c r="CC47" s="143"/>
      <c r="CD47" s="140"/>
    </row>
    <row r="48" spans="1:82" ht="13.5" customHeight="1">
      <c r="B48" s="80">
        <v>416</v>
      </c>
      <c r="C48" s="93" t="str">
        <f>+'Cental Budget'!C43</f>
        <v>Kamate</v>
      </c>
      <c r="D48" s="222">
        <v>882827.34</v>
      </c>
      <c r="E48" s="267">
        <f t="shared" si="1"/>
        <v>2.2309394015970888E-2</v>
      </c>
      <c r="F48" s="222">
        <v>797320.70939999993</v>
      </c>
      <c r="G48" s="267">
        <f t="shared" si="0"/>
        <v>2.0148607838875971E-2</v>
      </c>
      <c r="H48" s="223">
        <f t="shared" si="2"/>
        <v>85506.630600000033</v>
      </c>
      <c r="I48" s="276">
        <f t="shared" si="3"/>
        <v>10.724245537827002</v>
      </c>
      <c r="J48" s="222">
        <v>852271.99</v>
      </c>
      <c r="K48" s="267">
        <f t="shared" si="4"/>
        <v>2.2588708984892659E-2</v>
      </c>
      <c r="L48" s="223">
        <f t="shared" si="5"/>
        <v>30555.349999999977</v>
      </c>
      <c r="M48" s="276">
        <f t="shared" si="6"/>
        <v>3.58516416807268</v>
      </c>
      <c r="BY48" s="144"/>
      <c r="BZ48" s="144"/>
      <c r="CA48" s="143"/>
      <c r="CB48" s="143"/>
      <c r="CC48" s="143"/>
      <c r="CD48" s="140"/>
    </row>
    <row r="49" spans="1:82" ht="13.5" customHeight="1">
      <c r="B49" s="80">
        <v>417</v>
      </c>
      <c r="C49" s="93" t="str">
        <f>+'Cental Budget'!C44</f>
        <v>Renta</v>
      </c>
      <c r="D49" s="222">
        <v>27289.679999999997</v>
      </c>
      <c r="E49" s="267">
        <f t="shared" si="1"/>
        <v>6.8962094410189015E-4</v>
      </c>
      <c r="F49" s="222">
        <v>61257.334199999998</v>
      </c>
      <c r="G49" s="267">
        <f t="shared" si="0"/>
        <v>1.5479969220661073E-3</v>
      </c>
      <c r="H49" s="223">
        <f t="shared" si="2"/>
        <v>-33967.654200000004</v>
      </c>
      <c r="I49" s="276">
        <f t="shared" si="3"/>
        <v>-55.450754825697267</v>
      </c>
      <c r="J49" s="222">
        <v>78210.109999999986</v>
      </c>
      <c r="K49" s="267">
        <f t="shared" si="4"/>
        <v>2.0728892128279879E-3</v>
      </c>
      <c r="L49" s="223">
        <f t="shared" si="5"/>
        <v>-50920.429999999993</v>
      </c>
      <c r="M49" s="276">
        <f t="shared" si="6"/>
        <v>-65.107222071417624</v>
      </c>
      <c r="BY49" s="144"/>
      <c r="BZ49" s="144"/>
      <c r="CA49" s="143"/>
      <c r="CB49" s="143"/>
      <c r="CC49" s="143"/>
      <c r="CD49" s="140"/>
    </row>
    <row r="50" spans="1:82" ht="13.5" customHeight="1">
      <c r="B50" s="80">
        <v>418</v>
      </c>
      <c r="C50" s="93" t="str">
        <f>+'Cental Budget'!C45</f>
        <v>Subvencije</v>
      </c>
      <c r="D50" s="222">
        <v>212260.68</v>
      </c>
      <c r="E50" s="267">
        <f t="shared" si="1"/>
        <v>5.3639108460527647E-3</v>
      </c>
      <c r="F50" s="222">
        <v>58291.684200000003</v>
      </c>
      <c r="G50" s="267">
        <f t="shared" si="0"/>
        <v>1.473053780450824E-3</v>
      </c>
      <c r="H50" s="223">
        <f t="shared" si="2"/>
        <v>153968.99579999998</v>
      </c>
      <c r="I50" s="276">
        <f t="shared" si="3"/>
        <v>264.13543872180651</v>
      </c>
      <c r="J50" s="222">
        <v>224144.10000000003</v>
      </c>
      <c r="K50" s="267">
        <f t="shared" si="4"/>
        <v>5.9407394646170163E-3</v>
      </c>
      <c r="L50" s="223">
        <f t="shared" si="5"/>
        <v>-11883.420000000042</v>
      </c>
      <c r="M50" s="276">
        <f t="shared" si="6"/>
        <v>-5.3016876197053762</v>
      </c>
      <c r="BY50" s="144"/>
      <c r="BZ50" s="144"/>
      <c r="CA50" s="143"/>
      <c r="CB50" s="143"/>
      <c r="CC50" s="143"/>
      <c r="CD50" s="140"/>
    </row>
    <row r="51" spans="1:82" ht="13.5" customHeight="1">
      <c r="B51" s="80">
        <v>419</v>
      </c>
      <c r="C51" s="93" t="str">
        <f>+'Cental Budget'!C46</f>
        <v>Ostali izdaci</v>
      </c>
      <c r="D51" s="222">
        <v>529680.32999999996</v>
      </c>
      <c r="E51" s="267">
        <f t="shared" si="1"/>
        <v>1.3385230213282117E-2</v>
      </c>
      <c r="F51" s="222">
        <v>284006.80079999997</v>
      </c>
      <c r="G51" s="267">
        <f t="shared" si="0"/>
        <v>7.1769635297685222E-3</v>
      </c>
      <c r="H51" s="223">
        <f t="shared" si="2"/>
        <v>245673.52919999999</v>
      </c>
      <c r="I51" s="276">
        <f t="shared" si="3"/>
        <v>86.50269236792164</v>
      </c>
      <c r="J51" s="222">
        <v>451998.15</v>
      </c>
      <c r="K51" s="267">
        <f t="shared" si="4"/>
        <v>1.1979807845216009E-2</v>
      </c>
      <c r="L51" s="223">
        <f t="shared" si="5"/>
        <v>77682.179999999935</v>
      </c>
      <c r="M51" s="276">
        <f t="shared" si="6"/>
        <v>17.186393351388702</v>
      </c>
      <c r="BY51" s="144"/>
      <c r="BZ51" s="144"/>
      <c r="CA51" s="143"/>
      <c r="CB51" s="143"/>
      <c r="CC51" s="143"/>
      <c r="CD51" s="140"/>
    </row>
    <row r="52" spans="1:82" ht="13.5" customHeight="1">
      <c r="A52" s="80">
        <v>42</v>
      </c>
      <c r="B52" s="80" t="s">
        <v>427</v>
      </c>
      <c r="C52" s="93" t="str">
        <f>+'Cental Budget'!C48</f>
        <v>Transferi za socijalnu zaštitu</v>
      </c>
      <c r="D52" s="222">
        <f>+D53</f>
        <v>131128.42000000001</v>
      </c>
      <c r="E52" s="267">
        <f t="shared" si="1"/>
        <v>3.3136667340543822E-3</v>
      </c>
      <c r="F52" s="222">
        <f>+F53</f>
        <v>32465.804400000001</v>
      </c>
      <c r="G52" s="267">
        <f t="shared" si="0"/>
        <v>8.2042364297988475E-4</v>
      </c>
      <c r="H52" s="223">
        <f t="shared" si="2"/>
        <v>98662.615600000019</v>
      </c>
      <c r="I52" s="276">
        <f t="shared" si="3"/>
        <v>303.89703080943838</v>
      </c>
      <c r="J52" s="222">
        <f>+J53</f>
        <v>451589.06999999995</v>
      </c>
      <c r="K52" s="267">
        <f t="shared" si="4"/>
        <v>1.196896554465942E-2</v>
      </c>
      <c r="L52" s="223">
        <f t="shared" si="5"/>
        <v>-320460.64999999991</v>
      </c>
      <c r="M52" s="276">
        <f t="shared" si="6"/>
        <v>-70.962888893657237</v>
      </c>
      <c r="BY52" s="144"/>
      <c r="BZ52" s="144"/>
      <c r="CA52" s="143"/>
      <c r="CB52" s="143"/>
      <c r="CC52" s="143"/>
      <c r="CD52" s="140"/>
    </row>
    <row r="53" spans="1:82" ht="13.5" customHeight="1">
      <c r="B53" s="80">
        <v>421</v>
      </c>
      <c r="C53" s="97" t="s">
        <v>88</v>
      </c>
      <c r="D53" s="216">
        <v>131128.42000000001</v>
      </c>
      <c r="E53" s="265">
        <f>+D53/$D$11*100</f>
        <v>3.3136667340543822E-3</v>
      </c>
      <c r="F53" s="216">
        <v>32465.804400000001</v>
      </c>
      <c r="G53" s="265">
        <f t="shared" si="0"/>
        <v>8.2042364297988475E-4</v>
      </c>
      <c r="H53" s="217">
        <f>+D53-F53</f>
        <v>98662.615600000019</v>
      </c>
      <c r="I53" s="274">
        <f>+D53/F53*100-100</f>
        <v>303.89703080943838</v>
      </c>
      <c r="J53" s="216">
        <v>451589.06999999995</v>
      </c>
      <c r="K53" s="265">
        <f t="shared" si="4"/>
        <v>1.196896554465942E-2</v>
      </c>
      <c r="L53" s="217">
        <f>+D53-J53</f>
        <v>-320460.64999999991</v>
      </c>
      <c r="M53" s="274">
        <f>+D53/J53*100-100</f>
        <v>-70.962888893657237</v>
      </c>
      <c r="BY53" s="144"/>
      <c r="BZ53" s="144"/>
      <c r="CA53" s="143"/>
      <c r="CB53" s="143"/>
      <c r="CC53" s="143"/>
      <c r="CD53" s="140"/>
    </row>
    <row r="54" spans="1:82" ht="13.5" hidden="1" customHeight="1">
      <c r="B54" s="80">
        <v>422</v>
      </c>
      <c r="C54" s="97" t="s">
        <v>90</v>
      </c>
      <c r="D54" s="216"/>
      <c r="E54" s="265">
        <f t="shared" si="1"/>
        <v>0</v>
      </c>
      <c r="F54" s="216">
        <v>0</v>
      </c>
      <c r="G54" s="265">
        <f t="shared" si="0"/>
        <v>0</v>
      </c>
      <c r="H54" s="217">
        <f t="shared" si="2"/>
        <v>0</v>
      </c>
      <c r="I54" s="274" t="e">
        <f t="shared" si="3"/>
        <v>#DIV/0!</v>
      </c>
      <c r="J54" s="216"/>
      <c r="K54" s="265">
        <f t="shared" si="4"/>
        <v>0</v>
      </c>
      <c r="L54" s="217">
        <f t="shared" si="5"/>
        <v>0</v>
      </c>
      <c r="M54" s="274" t="e">
        <f t="shared" si="6"/>
        <v>#DIV/0!</v>
      </c>
      <c r="BY54" s="144"/>
      <c r="BZ54" s="144"/>
      <c r="CA54" s="143"/>
      <c r="CB54" s="143"/>
      <c r="CC54" s="143"/>
      <c r="CD54" s="140"/>
    </row>
    <row r="55" spans="1:82" ht="13.5" customHeight="1">
      <c r="A55" s="80">
        <v>43</v>
      </c>
      <c r="C55" s="93" t="str">
        <f>+'Cental Budget'!C54</f>
        <v xml:space="preserve">Transferi institucijama, pojedincima, nevladinom i javnom sektoru </v>
      </c>
      <c r="D55" s="94">
        <f>+SUM(D56:D57)</f>
        <v>7739433.9800000004</v>
      </c>
      <c r="E55" s="243">
        <f t="shared" si="1"/>
        <v>0.1955785398766805</v>
      </c>
      <c r="F55" s="94">
        <f>+SUM(F56:F57)</f>
        <v>6157462.6217999998</v>
      </c>
      <c r="G55" s="243">
        <f t="shared" si="0"/>
        <v>0.15560150161225109</v>
      </c>
      <c r="H55" s="203">
        <f t="shared" si="2"/>
        <v>1581971.3582000006</v>
      </c>
      <c r="I55" s="256">
        <f t="shared" si="3"/>
        <v>25.691936035456521</v>
      </c>
      <c r="J55" s="152">
        <f>+J56+J57</f>
        <v>7427516.6200000001</v>
      </c>
      <c r="K55" s="246">
        <f t="shared" si="4"/>
        <v>0.19685970368407105</v>
      </c>
      <c r="L55" s="203">
        <f t="shared" si="5"/>
        <v>311917.36000000034</v>
      </c>
      <c r="M55" s="256">
        <f t="shared" si="6"/>
        <v>4.1994838377083425</v>
      </c>
      <c r="BY55" s="144"/>
      <c r="BZ55" s="144"/>
      <c r="CA55" s="143"/>
      <c r="CB55" s="143"/>
      <c r="CC55" s="143"/>
      <c r="CD55" s="140"/>
    </row>
    <row r="56" spans="1:82" ht="13.5" customHeight="1">
      <c r="A56" s="80" t="s">
        <v>427</v>
      </c>
      <c r="B56" s="80">
        <v>431</v>
      </c>
      <c r="C56" s="97" t="s">
        <v>432</v>
      </c>
      <c r="D56" s="216">
        <v>3928174.6200000006</v>
      </c>
      <c r="E56" s="265">
        <f t="shared" si="1"/>
        <v>9.9266517234408186E-2</v>
      </c>
      <c r="F56" s="216">
        <v>3263921.4504000004</v>
      </c>
      <c r="G56" s="265">
        <f t="shared" si="0"/>
        <v>8.248057844940869E-2</v>
      </c>
      <c r="H56" s="216">
        <f t="shared" si="2"/>
        <v>664253.16960000014</v>
      </c>
      <c r="I56" s="265">
        <f t="shared" si="3"/>
        <v>20.351383441491649</v>
      </c>
      <c r="J56" s="216">
        <v>3597947.94</v>
      </c>
      <c r="K56" s="265">
        <f t="shared" si="4"/>
        <v>9.5360401272197179E-2</v>
      </c>
      <c r="L56" s="216">
        <f t="shared" si="5"/>
        <v>330226.68000000063</v>
      </c>
      <c r="M56" s="265">
        <f t="shared" si="6"/>
        <v>9.1781950574860218</v>
      </c>
      <c r="BY56" s="144"/>
      <c r="BZ56" s="144"/>
      <c r="CA56" s="143"/>
      <c r="CB56" s="143"/>
      <c r="CC56" s="143"/>
      <c r="CD56" s="140"/>
    </row>
    <row r="57" spans="1:82" s="237" customFormat="1" ht="13.5" customHeight="1" thickBot="1">
      <c r="A57" s="237" t="s">
        <v>427</v>
      </c>
      <c r="B57" s="237">
        <v>432</v>
      </c>
      <c r="C57" s="238" t="s">
        <v>433</v>
      </c>
      <c r="D57" s="220">
        <v>3811259.36</v>
      </c>
      <c r="E57" s="244">
        <f t="shared" si="1"/>
        <v>9.6312022642272302E-2</v>
      </c>
      <c r="F57" s="154">
        <v>2893541.1713999994</v>
      </c>
      <c r="G57" s="244">
        <f t="shared" si="0"/>
        <v>7.3120923162842411E-2</v>
      </c>
      <c r="H57" s="220">
        <f t="shared" si="2"/>
        <v>917718.18860000046</v>
      </c>
      <c r="I57" s="244">
        <f t="shared" si="3"/>
        <v>31.716092297935916</v>
      </c>
      <c r="J57" s="154">
        <v>3829568.68</v>
      </c>
      <c r="K57" s="293">
        <f t="shared" si="4"/>
        <v>0.10149930241187385</v>
      </c>
      <c r="L57" s="220">
        <f t="shared" si="5"/>
        <v>-18309.320000000298</v>
      </c>
      <c r="M57" s="244">
        <f t="shared" si="6"/>
        <v>-0.47810397279518213</v>
      </c>
      <c r="BY57" s="239"/>
      <c r="BZ57" s="239"/>
      <c r="CA57" s="240"/>
      <c r="CB57" s="240"/>
      <c r="CC57" s="240"/>
      <c r="CD57" s="241"/>
    </row>
    <row r="58" spans="1:82" ht="13.5" customHeight="1" thickTop="1" thickBot="1">
      <c r="B58" s="80">
        <v>44</v>
      </c>
      <c r="C58" s="151" t="str">
        <f>+'Cental Budget'!C57</f>
        <v>Kapitalni budžet</v>
      </c>
      <c r="D58" s="224">
        <v>6053328.040000001</v>
      </c>
      <c r="E58" s="268">
        <f t="shared" si="1"/>
        <v>0.15296997978368546</v>
      </c>
      <c r="F58" s="225">
        <v>6317676.8465999989</v>
      </c>
      <c r="G58" s="268">
        <f t="shared" si="0"/>
        <v>0.15965017807035273</v>
      </c>
      <c r="H58" s="224">
        <f t="shared" si="2"/>
        <v>-264348.80659999792</v>
      </c>
      <c r="I58" s="268">
        <f t="shared" si="3"/>
        <v>-4.1842723681294842</v>
      </c>
      <c r="J58" s="225">
        <v>5548767.379999999</v>
      </c>
      <c r="K58" s="294">
        <f t="shared" si="4"/>
        <v>0.14706513066525309</v>
      </c>
      <c r="L58" s="224">
        <f t="shared" si="5"/>
        <v>504560.66000000201</v>
      </c>
      <c r="M58" s="268">
        <f t="shared" si="6"/>
        <v>9.0932026060173854</v>
      </c>
      <c r="BY58" s="144"/>
      <c r="BZ58" s="144"/>
      <c r="CA58" s="143"/>
      <c r="CB58" s="143"/>
      <c r="CC58" s="143"/>
      <c r="CD58" s="140"/>
    </row>
    <row r="59" spans="1:82" ht="13.5" customHeight="1" thickTop="1">
      <c r="B59" s="80">
        <v>451</v>
      </c>
      <c r="C59" s="93" t="str">
        <f>+'Cental Budget'!C58</f>
        <v>Pozajmice i krediti</v>
      </c>
      <c r="D59" s="222">
        <v>155069.94</v>
      </c>
      <c r="E59" s="267">
        <f t="shared" si="1"/>
        <v>3.9186783584352573E-3</v>
      </c>
      <c r="F59" s="222">
        <v>250882.9638</v>
      </c>
      <c r="G59" s="267">
        <f t="shared" si="0"/>
        <v>6.3399111442434038E-3</v>
      </c>
      <c r="H59" s="223">
        <f t="shared" si="2"/>
        <v>-95813.023799999995</v>
      </c>
      <c r="I59" s="276">
        <f t="shared" si="3"/>
        <v>-38.190326815646458</v>
      </c>
      <c r="J59" s="222">
        <v>90770.92</v>
      </c>
      <c r="K59" s="267">
        <f t="shared" si="4"/>
        <v>2.4058022793532999E-3</v>
      </c>
      <c r="L59" s="223">
        <f t="shared" si="5"/>
        <v>64299.020000000004</v>
      </c>
      <c r="M59" s="276">
        <f t="shared" si="6"/>
        <v>70.836585108975441</v>
      </c>
      <c r="BY59" s="144"/>
      <c r="BZ59" s="144"/>
      <c r="CA59" s="143"/>
      <c r="CB59" s="143"/>
      <c r="CC59" s="143"/>
      <c r="CD59" s="140"/>
    </row>
    <row r="60" spans="1:82" ht="13.5" customHeight="1" thickBot="1">
      <c r="B60" s="80">
        <v>47</v>
      </c>
      <c r="C60" s="93" t="str">
        <f>+'Cental Budget'!C59</f>
        <v>Rezerve</v>
      </c>
      <c r="D60" s="226">
        <v>356363.24000000005</v>
      </c>
      <c r="E60" s="269">
        <f t="shared" si="1"/>
        <v>9.0054391994339438E-3</v>
      </c>
      <c r="F60" s="226">
        <v>336454.31339999998</v>
      </c>
      <c r="G60" s="269">
        <f t="shared" si="0"/>
        <v>8.5023327959163047E-3</v>
      </c>
      <c r="H60" s="227">
        <f t="shared" si="2"/>
        <v>19908.926600000064</v>
      </c>
      <c r="I60" s="277">
        <f t="shared" si="3"/>
        <v>5.9172748890667322</v>
      </c>
      <c r="J60" s="226">
        <v>440327.22999999992</v>
      </c>
      <c r="K60" s="269">
        <f t="shared" si="4"/>
        <v>1.1670480519480518E-2</v>
      </c>
      <c r="L60" s="227">
        <f t="shared" si="5"/>
        <v>-83963.989999999874</v>
      </c>
      <c r="M60" s="277">
        <f t="shared" si="6"/>
        <v>-19.068543637421627</v>
      </c>
      <c r="BY60" s="144"/>
      <c r="BZ60" s="144"/>
      <c r="CA60" s="143"/>
      <c r="CB60" s="143"/>
      <c r="CC60" s="143"/>
      <c r="CD60" s="140"/>
    </row>
    <row r="61" spans="1:82" ht="13.5" customHeight="1" thickTop="1" thickBot="1">
      <c r="B61" s="80">
        <v>462</v>
      </c>
      <c r="C61" s="195" t="s">
        <v>112</v>
      </c>
      <c r="D61" s="228">
        <v>0</v>
      </c>
      <c r="E61" s="270">
        <f t="shared" si="1"/>
        <v>0</v>
      </c>
      <c r="F61" s="228">
        <v>0</v>
      </c>
      <c r="G61" s="270">
        <f t="shared" si="0"/>
        <v>0</v>
      </c>
      <c r="H61" s="229">
        <f t="shared" si="2"/>
        <v>0</v>
      </c>
      <c r="I61" s="277" t="e">
        <f t="shared" si="3"/>
        <v>#DIV/0!</v>
      </c>
      <c r="J61" s="228">
        <v>876429.53</v>
      </c>
      <c r="K61" s="270">
        <f t="shared" si="4"/>
        <v>2.3228983037370796E-2</v>
      </c>
      <c r="L61" s="229">
        <f t="shared" si="5"/>
        <v>-876429.53</v>
      </c>
      <c r="M61" s="278">
        <f t="shared" si="6"/>
        <v>-100</v>
      </c>
      <c r="BY61" s="144"/>
      <c r="BZ61" s="144"/>
      <c r="CA61" s="143"/>
      <c r="CB61" s="143"/>
      <c r="CC61" s="143"/>
      <c r="CD61" s="140"/>
    </row>
    <row r="62" spans="1:82" ht="13.5" customHeight="1" thickTop="1" thickBot="1">
      <c r="B62" s="80" t="s">
        <v>451</v>
      </c>
      <c r="C62" s="195" t="s">
        <v>449</v>
      </c>
      <c r="D62" s="222">
        <v>10611948.43</v>
      </c>
      <c r="E62" s="267">
        <v>0.35700057584158418</v>
      </c>
      <c r="F62" s="222">
        <v>11635969.076400001</v>
      </c>
      <c r="G62" s="267">
        <v>0.29042904290429045</v>
      </c>
      <c r="H62" s="223">
        <v>2521396.8100000005</v>
      </c>
      <c r="I62" s="276">
        <v>22.921789181818198</v>
      </c>
      <c r="J62" s="222">
        <v>13521396.809999999</v>
      </c>
      <c r="K62" s="267">
        <v>0.30767367454798328</v>
      </c>
      <c r="L62" s="223">
        <v>2460528.2100000009</v>
      </c>
      <c r="M62" s="276">
        <v>22.245343462447437</v>
      </c>
      <c r="BY62" s="144"/>
      <c r="BZ62" s="144"/>
      <c r="CA62" s="143"/>
      <c r="CB62" s="143"/>
      <c r="CC62" s="143"/>
      <c r="CD62" s="140"/>
    </row>
    <row r="63" spans="1:82" ht="13.5" customHeight="1" thickTop="1" thickBot="1">
      <c r="B63" s="80">
        <v>990</v>
      </c>
      <c r="C63" s="196" t="s">
        <v>151</v>
      </c>
      <c r="D63" s="230">
        <v>0</v>
      </c>
      <c r="E63" s="271">
        <f t="shared" si="1"/>
        <v>0</v>
      </c>
      <c r="F63" s="230">
        <v>0</v>
      </c>
      <c r="G63" s="271">
        <f t="shared" si="0"/>
        <v>0</v>
      </c>
      <c r="H63" s="231">
        <f t="shared" si="2"/>
        <v>0</v>
      </c>
      <c r="I63" s="279"/>
      <c r="J63" s="231">
        <f t="shared" si="2"/>
        <v>0</v>
      </c>
      <c r="K63" s="271">
        <f t="shared" si="4"/>
        <v>0</v>
      </c>
      <c r="L63" s="231">
        <f t="shared" si="5"/>
        <v>0</v>
      </c>
      <c r="M63" s="279"/>
      <c r="BY63" s="144"/>
      <c r="BZ63" s="144"/>
      <c r="CA63" s="143"/>
      <c r="CB63" s="143"/>
      <c r="CC63" s="143"/>
      <c r="CD63" s="140"/>
    </row>
    <row r="64" spans="1:82" ht="13.5" customHeight="1" thickTop="1" thickBot="1">
      <c r="C64" s="151" t="str">
        <f>+'Cental Budget'!C63</f>
        <v>Suficit / deficit</v>
      </c>
      <c r="D64" s="224">
        <f>+D16-D40</f>
        <v>-4456837.2070000023</v>
      </c>
      <c r="E64" s="268">
        <f t="shared" si="1"/>
        <v>-0.11262602868189636</v>
      </c>
      <c r="F64" s="224">
        <f>+F16-F40</f>
        <v>-6194966.1667999998</v>
      </c>
      <c r="G64" s="268">
        <f t="shared" si="0"/>
        <v>-0.15654923094106946</v>
      </c>
      <c r="H64" s="224">
        <f>+D64-F64</f>
        <v>1738128.9597999975</v>
      </c>
      <c r="I64" s="268">
        <f t="shared" si="3"/>
        <v>-28.057117876042014</v>
      </c>
      <c r="J64" s="224">
        <f>+J16-J40</f>
        <v>-8458959.6199999936</v>
      </c>
      <c r="K64" s="294">
        <f t="shared" si="4"/>
        <v>-0.22419718049297624</v>
      </c>
      <c r="L64" s="224">
        <f t="shared" si="5"/>
        <v>4002122.4129999913</v>
      </c>
      <c r="M64" s="268">
        <f t="shared" si="6"/>
        <v>-47.312229786953331</v>
      </c>
      <c r="BY64" s="144"/>
      <c r="BZ64" s="144"/>
      <c r="CA64" s="143"/>
      <c r="CB64" s="143"/>
      <c r="CC64" s="143"/>
      <c r="CD64" s="140"/>
    </row>
    <row r="65" spans="2:82" ht="13.5" customHeight="1" thickTop="1" thickBot="1">
      <c r="C65" s="151" t="str">
        <f>+'Cental Budget'!C64</f>
        <v>Primarni bilans</v>
      </c>
      <c r="D65" s="224">
        <f>+D64+D48</f>
        <v>-3574009.8670000024</v>
      </c>
      <c r="E65" s="268">
        <f t="shared" si="1"/>
        <v>-9.031663466592546E-2</v>
      </c>
      <c r="F65" s="224">
        <f>+F64+F48</f>
        <v>-5397645.4573999997</v>
      </c>
      <c r="G65" s="268">
        <f t="shared" si="0"/>
        <v>-0.13640062310219347</v>
      </c>
      <c r="H65" s="224">
        <f t="shared" si="2"/>
        <v>1823635.5903999973</v>
      </c>
      <c r="I65" s="268">
        <f t="shared" si="3"/>
        <v>-33.785760935814167</v>
      </c>
      <c r="J65" s="224">
        <f>+J64+J48</f>
        <v>-7606687.6299999934</v>
      </c>
      <c r="K65" s="294">
        <f t="shared" si="4"/>
        <v>-0.20160847150808356</v>
      </c>
      <c r="L65" s="224">
        <f t="shared" si="5"/>
        <v>4032677.762999991</v>
      </c>
      <c r="M65" s="268">
        <f t="shared" si="6"/>
        <v>-53.014898983041249</v>
      </c>
      <c r="BY65" s="144"/>
      <c r="BZ65" s="144"/>
      <c r="CA65" s="143"/>
      <c r="CB65" s="143"/>
      <c r="CC65" s="143"/>
      <c r="CD65" s="140"/>
    </row>
    <row r="66" spans="2:82" ht="13.5" customHeight="1" thickTop="1" thickBot="1">
      <c r="C66" s="151" t="str">
        <f>+'Cental Budget'!C65</f>
        <v>Otplata dugova</v>
      </c>
      <c r="D66" s="224">
        <f>+SUM(D67:D68)</f>
        <v>2901082.1799999997</v>
      </c>
      <c r="E66" s="268">
        <f t="shared" si="1"/>
        <v>7.3311487415344184E-2</v>
      </c>
      <c r="F66" s="224">
        <f>+SUM(F67:F68)</f>
        <v>3766986.9782000007</v>
      </c>
      <c r="G66" s="268">
        <f t="shared" si="0"/>
        <v>9.5193242145961809E-2</v>
      </c>
      <c r="H66" s="224">
        <f t="shared" si="2"/>
        <v>-865904.79820000101</v>
      </c>
      <c r="I66" s="268">
        <f t="shared" si="3"/>
        <v>-22.986668210192775</v>
      </c>
      <c r="J66" s="224">
        <f>+SUM(J67:J68)</f>
        <v>6143828.79</v>
      </c>
      <c r="K66" s="294">
        <f t="shared" si="4"/>
        <v>0.1628367026239067</v>
      </c>
      <c r="L66" s="224">
        <f t="shared" si="5"/>
        <v>-3242746.6100000003</v>
      </c>
      <c r="M66" s="268">
        <f t="shared" si="6"/>
        <v>-52.780549732734336</v>
      </c>
      <c r="BY66" s="144"/>
      <c r="BZ66" s="144"/>
      <c r="CA66" s="143"/>
      <c r="CB66" s="143"/>
      <c r="CC66" s="143"/>
      <c r="CD66" s="140"/>
    </row>
    <row r="67" spans="2:82" ht="13.5" customHeight="1" thickTop="1">
      <c r="B67" s="80">
        <v>4611</v>
      </c>
      <c r="C67" s="97" t="str">
        <f>+'Cental Budget'!C66</f>
        <v>Otplata hartija od vrijednosti i kredita rezidentima</v>
      </c>
      <c r="D67" s="232">
        <v>1883030.15</v>
      </c>
      <c r="E67" s="272">
        <f t="shared" si="1"/>
        <v>4.7584912311735568E-2</v>
      </c>
      <c r="F67" s="232">
        <v>3266986.9782000007</v>
      </c>
      <c r="G67" s="272">
        <f t="shared" si="0"/>
        <v>8.2558045542302658E-2</v>
      </c>
      <c r="H67" s="233">
        <f t="shared" si="2"/>
        <v>-1383956.8282000008</v>
      </c>
      <c r="I67" s="280">
        <f t="shared" si="3"/>
        <v>-42.3618715787632</v>
      </c>
      <c r="J67" s="232">
        <v>5346148.59</v>
      </c>
      <c r="K67" s="272">
        <f t="shared" si="4"/>
        <v>0.1416949003445534</v>
      </c>
      <c r="L67" s="233">
        <f t="shared" si="5"/>
        <v>-3463118.44</v>
      </c>
      <c r="M67" s="280">
        <f t="shared" si="6"/>
        <v>-64.777818680120163</v>
      </c>
      <c r="BY67" s="144"/>
      <c r="BZ67" s="144"/>
      <c r="CA67" s="143"/>
      <c r="CB67" s="143"/>
      <c r="CC67" s="143"/>
      <c r="CD67" s="140"/>
    </row>
    <row r="68" spans="2:82" ht="13.5" customHeight="1" thickBot="1">
      <c r="B68" s="80">
        <v>4612</v>
      </c>
      <c r="C68" s="97" t="str">
        <f>+'Cental Budget'!C67</f>
        <v>Otplata hartija od vrijednosti i kredita nerezidentima</v>
      </c>
      <c r="D68" s="234">
        <v>1018052.03</v>
      </c>
      <c r="E68" s="265">
        <f t="shared" si="1"/>
        <v>2.5726575103608613E-2</v>
      </c>
      <c r="F68" s="234">
        <v>500000</v>
      </c>
      <c r="G68" s="265">
        <f t="shared" si="0"/>
        <v>1.2635196603659153E-2</v>
      </c>
      <c r="H68" s="217">
        <f t="shared" si="2"/>
        <v>518052.03</v>
      </c>
      <c r="I68" s="274">
        <f t="shared" si="3"/>
        <v>103.61040600000001</v>
      </c>
      <c r="J68" s="234">
        <v>797680.2</v>
      </c>
      <c r="K68" s="265">
        <f t="shared" si="4"/>
        <v>2.1141802279353299E-2</v>
      </c>
      <c r="L68" s="217">
        <f t="shared" si="5"/>
        <v>220371.83000000007</v>
      </c>
      <c r="M68" s="274">
        <f t="shared" si="6"/>
        <v>27.626588951311575</v>
      </c>
      <c r="BY68" s="144"/>
      <c r="BZ68" s="144"/>
      <c r="CA68" s="143"/>
      <c r="CB68" s="143"/>
      <c r="CC68" s="143"/>
      <c r="CD68" s="140"/>
    </row>
    <row r="69" spans="2:82" ht="13.5" hidden="1" customHeight="1" thickBot="1">
      <c r="B69" s="80" t="s">
        <v>451</v>
      </c>
      <c r="C69" s="97" t="str">
        <f>+'Cental Budget'!C61</f>
        <v>Otplata obaveza iz prethodnih godina</v>
      </c>
      <c r="D69" s="234">
        <v>13521396.810000001</v>
      </c>
      <c r="E69" s="265">
        <f t="shared" si="1"/>
        <v>0.34169101410087943</v>
      </c>
      <c r="F69" s="234">
        <v>11000000</v>
      </c>
      <c r="G69" s="265">
        <f t="shared" si="0"/>
        <v>0.27797432528050137</v>
      </c>
      <c r="H69" s="217">
        <f t="shared" si="2"/>
        <v>2521396.8100000005</v>
      </c>
      <c r="I69" s="274">
        <f t="shared" si="3"/>
        <v>22.921789181818198</v>
      </c>
      <c r="J69" s="234">
        <v>11060868.6</v>
      </c>
      <c r="K69" s="265">
        <f t="shared" si="4"/>
        <v>0.29315845746090646</v>
      </c>
      <c r="L69" s="217">
        <f t="shared" si="5"/>
        <v>2460528.2100000009</v>
      </c>
      <c r="M69" s="274">
        <f t="shared" si="6"/>
        <v>22.245343462447437</v>
      </c>
      <c r="BY69" s="144"/>
      <c r="BZ69" s="144"/>
      <c r="CA69" s="143"/>
      <c r="CB69" s="143"/>
      <c r="CC69" s="143"/>
      <c r="CD69" s="140"/>
    </row>
    <row r="70" spans="2:82" ht="13.5" customHeight="1" thickTop="1" thickBot="1">
      <c r="C70" s="151" t="str">
        <f>+'Cental Budget'!C69</f>
        <v>Nedostajuća sredstva</v>
      </c>
      <c r="D70" s="224">
        <f>+D64-D66</f>
        <v>-7357919.387000002</v>
      </c>
      <c r="E70" s="268">
        <f t="shared" si="1"/>
        <v>-0.18593751609724052</v>
      </c>
      <c r="F70" s="224">
        <f>+F64-F66</f>
        <v>-9961953.1449999996</v>
      </c>
      <c r="G70" s="268">
        <f t="shared" si="0"/>
        <v>-0.25174247308703118</v>
      </c>
      <c r="H70" s="224">
        <f t="shared" si="2"/>
        <v>2604033.7579999976</v>
      </c>
      <c r="I70" s="268">
        <f t="shared" si="3"/>
        <v>-26.139791264798191</v>
      </c>
      <c r="J70" s="224">
        <f>+J64-J66</f>
        <v>-14602788.409999993</v>
      </c>
      <c r="K70" s="294">
        <f t="shared" si="4"/>
        <v>-0.38703388311688292</v>
      </c>
      <c r="L70" s="224">
        <f t="shared" si="5"/>
        <v>7244869.0229999907</v>
      </c>
      <c r="M70" s="268">
        <f t="shared" si="6"/>
        <v>-49.612915147347493</v>
      </c>
      <c r="BY70" s="144"/>
      <c r="BZ70" s="144"/>
      <c r="CA70" s="143"/>
      <c r="CB70" s="143"/>
      <c r="CC70" s="143"/>
      <c r="CD70" s="140"/>
    </row>
    <row r="71" spans="2:82" ht="13.5" customHeight="1" thickTop="1" thickBot="1">
      <c r="C71" s="151" t="str">
        <f>+'Cental Budget'!C70</f>
        <v>Finansiranje</v>
      </c>
      <c r="D71" s="224">
        <f>+SUM(D72:D76)</f>
        <v>7357919.387000002</v>
      </c>
      <c r="E71" s="268">
        <f t="shared" si="1"/>
        <v>0.18593751609724052</v>
      </c>
      <c r="F71" s="224">
        <f>+SUM(F72:F75)</f>
        <v>9961953.1449999996</v>
      </c>
      <c r="G71" s="268">
        <f t="shared" si="0"/>
        <v>0.25174247308703118</v>
      </c>
      <c r="H71" s="224">
        <f t="shared" si="2"/>
        <v>-2604033.7579999976</v>
      </c>
      <c r="I71" s="268">
        <f t="shared" si="3"/>
        <v>-26.139791264798191</v>
      </c>
      <c r="J71" s="224">
        <f>+SUM(J72:J76)</f>
        <v>14602788.409999993</v>
      </c>
      <c r="K71" s="294">
        <f t="shared" si="4"/>
        <v>0.38703388311688292</v>
      </c>
      <c r="L71" s="224">
        <f t="shared" si="5"/>
        <v>-7244869.0229999907</v>
      </c>
      <c r="M71" s="268">
        <f t="shared" si="6"/>
        <v>-49.612915147347493</v>
      </c>
      <c r="BY71" s="144"/>
      <c r="BZ71" s="144"/>
      <c r="CA71" s="143"/>
      <c r="CB71" s="143"/>
      <c r="CC71" s="143"/>
      <c r="CD71" s="140"/>
    </row>
    <row r="72" spans="2:82" ht="13.5" customHeight="1" thickTop="1">
      <c r="B72" s="80">
        <v>7511</v>
      </c>
      <c r="C72" s="97" t="str">
        <f>+'Cental Budget'!C71</f>
        <v>Pozajmice i krediti od domaćih izvora</v>
      </c>
      <c r="D72" s="232">
        <v>2765354.52</v>
      </c>
      <c r="E72" s="272">
        <f t="shared" si="1"/>
        <v>6.9881596078034985E-2</v>
      </c>
      <c r="F72" s="232">
        <v>5000000</v>
      </c>
      <c r="G72" s="272">
        <f t="shared" si="0"/>
        <v>0.12635196603659152</v>
      </c>
      <c r="H72" s="233">
        <f t="shared" si="2"/>
        <v>-2234645.48</v>
      </c>
      <c r="I72" s="280">
        <f t="shared" si="3"/>
        <v>-44.6929096</v>
      </c>
      <c r="J72" s="232">
        <v>7637693.1500000004</v>
      </c>
      <c r="K72" s="272">
        <f t="shared" si="4"/>
        <v>0.20243024516300029</v>
      </c>
      <c r="L72" s="233">
        <f t="shared" si="5"/>
        <v>-4872338.6300000008</v>
      </c>
      <c r="M72" s="280">
        <f t="shared" si="6"/>
        <v>-63.793327832239505</v>
      </c>
      <c r="BY72" s="144"/>
      <c r="BZ72" s="144"/>
      <c r="CA72" s="143"/>
      <c r="CB72" s="143"/>
      <c r="CC72" s="143"/>
      <c r="CD72" s="140"/>
    </row>
    <row r="73" spans="2:82" ht="13.5" customHeight="1">
      <c r="B73" s="80">
        <v>7512</v>
      </c>
      <c r="C73" s="97" t="str">
        <f>+'Cental Budget'!C72</f>
        <v>Pozajmice i krediti od inostranih izvora</v>
      </c>
      <c r="D73" s="234">
        <v>0</v>
      </c>
      <c r="E73" s="265">
        <f t="shared" si="1"/>
        <v>0</v>
      </c>
      <c r="F73" s="234">
        <v>34155.567000000003</v>
      </c>
      <c r="G73" s="265">
        <f t="shared" si="0"/>
        <v>8.6312460830890536E-4</v>
      </c>
      <c r="H73" s="217">
        <f t="shared" si="2"/>
        <v>-34155.567000000003</v>
      </c>
      <c r="I73" s="274">
        <f t="shared" si="3"/>
        <v>-100</v>
      </c>
      <c r="J73" s="234">
        <v>40020</v>
      </c>
      <c r="K73" s="265">
        <f t="shared" si="4"/>
        <v>1.0606944076331831E-3</v>
      </c>
      <c r="L73" s="217">
        <f t="shared" si="5"/>
        <v>-40020</v>
      </c>
      <c r="M73" s="296">
        <f t="shared" si="6"/>
        <v>-100</v>
      </c>
      <c r="BY73" s="144"/>
      <c r="BZ73" s="144"/>
      <c r="CA73" s="143"/>
      <c r="CB73" s="143"/>
      <c r="CC73" s="143"/>
      <c r="CD73" s="140"/>
    </row>
    <row r="74" spans="2:82" ht="13.5" customHeight="1" thickBot="1">
      <c r="B74" s="80">
        <v>72</v>
      </c>
      <c r="C74" s="103" t="str">
        <f>+'Cental Budget'!C73</f>
        <v>Primici od prodaje imovine</v>
      </c>
      <c r="D74" s="234">
        <v>250733.23</v>
      </c>
      <c r="E74" s="265">
        <f t="shared" si="1"/>
        <v>6.3361273122409783E-3</v>
      </c>
      <c r="F74" s="234">
        <v>459602.36100000003</v>
      </c>
      <c r="G74" s="265">
        <f t="shared" si="0"/>
        <v>1.1614332381481856E-2</v>
      </c>
      <c r="H74" s="217">
        <f t="shared" si="2"/>
        <v>-208869.13100000002</v>
      </c>
      <c r="I74" s="274">
        <f t="shared" si="3"/>
        <v>-45.44561749977607</v>
      </c>
      <c r="J74" s="234">
        <v>903758.24000000011</v>
      </c>
      <c r="K74" s="265">
        <f t="shared" si="4"/>
        <v>2.3953306122448982E-2</v>
      </c>
      <c r="L74" s="217">
        <f t="shared" si="5"/>
        <v>-653025.01000000013</v>
      </c>
      <c r="M74" s="274">
        <f t="shared" si="6"/>
        <v>-72.25660371295757</v>
      </c>
      <c r="BY74" s="144"/>
      <c r="BZ74" s="144"/>
      <c r="CA74" s="143"/>
      <c r="CB74" s="143"/>
      <c r="CC74" s="143"/>
      <c r="CD74" s="140"/>
    </row>
    <row r="75" spans="2:82" ht="13.5" customHeight="1" thickTop="1" thickBot="1">
      <c r="C75" s="146" t="str">
        <f>+'Cental Budget'!C74</f>
        <v>Povećanje / smanjenje depozita</v>
      </c>
      <c r="D75" s="147">
        <f>-D70-SUM(D72:D74)-D76</f>
        <v>4162236.8670000019</v>
      </c>
      <c r="E75" s="247">
        <f t="shared" si="1"/>
        <v>0.10518136225108668</v>
      </c>
      <c r="F75" s="147">
        <f>-F70-SUM(F72:F74)</f>
        <v>4468195.2170000002</v>
      </c>
      <c r="G75" s="247">
        <f t="shared" si="0"/>
        <v>0.11291305006064896</v>
      </c>
      <c r="H75" s="204">
        <f t="shared" si="2"/>
        <v>-305958.34999999823</v>
      </c>
      <c r="I75" s="262">
        <f t="shared" si="3"/>
        <v>-6.847470514178255</v>
      </c>
      <c r="J75" s="147">
        <f>-J70-SUM(J72:J74)-J76</f>
        <v>5822354.9699999923</v>
      </c>
      <c r="K75" s="295">
        <f t="shared" si="4"/>
        <v>0.15431632573548881</v>
      </c>
      <c r="L75" s="204">
        <f t="shared" si="5"/>
        <v>-1660118.1029999903</v>
      </c>
      <c r="M75" s="262">
        <f t="shared" si="6"/>
        <v>-28.512828770383138</v>
      </c>
      <c r="BY75" s="144"/>
      <c r="BZ75" s="144"/>
      <c r="CA75" s="143"/>
      <c r="CB75" s="143"/>
      <c r="CC75" s="143"/>
      <c r="CD75" s="140"/>
    </row>
    <row r="76" spans="2:82" ht="13.5" customHeight="1" thickTop="1" thickBot="1">
      <c r="B76" s="80">
        <v>999</v>
      </c>
      <c r="C76" s="151" t="s">
        <v>459</v>
      </c>
      <c r="D76" s="225">
        <v>179594.77000000002</v>
      </c>
      <c r="E76" s="268">
        <f t="shared" si="1"/>
        <v>4.538430455877894E-3</v>
      </c>
      <c r="F76" s="225">
        <v>185257.6734</v>
      </c>
      <c r="G76" s="268">
        <f t="shared" si="0"/>
        <v>4.6815342514909533E-3</v>
      </c>
      <c r="H76" s="224">
        <f t="shared" si="2"/>
        <v>-5662.903399999981</v>
      </c>
      <c r="I76" s="268">
        <f t="shared" si="3"/>
        <v>-3.056771304567178</v>
      </c>
      <c r="J76" s="225">
        <v>198962.05</v>
      </c>
      <c r="K76" s="294">
        <f t="shared" si="4"/>
        <v>5.2733116883116882E-3</v>
      </c>
      <c r="L76" s="224">
        <f t="shared" si="5"/>
        <v>-19367.27999999997</v>
      </c>
      <c r="M76" s="268">
        <f t="shared" si="6"/>
        <v>-9.7341578456796043</v>
      </c>
      <c r="N76" s="208"/>
      <c r="BY76" s="144"/>
      <c r="BZ76" s="144"/>
      <c r="CA76" s="143"/>
      <c r="CB76" s="143"/>
      <c r="CC76" s="143"/>
      <c r="CD76" s="140"/>
    </row>
    <row r="77" spans="2:82" ht="13.5" thickTop="1">
      <c r="C77" s="106" t="str">
        <f>IF(MasterSheet!$A$1=1,MasterSheet!C151,MasterSheet!B151)</f>
        <v>Izvor: Ministarstvo finansija Crne Gore</v>
      </c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O77" s="81"/>
    </row>
    <row r="78" spans="2:82"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O78" s="81"/>
    </row>
    <row r="79" spans="2:82">
      <c r="D79" s="133"/>
      <c r="E79" s="134"/>
      <c r="F79" s="134"/>
      <c r="G79" s="134"/>
      <c r="H79" s="134"/>
      <c r="I79" s="134"/>
      <c r="J79" s="134"/>
      <c r="K79" s="134"/>
      <c r="L79" s="134"/>
      <c r="M79" s="307"/>
    </row>
    <row r="80" spans="2:82">
      <c r="D80" s="133"/>
      <c r="E80" s="134"/>
      <c r="F80" s="134"/>
      <c r="G80" s="134"/>
      <c r="H80" s="134"/>
      <c r="I80" s="134"/>
      <c r="J80" s="134"/>
      <c r="K80" s="134"/>
      <c r="L80" s="134"/>
      <c r="M80" s="134"/>
    </row>
    <row r="81" spans="3:13"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</row>
    <row r="82" spans="3:13" ht="15">
      <c r="E82" s="134"/>
      <c r="F82" s="134"/>
      <c r="G82" s="134"/>
      <c r="H82" s="134"/>
      <c r="I82" s="134"/>
      <c r="J82" s="134"/>
      <c r="K82" s="308"/>
      <c r="L82" s="134"/>
      <c r="M82" s="134"/>
    </row>
    <row r="83" spans="3:13">
      <c r="E83" s="134"/>
      <c r="F83" s="134"/>
      <c r="G83" s="134"/>
      <c r="H83" s="134"/>
      <c r="I83" s="134"/>
      <c r="J83" s="134"/>
      <c r="K83" s="134"/>
      <c r="L83" s="134"/>
      <c r="M83" s="134"/>
    </row>
    <row r="84" spans="3:13">
      <c r="E84" s="134"/>
      <c r="F84" s="134"/>
      <c r="G84" s="134"/>
      <c r="H84" s="134"/>
      <c r="I84" s="134"/>
      <c r="J84" s="134"/>
      <c r="K84" s="134"/>
      <c r="L84" s="134"/>
      <c r="M84" s="134"/>
    </row>
    <row r="85" spans="3:13">
      <c r="E85" s="134"/>
      <c r="F85" s="134"/>
      <c r="G85" s="134"/>
      <c r="H85" s="134"/>
      <c r="I85" s="134"/>
      <c r="J85" s="134"/>
      <c r="K85" s="134"/>
      <c r="L85" s="134"/>
      <c r="M85" s="134"/>
    </row>
    <row r="86" spans="3:13">
      <c r="E86" s="134"/>
      <c r="F86" s="134"/>
      <c r="G86" s="134"/>
      <c r="H86" s="134"/>
      <c r="I86" s="134"/>
      <c r="J86" s="134"/>
      <c r="K86" s="134"/>
      <c r="L86" s="134"/>
      <c r="M86" s="134"/>
    </row>
    <row r="87" spans="3:13">
      <c r="E87" s="134"/>
      <c r="F87" s="134"/>
      <c r="G87" s="134"/>
      <c r="H87" s="134"/>
      <c r="I87" s="134"/>
      <c r="J87" s="134"/>
      <c r="K87" s="134"/>
      <c r="L87" s="134"/>
      <c r="M87" s="134"/>
    </row>
    <row r="88" spans="3:13">
      <c r="E88" s="134"/>
      <c r="F88" s="134"/>
      <c r="G88" s="134"/>
      <c r="H88" s="134"/>
      <c r="I88" s="134"/>
      <c r="J88" s="134"/>
      <c r="K88" s="134"/>
      <c r="L88" s="134"/>
      <c r="M88" s="134"/>
    </row>
    <row r="89" spans="3:13">
      <c r="E89" s="134"/>
      <c r="F89" s="134"/>
      <c r="G89" s="134"/>
      <c r="H89" s="134"/>
      <c r="I89" s="134"/>
      <c r="J89" s="134"/>
      <c r="K89" s="134"/>
      <c r="L89" s="134"/>
      <c r="M89" s="134"/>
    </row>
    <row r="90" spans="3:13">
      <c r="E90" s="134"/>
      <c r="F90" s="134"/>
      <c r="G90" s="134"/>
      <c r="H90" s="134"/>
      <c r="I90" s="134"/>
      <c r="J90" s="134"/>
      <c r="K90" s="134"/>
      <c r="L90" s="134"/>
      <c r="M90" s="134"/>
    </row>
    <row r="91" spans="3:13">
      <c r="E91" s="134"/>
      <c r="F91" s="134"/>
      <c r="G91" s="134"/>
      <c r="H91" s="134"/>
      <c r="I91" s="134"/>
      <c r="J91" s="134"/>
      <c r="K91" s="134"/>
      <c r="L91" s="134"/>
      <c r="M91" s="134"/>
    </row>
    <row r="92" spans="3:13">
      <c r="E92" s="134"/>
      <c r="F92" s="134"/>
      <c r="G92" s="134"/>
      <c r="H92" s="134"/>
      <c r="I92" s="134"/>
      <c r="J92" s="134"/>
      <c r="K92" s="134"/>
      <c r="L92" s="134"/>
      <c r="M92" s="134"/>
    </row>
    <row r="93" spans="3:13">
      <c r="E93" s="134"/>
      <c r="F93" s="134"/>
      <c r="G93" s="134"/>
      <c r="H93" s="134"/>
      <c r="I93" s="134"/>
      <c r="J93" s="134"/>
      <c r="K93" s="134"/>
      <c r="L93" s="134"/>
      <c r="M93" s="134"/>
    </row>
  </sheetData>
  <sheetProtection formatCells="0" formatColumns="0" formatRows="0" sort="0" autoFilter="0"/>
  <mergeCells count="12">
    <mergeCell ref="L14:M14"/>
    <mergeCell ref="H11:I11"/>
    <mergeCell ref="J11:K11"/>
    <mergeCell ref="L11:M11"/>
    <mergeCell ref="D11:G11"/>
    <mergeCell ref="D13:E13"/>
    <mergeCell ref="J13:K13"/>
    <mergeCell ref="C14:C15"/>
    <mergeCell ref="D14:E14"/>
    <mergeCell ref="F14:G14"/>
    <mergeCell ref="H14:I14"/>
    <mergeCell ref="J14:K14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BM95"/>
  <sheetViews>
    <sheetView zoomScaleNormal="100" workbookViewId="0">
      <selection activeCell="O37" sqref="O37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13" width="7.7109375" style="80" customWidth="1"/>
    <col min="14" max="57" width="9.140625" style="80" customWidth="1"/>
    <col min="58" max="58" width="9.140625" style="80"/>
    <col min="59" max="59" width="15.42578125" style="80" customWidth="1"/>
    <col min="60" max="60" width="12.7109375" style="80" customWidth="1"/>
    <col min="61" max="61" width="11.85546875" style="80" customWidth="1"/>
    <col min="62" max="16384" width="9.140625" style="80"/>
  </cols>
  <sheetData>
    <row r="1" spans="2:57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</row>
    <row r="2" spans="2:57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</row>
    <row r="3" spans="2:57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</row>
    <row r="4" spans="2:57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</row>
    <row r="5" spans="2:57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</row>
    <row r="6" spans="2:57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</row>
    <row r="7" spans="2:57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</row>
    <row r="8" spans="2:57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</row>
    <row r="9" spans="2:57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</row>
    <row r="10" spans="2:57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</row>
    <row r="11" spans="2:57" ht="18.75" customHeight="1" thickTop="1" thickBot="1">
      <c r="C11" s="165" t="str">
        <f>IF(MasterSheet!$A$1=1,MasterSheet!B67,MasterSheet!B66)</f>
        <v>BDP (u mil. €)</v>
      </c>
      <c r="D11" s="341">
        <f>+'Cental Budget'!D11:G11</f>
        <v>3957200000</v>
      </c>
      <c r="E11" s="342"/>
      <c r="F11" s="342"/>
      <c r="G11" s="343"/>
      <c r="H11" s="330"/>
      <c r="I11" s="331"/>
      <c r="J11" s="339">
        <f>+'Cental Budget'!J11:K11</f>
        <v>3773000000</v>
      </c>
      <c r="K11" s="340"/>
      <c r="L11" s="330"/>
      <c r="M11" s="334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</row>
    <row r="12" spans="2:57" ht="19.5" customHeight="1" thickTop="1">
      <c r="C12" s="17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</row>
    <row r="13" spans="2:57" ht="27" customHeight="1" thickBot="1">
      <c r="B13" s="85"/>
      <c r="C13" s="173"/>
      <c r="D13" s="338"/>
      <c r="E13" s="338"/>
      <c r="F13" s="86"/>
      <c r="G13" s="86"/>
      <c r="H13" s="86"/>
      <c r="I13" s="86"/>
      <c r="J13" s="348"/>
      <c r="K13" s="348"/>
      <c r="L13" s="86"/>
      <c r="M13" s="86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</row>
    <row r="14" spans="2:57" ht="15.75" customHeight="1" thickTop="1">
      <c r="B14" s="87"/>
      <c r="C14" s="344" t="s">
        <v>234</v>
      </c>
      <c r="D14" s="346" t="s">
        <v>468</v>
      </c>
      <c r="E14" s="347"/>
      <c r="F14" s="346" t="s">
        <v>469</v>
      </c>
      <c r="G14" s="347"/>
      <c r="H14" s="346" t="str">
        <f>+'Cental Budget'!H14:I14</f>
        <v>Odstupanje</v>
      </c>
      <c r="I14" s="347"/>
      <c r="J14" s="346" t="s">
        <v>464</v>
      </c>
      <c r="K14" s="347"/>
      <c r="L14" s="346" t="str">
        <f>+H14</f>
        <v>Odstupanje</v>
      </c>
      <c r="M14" s="347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</row>
    <row r="15" spans="2:57" ht="15" customHeight="1" thickBot="1">
      <c r="C15" s="345" t="str">
        <f>IF(MasterSheet!$A$1=1,MasterSheet!B71,MasterSheet!B70)</f>
        <v>Budžet Crne Gore</v>
      </c>
      <c r="D15" s="166" t="str">
        <f>IF(MasterSheet!$A$1=1,MasterSheet!C71,MasterSheet!C70)</f>
        <v>mil. €</v>
      </c>
      <c r="E15" s="167" t="str">
        <f>IF(MasterSheet!$A$1=1,MasterSheet!D71,MasterSheet!D70)</f>
        <v>% BDP</v>
      </c>
      <c r="F15" s="168" t="str">
        <f>IF(MasterSheet!$A$1=1,MasterSheet!E71,MasterSheet!E70)</f>
        <v>mil. €</v>
      </c>
      <c r="G15" s="169" t="str">
        <f>IF(MasterSheet!$A$1=1,MasterSheet!F71,MasterSheet!F70)</f>
        <v>% BDP</v>
      </c>
      <c r="H15" s="170" t="str">
        <f>IF(MasterSheet!$A$1=1,MasterSheet!G71,MasterSheet!G70)</f>
        <v>mil. €</v>
      </c>
      <c r="I15" s="169" t="s">
        <v>441</v>
      </c>
      <c r="J15" s="166" t="str">
        <f>IF(MasterSheet!$A$1=1,MasterSheet!I71,MasterSheet!I70)</f>
        <v>mil. €</v>
      </c>
      <c r="K15" s="168" t="str">
        <f>IF(MasterSheet!$A$1=1,MasterSheet!J71,MasterSheet!J70)</f>
        <v>% BDP</v>
      </c>
      <c r="L15" s="166" t="str">
        <f>IF(MasterSheet!$A$1=1,MasterSheet!K71,MasterSheet!K70)</f>
        <v>mil. €</v>
      </c>
      <c r="M15" s="167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</row>
    <row r="16" spans="2:57" ht="15" customHeight="1" thickTop="1" thickBot="1">
      <c r="C16" s="176" t="str">
        <f>IF(MasterSheet!$A$1=1,MasterSheet!C72,MasterSheet!B72)</f>
        <v>Izvorni prihodi</v>
      </c>
      <c r="D16" s="174">
        <f>D17+D26+D31+D32+D33+D34+D35</f>
        <v>332554918.13300002</v>
      </c>
      <c r="E16" s="281">
        <f t="shared" ref="E16:E76" si="0">D16/D$11*100</f>
        <v>8.4037935442484581</v>
      </c>
      <c r="F16" s="174">
        <f>F17+F26+F31+F32+F33+F34+F35</f>
        <v>334726574.85305959</v>
      </c>
      <c r="G16" s="281">
        <f>F16/D$11*100</f>
        <v>8.4586721634756792</v>
      </c>
      <c r="H16" s="174">
        <f>+D16-F16</f>
        <v>-2171656.7200595737</v>
      </c>
      <c r="I16" s="281">
        <f>+D16/F16*100-100</f>
        <v>-0.64878527228168537</v>
      </c>
      <c r="J16" s="174">
        <f>J17+J26+J31+J32+J33+J34+J35</f>
        <v>317979282.20999992</v>
      </c>
      <c r="K16" s="281">
        <f t="shared" ref="K16:K76" si="1">J16/J$11*100</f>
        <v>8.4277572809435437</v>
      </c>
      <c r="L16" s="174">
        <f>+D16-J16</f>
        <v>14575635.923000097</v>
      </c>
      <c r="M16" s="281">
        <f>+D16/J16*100-100</f>
        <v>4.583831947068191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</row>
    <row r="17" spans="2:62" ht="15" customHeight="1" thickTop="1">
      <c r="B17" s="80">
        <v>711</v>
      </c>
      <c r="C17" s="93" t="str">
        <f>IF(MasterSheet!$A$1=1,MasterSheet!C73,MasterSheet!B73)</f>
        <v>Porezi</v>
      </c>
      <c r="D17" s="152">
        <f>SUM(D18:D25)</f>
        <v>214097634.053</v>
      </c>
      <c r="E17" s="282">
        <f t="shared" si="0"/>
        <v>5.4103313972758516</v>
      </c>
      <c r="F17" s="152">
        <f>SUM(F18:F25)</f>
        <v>209448507.89347482</v>
      </c>
      <c r="G17" s="282">
        <f t="shared" ref="G17:G76" si="2">F17/D$11*100</f>
        <v>5.2928461511542206</v>
      </c>
      <c r="H17" s="205">
        <f t="shared" ref="H17:H76" si="3">+D17-F17</f>
        <v>4649126.1595251858</v>
      </c>
      <c r="I17" s="288">
        <f t="shared" ref="I17:I76" si="4">+D17/F17*100-100</f>
        <v>2.2196988683680416</v>
      </c>
      <c r="J17" s="152">
        <f>SUM(J18:J25)</f>
        <v>200753334.93999997</v>
      </c>
      <c r="K17" s="282">
        <f t="shared" si="1"/>
        <v>5.3207880980651989</v>
      </c>
      <c r="L17" s="205">
        <f t="shared" ref="L17:L76" si="5">+D17-J17</f>
        <v>13344299.113000035</v>
      </c>
      <c r="M17" s="290">
        <f t="shared" ref="M17:M76" si="6">+D17/J17*100-100</f>
        <v>6.6471120477217909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</row>
    <row r="18" spans="2:62" ht="15" customHeight="1">
      <c r="B18" s="80">
        <v>7111</v>
      </c>
      <c r="C18" s="97" t="str">
        <f>IF(MasterSheet!$A$1=1,MasterSheet!C74,MasterSheet!B74)</f>
        <v>Porez na dohodak fizičkih lica</v>
      </c>
      <c r="D18" s="154">
        <f>'Cental Budget'!D18+'Local Government'!D18</f>
        <v>27028391.640000001</v>
      </c>
      <c r="E18" s="283">
        <f t="shared" si="0"/>
        <v>0.68301808450419488</v>
      </c>
      <c r="F18" s="154">
        <f>+IF(ISNUMBER(VLOOKUP($B18,'Cental Budget'!$B$16:$K$76,'Public Expenditure'!F$1,FALSE)),VLOOKUP($B18,'Cental Budget'!$B$16:$K$76,'Public Expenditure'!F$1,FALSE),0)+IF(ISNUMBER(VLOOKUP('Public Expenditure'!$B18,'Local Government'!$B$16:$M$76,'Public Expenditure'!F$1,FALSE)),VLOOKUP('Public Expenditure'!$B18,'Local Government'!$B$16:$M$76,'Public Expenditure'!F$1,FALSE),0)</f>
        <v>28309075.728948303</v>
      </c>
      <c r="G18" s="283">
        <f t="shared" si="2"/>
        <v>0.71538147500627469</v>
      </c>
      <c r="H18" s="206">
        <f t="shared" si="3"/>
        <v>-1280684.088948302</v>
      </c>
      <c r="I18" s="289">
        <f t="shared" si="4"/>
        <v>-4.5239346604265904</v>
      </c>
      <c r="J18" s="154">
        <f>+IF(ISNUMBER(VLOOKUP($B18,'Cental Budget'!$B$16:$K$76,'Public Expenditure'!J$1,FALSE)),VLOOKUP($B18,'Cental Budget'!$B$16:$K$76,'Public Expenditure'!J$1,FALSE),0)+IF(ISNUMBER(VLOOKUP('Public Expenditure'!$B18,'Local Government'!$B$16:$M$76,'Public Expenditure'!J$1,FALSE)),VLOOKUP('Public Expenditure'!$B18,'Local Government'!$B$16:$M$76,'Public Expenditure'!J$1,FALSE),0)</f>
        <v>29590533.639999993</v>
      </c>
      <c r="K18" s="283">
        <f t="shared" si="1"/>
        <v>0.78427070341902971</v>
      </c>
      <c r="L18" s="206">
        <f t="shared" si="5"/>
        <v>-2562141.9999999925</v>
      </c>
      <c r="M18" s="289">
        <f t="shared" si="6"/>
        <v>-8.6586542546719443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</row>
    <row r="19" spans="2:62" ht="15" customHeight="1">
      <c r="B19" s="80">
        <v>7112</v>
      </c>
      <c r="C19" s="97" t="str">
        <f>IF(MasterSheet!$A$1=1,MasterSheet!C75,MasterSheet!B75)</f>
        <v>Porez na dobit pravnih lica</v>
      </c>
      <c r="D19" s="154">
        <f>'Cental Budget'!D19</f>
        <v>19487007.920000002</v>
      </c>
      <c r="E19" s="283">
        <f t="shared" si="0"/>
        <v>0.49244435257252606</v>
      </c>
      <c r="F19" s="154">
        <f>+IF(ISNUMBER(VLOOKUP($B19,'Cental Budget'!$B$16:$K$76,'Public Expenditure'!F$1,FALSE)),VLOOKUP($B19,'Cental Budget'!$B$16:$K$76,'Public Expenditure'!F$1,FALSE),0)+IF(ISNUMBER(VLOOKUP('Public Expenditure'!$B19,'Local Government'!$B$16:$M$76,'Public Expenditure'!F$1,FALSE)),VLOOKUP('Public Expenditure'!$B19,'Local Government'!$B$16:$M$76,'Public Expenditure'!F$1,FALSE),0)</f>
        <v>17202335.449503724</v>
      </c>
      <c r="G19" s="283">
        <f t="shared" si="2"/>
        <v>0.43470978089314977</v>
      </c>
      <c r="H19" s="206">
        <f t="shared" si="3"/>
        <v>2284672.4704962783</v>
      </c>
      <c r="I19" s="289">
        <f t="shared" si="4"/>
        <v>13.281176135663557</v>
      </c>
      <c r="J19" s="154">
        <f>+IF(ISNUMBER(VLOOKUP($B19,'Cental Budget'!$B$16:$K$76,'Public Expenditure'!J$1,FALSE)),VLOOKUP($B19,'Cental Budget'!$B$16:$K$76,'Public Expenditure'!J$1,FALSE),0)+IF(ISNUMBER(VLOOKUP('Public Expenditure'!$B19,'Local Government'!$B$16:$M$76,'Public Expenditure'!J$1,FALSE)),VLOOKUP('Public Expenditure'!$B19,'Local Government'!$B$16:$M$76,'Public Expenditure'!J$1,FALSE),0)</f>
        <v>16590793.719999999</v>
      </c>
      <c r="K19" s="283">
        <f t="shared" si="1"/>
        <v>0.43972419082957853</v>
      </c>
      <c r="L19" s="206">
        <f t="shared" si="5"/>
        <v>2896214.200000003</v>
      </c>
      <c r="M19" s="289">
        <f t="shared" si="6"/>
        <v>17.456754926129008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G19" s="81"/>
    </row>
    <row r="20" spans="2:62" ht="15" customHeight="1">
      <c r="B20" s="80">
        <v>7113</v>
      </c>
      <c r="C20" s="97" t="str">
        <f>IF(MasterSheet!$A$1=1,MasterSheet!C76,MasterSheet!B76)</f>
        <v>Porez na promet nepokretnosti</v>
      </c>
      <c r="D20" s="154">
        <f>'Cental Budget'!D20+'Local Government'!D19</f>
        <v>2486819.5329999998</v>
      </c>
      <c r="E20" s="283">
        <f t="shared" si="0"/>
        <v>6.2842907434549677E-2</v>
      </c>
      <c r="F20" s="154">
        <f>+IF(ISNUMBER(VLOOKUP($B20,'Cental Budget'!$B$16:$K$76,'Public Expenditure'!F$1,FALSE)),VLOOKUP($B20,'Cental Budget'!$B$16:$K$76,'Public Expenditure'!F$1,FALSE),0)+IF(ISNUMBER(VLOOKUP('Public Expenditure'!$B20,'Local Government'!$B$16:$M$76,'Public Expenditure'!F$1,FALSE)),VLOOKUP('Public Expenditure'!$B20,'Local Government'!$B$16:$M$76,'Public Expenditure'!F$1,FALSE),0)</f>
        <v>3140143.793835476</v>
      </c>
      <c r="G20" s="283">
        <f t="shared" si="2"/>
        <v>7.9352668397742743E-2</v>
      </c>
      <c r="H20" s="206">
        <f t="shared" si="3"/>
        <v>-653324.26083547622</v>
      </c>
      <c r="I20" s="289">
        <f t="shared" si="4"/>
        <v>-20.805552348209005</v>
      </c>
      <c r="J20" s="154">
        <f>+IF(ISNUMBER(VLOOKUP($B20,'Cental Budget'!$B$16:$K$76,'Public Expenditure'!J$1,FALSE)),VLOOKUP($B20,'Cental Budget'!$B$16:$K$76,'Public Expenditure'!J$1,FALSE),0)+IF(ISNUMBER(VLOOKUP('Public Expenditure'!$B20,'Local Government'!$B$16:$M$76,'Public Expenditure'!J$1,FALSE)),VLOOKUP('Public Expenditure'!$B20,'Local Government'!$B$16:$M$76,'Public Expenditure'!J$1,FALSE),0)</f>
        <v>2715404.55</v>
      </c>
      <c r="K20" s="283">
        <f t="shared" si="1"/>
        <v>7.1969375828253371E-2</v>
      </c>
      <c r="L20" s="206">
        <f t="shared" si="5"/>
        <v>-228585.01699999999</v>
      </c>
      <c r="M20" s="289">
        <f t="shared" si="6"/>
        <v>-8.4180833018048844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</row>
    <row r="21" spans="2:62" ht="15" customHeight="1">
      <c r="B21" s="80">
        <v>7114</v>
      </c>
      <c r="C21" s="97" t="str">
        <f>IF(MasterSheet!$A$1=1,MasterSheet!C77,MasterSheet!B77)</f>
        <v>Porez na dodatu vrijednost</v>
      </c>
      <c r="D21" s="154">
        <f>'Cental Budget'!D21</f>
        <v>106205407.37</v>
      </c>
      <c r="E21" s="283">
        <f t="shared" si="0"/>
        <v>2.6838524049833214</v>
      </c>
      <c r="F21" s="154">
        <f>+IF(ISNUMBER(VLOOKUP($B21,'Cental Budget'!$B$16:$K$76,'Public Expenditure'!F$1,FALSE)),VLOOKUP($B21,'Cental Budget'!$B$16:$K$76,'Public Expenditure'!F$1,FALSE),0)+IF(ISNUMBER(VLOOKUP('Public Expenditure'!$B21,'Local Government'!$B$16:$M$76,'Public Expenditure'!F$1,FALSE)),VLOOKUP('Public Expenditure'!$B21,'Local Government'!$B$16:$M$76,'Public Expenditure'!F$1,FALSE),0)</f>
        <v>106087842.9110896</v>
      </c>
      <c r="G21" s="283">
        <f t="shared" si="2"/>
        <v>2.6808815048794501</v>
      </c>
      <c r="H21" s="206">
        <f t="shared" si="3"/>
        <v>117564.45891040564</v>
      </c>
      <c r="I21" s="289">
        <f t="shared" si="4"/>
        <v>0.11081803125070167</v>
      </c>
      <c r="J21" s="154">
        <f>+IF(ISNUMBER(VLOOKUP($B21,'Cental Budget'!$B$16:$K$76,'Public Expenditure'!J$1,FALSE)),VLOOKUP($B21,'Cental Budget'!$B$16:$K$76,'Public Expenditure'!J$1,FALSE),0)+IF(ISNUMBER(VLOOKUP('Public Expenditure'!$B21,'Local Government'!$B$16:$M$76,'Public Expenditure'!J$1,FALSE)),VLOOKUP('Public Expenditure'!$B21,'Local Government'!$B$16:$M$76,'Public Expenditure'!J$1,FALSE),0)</f>
        <v>101136918.48</v>
      </c>
      <c r="K21" s="283">
        <f t="shared" si="1"/>
        <v>2.6805438240127222</v>
      </c>
      <c r="L21" s="206">
        <f t="shared" si="5"/>
        <v>5068488.8900000006</v>
      </c>
      <c r="M21" s="289">
        <f t="shared" si="6"/>
        <v>5.0115120830009232</v>
      </c>
    </row>
    <row r="22" spans="2:62" ht="15" customHeight="1">
      <c r="B22" s="80">
        <v>7115</v>
      </c>
      <c r="C22" s="97" t="str">
        <f>IF(MasterSheet!$A$1=1,MasterSheet!C78,MasterSheet!B78)</f>
        <v>Akcize</v>
      </c>
      <c r="D22" s="154">
        <f>'Cental Budget'!D22</f>
        <v>41137630.969999999</v>
      </c>
      <c r="E22" s="283">
        <f t="shared" si="0"/>
        <v>1.0395641102294553</v>
      </c>
      <c r="F22" s="154">
        <f>+IF(ISNUMBER(VLOOKUP($B22,'Cental Budget'!$B$16:$K$76,'Public Expenditure'!F$1,FALSE)),VLOOKUP($B22,'Cental Budget'!$B$16:$K$76,'Public Expenditure'!F$1,FALSE),0)+IF(ISNUMBER(VLOOKUP('Public Expenditure'!$B22,'Local Government'!$B$16:$M$76,'Public Expenditure'!F$1,FALSE)),VLOOKUP('Public Expenditure'!$B22,'Local Government'!$B$16:$M$76,'Public Expenditure'!F$1,FALSE),0)</f>
        <v>38883013.039741859</v>
      </c>
      <c r="G22" s="283">
        <f t="shared" si="2"/>
        <v>0.98258902859956176</v>
      </c>
      <c r="H22" s="206">
        <f t="shared" si="3"/>
        <v>2254617.93025814</v>
      </c>
      <c r="I22" s="289">
        <f t="shared" si="4"/>
        <v>5.7984650725336593</v>
      </c>
      <c r="J22" s="154">
        <f>+IF(ISNUMBER(VLOOKUP($B22,'Cental Budget'!$B$16:$K$76,'Public Expenditure'!J$1,FALSE)),VLOOKUP($B22,'Cental Budget'!$B$16:$K$76,'Public Expenditure'!J$1,FALSE),0)+IF(ISNUMBER(VLOOKUP('Public Expenditure'!$B22,'Local Government'!$B$16:$M$76,'Public Expenditure'!J$1,FALSE)),VLOOKUP('Public Expenditure'!$B22,'Local Government'!$B$16:$M$76,'Public Expenditure'!J$1,FALSE),0)</f>
        <v>33745496.479999989</v>
      </c>
      <c r="K22" s="283">
        <f t="shared" si="1"/>
        <v>0.89439428783461405</v>
      </c>
      <c r="L22" s="206">
        <f t="shared" si="5"/>
        <v>7392134.4900000095</v>
      </c>
      <c r="M22" s="289">
        <f t="shared" si="6"/>
        <v>21.905543734942896</v>
      </c>
    </row>
    <row r="23" spans="2:62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4">
        <f>'Cental Budget'!D23</f>
        <v>4895082.8100000005</v>
      </c>
      <c r="E23" s="283">
        <f t="shared" si="0"/>
        <v>0.12370066739108461</v>
      </c>
      <c r="F23" s="154">
        <f>+IF(ISNUMBER(VLOOKUP($B23,'Cental Budget'!$B$16:$K$76,'Public Expenditure'!F$1,FALSE)),VLOOKUP($B23,'Cental Budget'!$B$16:$K$76,'Public Expenditure'!F$1,FALSE),0)+IF(ISNUMBER(VLOOKUP('Public Expenditure'!$B23,'Local Government'!$B$16:$M$76,'Public Expenditure'!F$1,FALSE)),VLOOKUP('Public Expenditure'!$B23,'Local Government'!$B$16:$M$76,'Public Expenditure'!F$1,FALSE),0)</f>
        <v>4565162.3622602774</v>
      </c>
      <c r="G23" s="283">
        <f t="shared" si="2"/>
        <v>0.11536344794956732</v>
      </c>
      <c r="H23" s="206">
        <f t="shared" si="3"/>
        <v>329920.44773972314</v>
      </c>
      <c r="I23" s="289">
        <f t="shared" si="4"/>
        <v>7.2269159683594495</v>
      </c>
      <c r="J23" s="154">
        <f>+IF(ISNUMBER(VLOOKUP($B23,'Cental Budget'!$B$16:$K$76,'Public Expenditure'!J$1,FALSE)),VLOOKUP($B23,'Cental Budget'!$B$16:$K$76,'Public Expenditure'!J$1,FALSE),0)+IF(ISNUMBER(VLOOKUP('Public Expenditure'!$B23,'Local Government'!$B$16:$M$76,'Public Expenditure'!J$1,FALSE)),VLOOKUP('Public Expenditure'!$B23,'Local Government'!$B$16:$M$76,'Public Expenditure'!J$1,FALSE),0)</f>
        <v>4538417.9700000007</v>
      </c>
      <c r="K23" s="283">
        <f t="shared" si="1"/>
        <v>0.12028672064670026</v>
      </c>
      <c r="L23" s="206">
        <f t="shared" si="5"/>
        <v>356664.83999999985</v>
      </c>
      <c r="M23" s="289">
        <f t="shared" si="6"/>
        <v>7.8587922566329667</v>
      </c>
      <c r="BH23" s="138"/>
      <c r="BI23" s="138"/>
      <c r="BJ23" s="81"/>
    </row>
    <row r="24" spans="2:62" ht="15" customHeight="1">
      <c r="B24" s="80">
        <v>7117</v>
      </c>
      <c r="C24" s="97" t="s">
        <v>11</v>
      </c>
      <c r="D24" s="154">
        <f>'Local Government'!D20</f>
        <v>10886580.140000001</v>
      </c>
      <c r="E24" s="283">
        <f t="shared" si="0"/>
        <v>0.27510816082078238</v>
      </c>
      <c r="F24" s="154">
        <f>+IF(ISNUMBER(VLOOKUP($B24,'Cental Budget'!$B$16:$K$76,'Public Expenditure'!F$1,FALSE)),VLOOKUP($B24,'Cental Budget'!$B$16:$K$76,'Public Expenditure'!F$1,FALSE),0)+IF(ISNUMBER(VLOOKUP('Public Expenditure'!$B24,'Local Government'!$B$16:$M$76,'Public Expenditure'!F$1,FALSE)),VLOOKUP('Public Expenditure'!$B24,'Local Government'!$B$16:$M$76,'Public Expenditure'!F$1,FALSE),0)</f>
        <v>9326071.0106000006</v>
      </c>
      <c r="G24" s="283">
        <f t="shared" si="2"/>
        <v>0.23567348151723441</v>
      </c>
      <c r="H24" s="206">
        <f t="shared" si="3"/>
        <v>1560509.1294</v>
      </c>
      <c r="I24" s="289">
        <f t="shared" si="4"/>
        <v>16.732760533630156</v>
      </c>
      <c r="J24" s="154">
        <f>+IF(ISNUMBER(VLOOKUP($B24,'Cental Budget'!$B$16:$K$76,'Public Expenditure'!J$1,FALSE)),VLOOKUP($B24,'Cental Budget'!$B$16:$K$76,'Public Expenditure'!J$1,FALSE),0)+IF(ISNUMBER(VLOOKUP('Public Expenditure'!$B24,'Local Government'!$B$16:$M$76,'Public Expenditure'!J$1,FALSE)),VLOOKUP('Public Expenditure'!$B24,'Local Government'!$B$16:$M$76,'Public Expenditure'!J$1,FALSE),0)</f>
        <v>10592714.32</v>
      </c>
      <c r="K24" s="283">
        <f t="shared" si="1"/>
        <v>0.28075044579909886</v>
      </c>
      <c r="L24" s="206">
        <f t="shared" si="5"/>
        <v>293865.8200000003</v>
      </c>
      <c r="M24" s="289">
        <f t="shared" si="6"/>
        <v>2.7742258605535568</v>
      </c>
      <c r="BH24" s="138"/>
      <c r="BI24" s="138"/>
      <c r="BJ24" s="81"/>
    </row>
    <row r="25" spans="2:62" ht="15" customHeight="1">
      <c r="B25" s="80">
        <v>7118</v>
      </c>
      <c r="C25" s="97" t="s">
        <v>461</v>
      </c>
      <c r="D25" s="154">
        <f>'Cental Budget'!D24</f>
        <v>1970713.67</v>
      </c>
      <c r="E25" s="283">
        <f t="shared" si="0"/>
        <v>4.9800709339937327E-2</v>
      </c>
      <c r="F25" s="154">
        <f>+IF(ISNUMBER(VLOOKUP($B25,'Cental Budget'!$B$16:$K$76,'Public Expenditure'!F$1,FALSE)),VLOOKUP($B25,'Cental Budget'!$B$16:$K$76,'Public Expenditure'!F$1,FALSE),0)+IF(ISNUMBER(VLOOKUP('Public Expenditure'!$B25,'Local Government'!$B$16:$M$76,'Public Expenditure'!F$1,FALSE)),VLOOKUP('Public Expenditure'!$B25,'Local Government'!$B$16:$M$76,'Public Expenditure'!F$1,FALSE),0)</f>
        <v>1934863.5974955964</v>
      </c>
      <c r="G25" s="283">
        <f t="shared" si="2"/>
        <v>4.8894763911240174E-2</v>
      </c>
      <c r="H25" s="206">
        <f t="shared" si="3"/>
        <v>35850.072504403535</v>
      </c>
      <c r="I25" s="289">
        <f t="shared" si="4"/>
        <v>1.8528475366845782</v>
      </c>
      <c r="J25" s="154">
        <f>+IF(ISNUMBER(VLOOKUP($B25,'Cental Budget'!$B$16:$K$76,'Public Expenditure'!J$1,FALSE)),VLOOKUP($B25,'Cental Budget'!$B$16:$K$76,'Public Expenditure'!J$1,FALSE),0)+IF(ISNUMBER(VLOOKUP('Public Expenditure'!$B25,'Local Government'!$B$16:$M$76,'Public Expenditure'!J$1,FALSE)),VLOOKUP('Public Expenditure'!$B25,'Local Government'!$B$16:$M$76,'Public Expenditure'!J$1,FALSE),0)</f>
        <v>1843055.7799999993</v>
      </c>
      <c r="K25" s="283">
        <f t="shared" si="1"/>
        <v>4.8848549695202734E-2</v>
      </c>
      <c r="L25" s="206">
        <f t="shared" si="5"/>
        <v>127657.8900000006</v>
      </c>
      <c r="M25" s="289">
        <f t="shared" si="6"/>
        <v>6.9264257427955158</v>
      </c>
      <c r="BH25" s="138"/>
      <c r="BI25" s="138"/>
      <c r="BJ25" s="81"/>
    </row>
    <row r="26" spans="2:62" ht="15" customHeight="1">
      <c r="B26" s="80">
        <v>712</v>
      </c>
      <c r="C26" s="93" t="str">
        <f>IF(MasterSheet!$A$1=1,MasterSheet!C81,MasterSheet!B81)</f>
        <v>Doprinosi</v>
      </c>
      <c r="D26" s="152">
        <f>'Cental Budget'!D25</f>
        <v>85700155.700000003</v>
      </c>
      <c r="E26" s="284">
        <f t="shared" si="0"/>
        <v>2.1656766324674015</v>
      </c>
      <c r="F26" s="152">
        <f>SUM(F27:F30)</f>
        <v>95293122.329963237</v>
      </c>
      <c r="G26" s="284">
        <f t="shared" si="2"/>
        <v>2.4080946712312556</v>
      </c>
      <c r="H26" s="205">
        <f t="shared" si="3"/>
        <v>-9592966.6299632341</v>
      </c>
      <c r="I26" s="290">
        <f t="shared" si="4"/>
        <v>-10.066798521667181</v>
      </c>
      <c r="J26" s="152">
        <f>SUM(J27:J30)</f>
        <v>90140128.719999999</v>
      </c>
      <c r="K26" s="284">
        <f t="shared" si="1"/>
        <v>2.3890837190564538</v>
      </c>
      <c r="L26" s="205">
        <f t="shared" si="5"/>
        <v>-4439973.0199999958</v>
      </c>
      <c r="M26" s="290">
        <f t="shared" si="6"/>
        <v>-4.9256342131391619</v>
      </c>
      <c r="BH26" s="138"/>
      <c r="BI26" s="138"/>
      <c r="BJ26" s="81"/>
    </row>
    <row r="27" spans="2:62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4">
        <f>+IF(ISNUMBER(VLOOKUP($B27,'Cental Budget'!$B$16:$K$76,'Public Expenditure'!D$1,FALSE)),VLOOKUP($B27,'Cental Budget'!$B$16:$K$76,'Public Expenditure'!D$1,FALSE),0)+IF(ISNUMBER(VLOOKUP('Public Expenditure'!$B27,'Local Government'!$B$16:$M$76,'Public Expenditure'!D$1,FALSE)),VLOOKUP('Public Expenditure'!$B27,'Local Government'!$B$16:$M$76,'Public Expenditure'!D$1,FALSE),0)</f>
        <v>51533607.93</v>
      </c>
      <c r="E27" s="283">
        <f t="shared" si="0"/>
        <v>1.3022745357828767</v>
      </c>
      <c r="F27" s="154">
        <f>+IF(ISNUMBER(VLOOKUP($B27,'Cental Budget'!$B$16:$K$76,'Public Expenditure'!F$1,FALSE)),VLOOKUP($B27,'Cental Budget'!$B$16:$K$76,'Public Expenditure'!F$1,FALSE),0)+IF(ISNUMBER(VLOOKUP('Public Expenditure'!$B27,'Local Government'!$B$16:$M$76,'Public Expenditure'!F$1,FALSE)),VLOOKUP('Public Expenditure'!$B27,'Local Government'!$B$16:$M$76,'Public Expenditure'!F$1,FALSE),0)</f>
        <v>57963648.693399683</v>
      </c>
      <c r="G27" s="283">
        <f t="shared" si="2"/>
        <v>1.464764194213072</v>
      </c>
      <c r="H27" s="206">
        <f t="shared" si="3"/>
        <v>-6430040.7633996829</v>
      </c>
      <c r="I27" s="289">
        <f t="shared" si="4"/>
        <v>-11.093229823076811</v>
      </c>
      <c r="J27" s="154">
        <f>+IF(ISNUMBER(VLOOKUP($B27,'Cental Budget'!$B$16:$K$76,'Public Expenditure'!J$1,FALSE)),VLOOKUP($B27,'Cental Budget'!$B$16:$K$76,'Public Expenditure'!J$1,FALSE),0)+IF(ISNUMBER(VLOOKUP('Public Expenditure'!$B27,'Local Government'!$B$16:$M$76,'Public Expenditure'!J$1,FALSE)),VLOOKUP('Public Expenditure'!$B27,'Local Government'!$B$16:$M$76,'Public Expenditure'!J$1,FALSE),0)</f>
        <v>54003599.459999993</v>
      </c>
      <c r="K27" s="283">
        <f t="shared" si="1"/>
        <v>1.4313172398621783</v>
      </c>
      <c r="L27" s="206">
        <f t="shared" si="5"/>
        <v>-2469991.5299999937</v>
      </c>
      <c r="M27" s="289">
        <f t="shared" si="6"/>
        <v>-4.5737535177252369</v>
      </c>
      <c r="BH27" s="138"/>
      <c r="BI27" s="138"/>
      <c r="BJ27" s="81"/>
    </row>
    <row r="28" spans="2:62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4">
        <f>+IF(ISNUMBER(VLOOKUP($B28,'Cental Budget'!$B$16:$K$76,'Public Expenditure'!D$1,FALSE)),VLOOKUP($B28,'Cental Budget'!$B$16:$K$76,'Public Expenditure'!D$1,FALSE),0)+IF(ISNUMBER(VLOOKUP('Public Expenditure'!$B28,'Local Government'!$B$16:$M$76,'Public Expenditure'!D$1,FALSE)),VLOOKUP('Public Expenditure'!$B28,'Local Government'!$B$16:$M$76,'Public Expenditure'!D$1,FALSE),0)</f>
        <v>29657420.16</v>
      </c>
      <c r="E28" s="283">
        <f t="shared" si="0"/>
        <v>0.74945466895784907</v>
      </c>
      <c r="F28" s="154">
        <f>+IF(ISNUMBER(VLOOKUP($B28,'Cental Budget'!$B$16:$K$76,'Public Expenditure'!F$1,FALSE)),VLOOKUP($B28,'Cental Budget'!$B$16:$K$76,'Public Expenditure'!F$1,FALSE),0)+IF(ISNUMBER(VLOOKUP('Public Expenditure'!$B28,'Local Government'!$B$16:$M$76,'Public Expenditure'!F$1,FALSE)),VLOOKUP('Public Expenditure'!$B28,'Local Government'!$B$16:$M$76,'Public Expenditure'!F$1,FALSE),0)</f>
        <v>32784672.767619453</v>
      </c>
      <c r="G28" s="283">
        <f t="shared" si="2"/>
        <v>0.82848157201100403</v>
      </c>
      <c r="H28" s="206">
        <f t="shared" si="3"/>
        <v>-3127252.6076194532</v>
      </c>
      <c r="I28" s="289">
        <f t="shared" si="4"/>
        <v>-9.5387641346481757</v>
      </c>
      <c r="J28" s="154">
        <f>+IF(ISNUMBER(VLOOKUP($B28,'Cental Budget'!$B$16:$K$76,'Public Expenditure'!J$1,FALSE)),VLOOKUP($B28,'Cental Budget'!$B$16:$K$76,'Public Expenditure'!J$1,FALSE),0)+IF(ISNUMBER(VLOOKUP('Public Expenditure'!$B28,'Local Government'!$B$16:$M$76,'Public Expenditure'!J$1,FALSE)),VLOOKUP('Public Expenditure'!$B28,'Local Government'!$B$16:$M$76,'Public Expenditure'!J$1,FALSE),0)</f>
        <v>31264327.100000001</v>
      </c>
      <c r="K28" s="283">
        <f t="shared" si="1"/>
        <v>0.82863310628147369</v>
      </c>
      <c r="L28" s="206">
        <f t="shared" si="5"/>
        <v>-1606906.9400000013</v>
      </c>
      <c r="M28" s="289">
        <f t="shared" si="6"/>
        <v>-5.1397458031329393</v>
      </c>
      <c r="BH28" s="138"/>
      <c r="BI28" s="138"/>
      <c r="BJ28" s="81"/>
    </row>
    <row r="29" spans="2:62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4">
        <f>+IF(ISNUMBER(VLOOKUP($B29,'Cental Budget'!$B$16:$K$76,'Public Expenditure'!D$1,FALSE)),VLOOKUP($B29,'Cental Budget'!$B$16:$K$76,'Public Expenditure'!D$1,FALSE),0)+IF(ISNUMBER(VLOOKUP('Public Expenditure'!$B29,'Local Government'!$B$16:$M$76,'Public Expenditure'!D$1,FALSE)),VLOOKUP('Public Expenditure'!$B29,'Local Government'!$B$16:$M$76,'Public Expenditure'!D$1,FALSE),0)</f>
        <v>2358732.2199999997</v>
      </c>
      <c r="E29" s="283">
        <f t="shared" si="0"/>
        <v>5.9606090670170822E-2</v>
      </c>
      <c r="F29" s="154">
        <f>+IF(ISNUMBER(VLOOKUP($B29,'Cental Budget'!$B$16:$K$76,'Public Expenditure'!F$1,FALSE)),VLOOKUP($B29,'Cental Budget'!$B$16:$K$76,'Public Expenditure'!F$1,FALSE),0)+IF(ISNUMBER(VLOOKUP('Public Expenditure'!$B29,'Local Government'!$B$16:$M$76,'Public Expenditure'!F$1,FALSE)),VLOOKUP('Public Expenditure'!$B29,'Local Government'!$B$16:$M$76,'Public Expenditure'!F$1,FALSE),0)</f>
        <v>2142258.5001878752</v>
      </c>
      <c r="G29" s="283">
        <f t="shared" si="2"/>
        <v>5.4135714651467583E-2</v>
      </c>
      <c r="H29" s="206">
        <f t="shared" si="3"/>
        <v>216473.7198121245</v>
      </c>
      <c r="I29" s="289">
        <f t="shared" si="4"/>
        <v>10.104929904264111</v>
      </c>
      <c r="J29" s="154">
        <f>+IF(ISNUMBER(VLOOKUP($B29,'Cental Budget'!$B$16:$K$76,'Public Expenditure'!J$1,FALSE)),VLOOKUP($B29,'Cental Budget'!$B$16:$K$76,'Public Expenditure'!J$1,FALSE),0)+IF(ISNUMBER(VLOOKUP('Public Expenditure'!$B29,'Local Government'!$B$16:$M$76,'Public Expenditure'!J$1,FALSE)),VLOOKUP('Public Expenditure'!$B29,'Local Government'!$B$16:$M$76,'Public Expenditure'!J$1,FALSE),0)</f>
        <v>2530450.5399999991</v>
      </c>
      <c r="K29" s="283">
        <f t="shared" si="1"/>
        <v>6.706733474688574E-2</v>
      </c>
      <c r="L29" s="206">
        <f t="shared" si="5"/>
        <v>-171718.31999999937</v>
      </c>
      <c r="M29" s="289">
        <f t="shared" si="6"/>
        <v>-6.786076917353995</v>
      </c>
      <c r="BH29" s="138"/>
      <c r="BI29" s="138"/>
      <c r="BJ29" s="81"/>
    </row>
    <row r="30" spans="2:62" ht="15" hidden="1" customHeight="1">
      <c r="B30" s="80">
        <v>7124</v>
      </c>
      <c r="C30" s="97" t="str">
        <f>IF(MasterSheet!$A$1=1,MasterSheet!C85,MasterSheet!B85)</f>
        <v>Ostali doprinosi</v>
      </c>
      <c r="D30" s="154">
        <f>+IF(ISNUMBER(VLOOKUP($B30,'Cental Budget'!$B$16:$K$76,'Public Expenditure'!D$1,FALSE)),VLOOKUP($B30,'Cental Budget'!$B$16:$K$76,'Public Expenditure'!D$1,FALSE),0)+IF(ISNUMBER(VLOOKUP('Public Expenditure'!$B30,'Local Government'!$B$16:$M$76,'Public Expenditure'!D$1,FALSE)),VLOOKUP('Public Expenditure'!$B30,'Local Government'!$B$16:$M$76,'Public Expenditure'!D$1,FALSE),0)</f>
        <v>2150395.39</v>
      </c>
      <c r="E30" s="283">
        <f t="shared" si="0"/>
        <v>5.434133705650461E-2</v>
      </c>
      <c r="F30" s="154">
        <f>+IF(ISNUMBER(VLOOKUP($B30,'Cental Budget'!$B$16:$K$76,'Public Expenditure'!F$1,FALSE)),VLOOKUP($B30,'Cental Budget'!$B$16:$K$76,'Public Expenditure'!F$1,FALSE),0)+IF(ISNUMBER(VLOOKUP('Public Expenditure'!$B30,'Local Government'!$B$16:$M$76,'Public Expenditure'!F$1,FALSE)),VLOOKUP('Public Expenditure'!$B30,'Local Government'!$B$16:$M$76,'Public Expenditure'!F$1,FALSE),0)</f>
        <v>2402542.3687562374</v>
      </c>
      <c r="G30" s="283">
        <f t="shared" si="2"/>
        <v>6.071319035571205E-2</v>
      </c>
      <c r="H30" s="206">
        <f t="shared" si="3"/>
        <v>-252146.97875623731</v>
      </c>
      <c r="I30" s="289">
        <f t="shared" si="4"/>
        <v>-10.495006541207019</v>
      </c>
      <c r="J30" s="154">
        <f>+IF(ISNUMBER(VLOOKUP($B30,'Cental Budget'!$B$16:$K$76,'Public Expenditure'!J$1,FALSE)),VLOOKUP($B30,'Cental Budget'!$B$16:$K$76,'Public Expenditure'!J$1,FALSE),0)+IF(ISNUMBER(VLOOKUP('Public Expenditure'!$B30,'Local Government'!$B$16:$M$76,'Public Expenditure'!J$1,FALSE)),VLOOKUP('Public Expenditure'!$B30,'Local Government'!$B$16:$M$76,'Public Expenditure'!J$1,FALSE),0)</f>
        <v>2341751.62</v>
      </c>
      <c r="K30" s="283">
        <f t="shared" si="1"/>
        <v>6.2066038165915716E-2</v>
      </c>
      <c r="L30" s="206">
        <f t="shared" si="5"/>
        <v>-191356.22999999998</v>
      </c>
      <c r="M30" s="289">
        <f t="shared" si="6"/>
        <v>-8.1714998450604241</v>
      </c>
      <c r="BH30" s="81"/>
      <c r="BI30" s="81"/>
      <c r="BJ30" s="81"/>
    </row>
    <row r="31" spans="2:62" ht="15" customHeight="1">
      <c r="B31" s="80">
        <v>713</v>
      </c>
      <c r="C31" s="93" t="str">
        <f>IF(MasterSheet!$A$1=1,MasterSheet!C86,MasterSheet!B86)</f>
        <v>Takse</v>
      </c>
      <c r="D31" s="152">
        <f>'Cental Budget'!D30+'Local Government'!D21</f>
        <v>4499041.33</v>
      </c>
      <c r="E31" s="284">
        <f t="shared" si="0"/>
        <v>0.1136925434650763</v>
      </c>
      <c r="F31" s="152">
        <f>+IF(ISNUMBER(VLOOKUP($B31,'Cental Budget'!$B$16:$K$76,'Public Expenditure'!F$1,FALSE)),VLOOKUP($B31,'Cental Budget'!$B$16:$K$76,'Public Expenditure'!F$1,FALSE),0)+IF(ISNUMBER(VLOOKUP('Public Expenditure'!$B31,'Local Government'!$B$16:$M$76,'Public Expenditure'!F$1,FALSE)),VLOOKUP('Public Expenditure'!$B31,'Local Government'!$B$16:$M$76,'Public Expenditure'!F$1,FALSE),0)</f>
        <v>3782112.0729126977</v>
      </c>
      <c r="G31" s="284">
        <f t="shared" si="2"/>
        <v>9.557545923664959E-2</v>
      </c>
      <c r="H31" s="205">
        <f t="shared" si="3"/>
        <v>716929.25708730239</v>
      </c>
      <c r="I31" s="290">
        <f t="shared" si="4"/>
        <v>18.955790924915064</v>
      </c>
      <c r="J31" s="152">
        <f>+IF(ISNUMBER(VLOOKUP($B31,'Cental Budget'!$B$16:$K$76,'Public Expenditure'!J$1,FALSE)),VLOOKUP($B31,'Cental Budget'!$B$16:$K$76,'Public Expenditure'!J$1,FALSE),0)+IF(ISNUMBER(VLOOKUP('Public Expenditure'!$B31,'Local Government'!$B$16:$M$76,'Public Expenditure'!J$1,FALSE)),VLOOKUP('Public Expenditure'!$B31,'Local Government'!$B$16:$M$76,'Public Expenditure'!J$1,FALSE),0)</f>
        <v>3800509.5100000002</v>
      </c>
      <c r="K31" s="284">
        <f t="shared" si="1"/>
        <v>0.10072911502782933</v>
      </c>
      <c r="L31" s="205">
        <f t="shared" si="5"/>
        <v>698531.81999999983</v>
      </c>
      <c r="M31" s="290">
        <f t="shared" si="6"/>
        <v>18.379951902817353</v>
      </c>
      <c r="BH31" s="81"/>
      <c r="BI31" s="81"/>
      <c r="BJ31" s="81"/>
    </row>
    <row r="32" spans="2:62" ht="15" customHeight="1">
      <c r="B32" s="80">
        <v>714</v>
      </c>
      <c r="C32" s="93" t="str">
        <f>IF(MasterSheet!$A$1=1,MasterSheet!C91,MasterSheet!B91)</f>
        <v>Naknade</v>
      </c>
      <c r="D32" s="152">
        <f>'Cental Budget'!D31+'Local Government'!D27</f>
        <v>14900975.919999998</v>
      </c>
      <c r="E32" s="284">
        <f t="shared" si="0"/>
        <v>0.37655352067118159</v>
      </c>
      <c r="F32" s="152">
        <f>+IF(ISNUMBER(VLOOKUP($B32,'Cental Budget'!$B$16:$K$76,'Public Expenditure'!F$1,FALSE)),VLOOKUP($B32,'Cental Budget'!$B$16:$K$76,'Public Expenditure'!F$1,FALSE),0)+IF(ISNUMBER(VLOOKUP('Public Expenditure'!$B32,'Local Government'!$B$16:$M$76,'Public Expenditure'!F$1,FALSE)),VLOOKUP('Public Expenditure'!$B32,'Local Government'!$B$16:$M$76,'Public Expenditure'!F$1,FALSE),0)</f>
        <v>12750875.130558265</v>
      </c>
      <c r="G32" s="284">
        <f t="shared" si="2"/>
        <v>0.32221962828662348</v>
      </c>
      <c r="H32" s="205">
        <f t="shared" si="3"/>
        <v>2150100.7894417327</v>
      </c>
      <c r="I32" s="290">
        <f t="shared" si="4"/>
        <v>16.862378208762181</v>
      </c>
      <c r="J32" s="152">
        <f>+IF(ISNUMBER(VLOOKUP($B32,'Cental Budget'!$B$16:$K$76,'Public Expenditure'!J$1,FALSE)),VLOOKUP($B32,'Cental Budget'!$B$16:$K$76,'Public Expenditure'!J$1,FALSE),0)+IF(ISNUMBER(VLOOKUP('Public Expenditure'!$B32,'Local Government'!$B$16:$M$76,'Public Expenditure'!J$1,FALSE)),VLOOKUP('Public Expenditure'!$B32,'Local Government'!$B$16:$M$76,'Public Expenditure'!J$1,FALSE),0)</f>
        <v>12815429.09</v>
      </c>
      <c r="K32" s="284">
        <f t="shared" si="1"/>
        <v>0.33966151842035519</v>
      </c>
      <c r="L32" s="205">
        <f t="shared" si="5"/>
        <v>2085546.8299999982</v>
      </c>
      <c r="M32" s="290">
        <f t="shared" si="6"/>
        <v>16.273718307468684</v>
      </c>
      <c r="BH32" s="138"/>
      <c r="BI32" s="138"/>
      <c r="BJ32" s="138"/>
    </row>
    <row r="33" spans="1:65" ht="15" customHeight="1">
      <c r="B33" s="80">
        <v>715</v>
      </c>
      <c r="C33" s="93" t="str">
        <f>IF(MasterSheet!$A$1=1,MasterSheet!C98,MasterSheet!B98)</f>
        <v>Ostali prihodi</v>
      </c>
      <c r="D33" s="152">
        <f>'Cental Budget'!D32+'Local Government'!D33</f>
        <v>8461358.7800000012</v>
      </c>
      <c r="E33" s="284">
        <f t="shared" si="0"/>
        <v>0.21382186343879514</v>
      </c>
      <c r="F33" s="152">
        <f>+IF(ISNUMBER(VLOOKUP($B33,'Cental Budget'!$B$16:$K$76,'Public Expenditure'!F$1,FALSE)),VLOOKUP($B33,'Cental Budget'!$B$16:$K$76,'Public Expenditure'!F$1,FALSE),0)+IF(ISNUMBER(VLOOKUP('Public Expenditure'!$B33,'Local Government'!$B$16:$M$76,'Public Expenditure'!F$1,FALSE)),VLOOKUP('Public Expenditure'!$B33,'Local Government'!$B$16:$M$76,'Public Expenditure'!F$1,FALSE),0)</f>
        <v>9305138.5826446973</v>
      </c>
      <c r="G33" s="284">
        <f t="shared" si="2"/>
        <v>0.23514451083202006</v>
      </c>
      <c r="H33" s="205">
        <f t="shared" si="3"/>
        <v>-843779.80264469609</v>
      </c>
      <c r="I33" s="290">
        <f t="shared" si="4"/>
        <v>-9.0678907697135855</v>
      </c>
      <c r="J33" s="152">
        <f>+IF(ISNUMBER(VLOOKUP($B33,'Cental Budget'!$B$16:$K$76,'Public Expenditure'!J$1,FALSE)),VLOOKUP($B33,'Cental Budget'!$B$16:$K$76,'Public Expenditure'!J$1,FALSE),0)+IF(ISNUMBER(VLOOKUP('Public Expenditure'!$B33,'Local Government'!$B$16:$M$76,'Public Expenditure'!J$1,FALSE)),VLOOKUP('Public Expenditure'!$B33,'Local Government'!$B$16:$M$76,'Public Expenditure'!J$1,FALSE),0)</f>
        <v>7801266.7100000018</v>
      </c>
      <c r="K33" s="284">
        <f t="shared" si="1"/>
        <v>0.2067656164855553</v>
      </c>
      <c r="L33" s="205">
        <f t="shared" si="5"/>
        <v>660092.06999999937</v>
      </c>
      <c r="M33" s="290">
        <f t="shared" si="6"/>
        <v>8.4613447346168158</v>
      </c>
      <c r="BH33" s="81"/>
      <c r="BI33" s="81"/>
      <c r="BJ33" s="81"/>
      <c r="BK33" s="81"/>
      <c r="BL33" s="81"/>
    </row>
    <row r="34" spans="1:65">
      <c r="B34" s="80">
        <v>73</v>
      </c>
      <c r="C34" s="101" t="str">
        <f>IF(MasterSheet!$A$1=1,MasterSheet!C103,MasterSheet!B103)</f>
        <v xml:space="preserve">Primici od otplate kredita </v>
      </c>
      <c r="D34" s="152">
        <f>'Cental Budget'!D33+'Local Government'!D38</f>
        <v>776589.92</v>
      </c>
      <c r="E34" s="284">
        <f t="shared" si="0"/>
        <v>1.9624732639239868E-2</v>
      </c>
      <c r="F34" s="152">
        <f>+IF(ISNUMBER(VLOOKUP($B34,'Cental Budget'!$B$16:$K$76,'Public Expenditure'!F$1,FALSE)),VLOOKUP($B34,'Cental Budget'!$B$16:$K$76,'Public Expenditure'!F$1,FALSE),0)+IF(ISNUMBER(VLOOKUP('Public Expenditure'!$B34,'Local Government'!$B$16:$M$76,'Public Expenditure'!F$1,FALSE)),VLOOKUP('Public Expenditure'!$B34,'Local Government'!$B$16:$M$76,'Public Expenditure'!F$1,FALSE),0)</f>
        <v>433830.05676903774</v>
      </c>
      <c r="G34" s="284">
        <f t="shared" si="2"/>
        <v>1.0963056119706806E-2</v>
      </c>
      <c r="H34" s="205">
        <f t="shared" si="3"/>
        <v>342759.86323096231</v>
      </c>
      <c r="I34" s="290">
        <f t="shared" si="4"/>
        <v>79.007864458188209</v>
      </c>
      <c r="J34" s="152">
        <f>+IF(ISNUMBER(VLOOKUP($B34,'Cental Budget'!$B$16:$K$76,'Public Expenditure'!J$1,FALSE)),VLOOKUP($B34,'Cental Budget'!$B$16:$K$76,'Public Expenditure'!J$1,FALSE),0)+IF(ISNUMBER(VLOOKUP('Public Expenditure'!$B34,'Local Government'!$B$16:$M$76,'Public Expenditure'!J$1,FALSE)),VLOOKUP('Public Expenditure'!$B34,'Local Government'!$B$16:$M$76,'Public Expenditure'!J$1,FALSE),0)</f>
        <v>349880.75</v>
      </c>
      <c r="K34" s="284">
        <f t="shared" si="1"/>
        <v>9.2732772329711111E-3</v>
      </c>
      <c r="L34" s="205">
        <f t="shared" si="5"/>
        <v>426709.17000000004</v>
      </c>
      <c r="M34" s="290">
        <f t="shared" si="6"/>
        <v>121.9584587034297</v>
      </c>
      <c r="BG34" s="100"/>
      <c r="BH34" s="100"/>
      <c r="BI34" s="99"/>
      <c r="BJ34" s="143"/>
      <c r="BK34" s="143"/>
      <c r="BL34" s="143"/>
      <c r="BM34" s="140"/>
    </row>
    <row r="35" spans="1:65" ht="13.5" customHeight="1" thickBot="1">
      <c r="B35" s="80">
        <v>74</v>
      </c>
      <c r="C35" s="93" t="s">
        <v>122</v>
      </c>
      <c r="D35" s="152">
        <f>'Cental Budget'!D34+'Local Government'!D39</f>
        <v>4119162.43</v>
      </c>
      <c r="E35" s="284">
        <f>D35/D$11*100</f>
        <v>0.10409285429091278</v>
      </c>
      <c r="F35" s="152">
        <f>+IF(ISNUMBER(VLOOKUP($B35,'Cental Budget'!$B$16:$K$76,'Public Expenditure'!F$1,FALSE)),VLOOKUP($B35,'Cental Budget'!$B$16:$K$76,'Public Expenditure'!F$1,FALSE),0)+IF(ISNUMBER(VLOOKUP('Public Expenditure'!$B35,'Local Government'!$B$16:$M$76,'Public Expenditure'!F$1,FALSE)),VLOOKUP('Public Expenditure'!$B35,'Local Government'!$B$16:$M$76,'Public Expenditure'!F$1,FALSE),0)-185257.67</f>
        <v>3712988.7867368944</v>
      </c>
      <c r="G35" s="284">
        <f t="shared" si="2"/>
        <v>9.3828686615205062E-2</v>
      </c>
      <c r="H35" s="205">
        <f t="shared" si="3"/>
        <v>406173.64326310577</v>
      </c>
      <c r="I35" s="290">
        <f t="shared" si="4"/>
        <v>10.939263935134733</v>
      </c>
      <c r="J35" s="152">
        <f>+IF(ISNUMBER(VLOOKUP($B35,'Cental Budget'!$B$16:$K$76,'Public Expenditure'!J$1,FALSE)),VLOOKUP($B35,'Cental Budget'!$B$16:$K$76,'Public Expenditure'!J$1,FALSE),0)+IF(ISNUMBER(VLOOKUP('Public Expenditure'!$B35,'Local Government'!$B$16:$M$76,'Public Expenditure'!J$1,FALSE)),VLOOKUP('Public Expenditure'!$B35,'Local Government'!$B$16:$M$76,'Public Expenditure'!J$1,FALSE),0)-181625.17</f>
        <v>2318732.4900000002</v>
      </c>
      <c r="K35" s="284">
        <f>J35/J$11*100</f>
        <v>6.1455936655181558E-2</v>
      </c>
      <c r="L35" s="205">
        <f t="shared" si="5"/>
        <v>1800429.94</v>
      </c>
      <c r="M35" s="290">
        <f t="shared" si="6"/>
        <v>77.647160582978671</v>
      </c>
      <c r="BH35" s="159"/>
      <c r="BI35" s="159"/>
      <c r="BJ35" s="143"/>
      <c r="BK35" s="143"/>
      <c r="BL35" s="143"/>
      <c r="BM35" s="140"/>
    </row>
    <row r="36" spans="1:65" ht="15" customHeight="1" thickTop="1" thickBot="1">
      <c r="B36" s="102"/>
      <c r="C36" s="176" t="s">
        <v>234</v>
      </c>
      <c r="D36" s="171">
        <f>+D38+D49+D55+SUM(D58:D63)</f>
        <v>407340840.31999999</v>
      </c>
      <c r="E36" s="281">
        <f t="shared" si="0"/>
        <v>10.29366320428586</v>
      </c>
      <c r="F36" s="171">
        <f>+F38+F49+F55+SUM(F58:F63)</f>
        <v>460331312.05269998</v>
      </c>
      <c r="G36" s="281">
        <f t="shared" si="2"/>
        <v>11.632753261212473</v>
      </c>
      <c r="H36" s="171">
        <f t="shared" si="3"/>
        <v>-52990471.73269999</v>
      </c>
      <c r="I36" s="281">
        <f t="shared" si="4"/>
        <v>-11.511376772613175</v>
      </c>
      <c r="J36" s="171">
        <f>+J38+J49+J55+SUM(J58:J63)</f>
        <v>397482075.5</v>
      </c>
      <c r="K36" s="281">
        <f t="shared" si="1"/>
        <v>10.53490791147628</v>
      </c>
      <c r="L36" s="171">
        <f t="shared" si="5"/>
        <v>9858764.8199999928</v>
      </c>
      <c r="M36" s="281">
        <f t="shared" si="6"/>
        <v>2.4803042521096046</v>
      </c>
      <c r="BH36" s="81"/>
      <c r="BI36" s="81"/>
      <c r="BJ36" s="143"/>
      <c r="BK36" s="143"/>
      <c r="BL36" s="143"/>
      <c r="BM36" s="140"/>
    </row>
    <row r="37" spans="1:65" ht="13.5" customHeight="1" thickTop="1" thickBot="1">
      <c r="C37" s="176" t="s">
        <v>125</v>
      </c>
      <c r="D37" s="171">
        <f>+D36-D58</f>
        <v>392323457.00999999</v>
      </c>
      <c r="E37" s="281">
        <f t="shared" si="0"/>
        <v>9.9141680230971385</v>
      </c>
      <c r="F37" s="171">
        <f>+F36-F58</f>
        <v>411551845.20609999</v>
      </c>
      <c r="G37" s="281">
        <f t="shared" si="2"/>
        <v>10.400076953555544</v>
      </c>
      <c r="H37" s="171">
        <f t="shared" si="3"/>
        <v>-19228388.196099997</v>
      </c>
      <c r="I37" s="281">
        <f t="shared" si="4"/>
        <v>-4.672166683269424</v>
      </c>
      <c r="J37" s="171">
        <f>+J36-J58</f>
        <v>389495383.18000001</v>
      </c>
      <c r="K37" s="281">
        <f t="shared" si="1"/>
        <v>10.32322775457196</v>
      </c>
      <c r="L37" s="171">
        <f t="shared" si="5"/>
        <v>2828073.8299999833</v>
      </c>
      <c r="M37" s="281">
        <f t="shared" si="6"/>
        <v>0.72608661158200505</v>
      </c>
      <c r="BH37" s="159"/>
      <c r="BI37" s="159"/>
      <c r="BJ37" s="143"/>
      <c r="BK37" s="143"/>
      <c r="BL37" s="143"/>
      <c r="BM37" s="140"/>
    </row>
    <row r="38" spans="1:65" ht="13.5" customHeight="1" thickTop="1">
      <c r="A38" s="80">
        <v>41</v>
      </c>
      <c r="B38" s="80">
        <v>41</v>
      </c>
      <c r="C38" s="93" t="s">
        <v>62</v>
      </c>
      <c r="D38" s="94">
        <f>+SUM(D39:D48)</f>
        <v>203262373.06</v>
      </c>
      <c r="E38" s="284">
        <f t="shared" si="0"/>
        <v>5.1365200914788236</v>
      </c>
      <c r="F38" s="94">
        <f>+SUM(F39:F48)</f>
        <v>205947062.11409998</v>
      </c>
      <c r="G38" s="284">
        <f t="shared" si="2"/>
        <v>5.2043632395153132</v>
      </c>
      <c r="H38" s="203">
        <f t="shared" si="3"/>
        <v>-2684689.054099977</v>
      </c>
      <c r="I38" s="290">
        <f t="shared" si="4"/>
        <v>-1.3035821082082748</v>
      </c>
      <c r="J38" s="94">
        <f>+SUM(J39:J48)</f>
        <v>181699500.73999998</v>
      </c>
      <c r="K38" s="284">
        <f t="shared" si="1"/>
        <v>4.815783216008481</v>
      </c>
      <c r="L38" s="203">
        <f t="shared" si="5"/>
        <v>21562872.320000023</v>
      </c>
      <c r="M38" s="290">
        <f t="shared" si="6"/>
        <v>11.867326124827969</v>
      </c>
      <c r="BH38" s="159"/>
      <c r="BI38" s="159"/>
      <c r="BJ38" s="143"/>
      <c r="BK38" s="143"/>
      <c r="BL38" s="143"/>
      <c r="BM38" s="140"/>
    </row>
    <row r="39" spans="1:65" ht="13.5" customHeight="1">
      <c r="B39" s="80">
        <v>411</v>
      </c>
      <c r="C39" s="93" t="s">
        <v>63</v>
      </c>
      <c r="D39" s="152">
        <f>'Cental Budget'!D38+'Local Government'!D43</f>
        <v>117694133.85000001</v>
      </c>
      <c r="E39" s="284">
        <f t="shared" si="0"/>
        <v>2.9741770405842516</v>
      </c>
      <c r="F39" s="152">
        <f>+IF(ISNUMBER(VLOOKUP($B39,'Cental Budget'!$B$16:$K$76,'Public Expenditure'!F$1,FALSE)),VLOOKUP($B39,'Cental Budget'!$B$16:$K$76,'Public Expenditure'!F$1,FALSE),0)+IF(ISNUMBER(VLOOKUP('Public Expenditure'!$B39,'Local Government'!$B$16:$M$76,'Public Expenditure'!F$1,FALSE)),VLOOKUP('Public Expenditure'!$B39,'Local Government'!$B$16:$M$76,'Public Expenditure'!F$1,FALSE),0)</f>
        <v>115766047.54499997</v>
      </c>
      <c r="G39" s="284">
        <f t="shared" si="2"/>
        <v>2.9254535415192553</v>
      </c>
      <c r="H39" s="205">
        <f t="shared" si="3"/>
        <v>1928086.305000037</v>
      </c>
      <c r="I39" s="290">
        <f t="shared" si="4"/>
        <v>1.6655024041056379</v>
      </c>
      <c r="J39" s="152">
        <f>+IF(ISNUMBER(VLOOKUP($B39,'Cental Budget'!$B$16:$K$76,'Public Expenditure'!J$1,FALSE)),VLOOKUP($B39,'Cental Budget'!$B$16:$K$76,'Public Expenditure'!J$1,FALSE),0)+IF(ISNUMBER(VLOOKUP('Public Expenditure'!$B39,'Local Government'!$B$16:$M$76,'Public Expenditure'!J$1,FALSE)),VLOOKUP('Public Expenditure'!$B39,'Local Government'!$B$16:$M$76,'Public Expenditure'!J$1,FALSE),0)</f>
        <v>104522292.21999998</v>
      </c>
      <c r="K39" s="284">
        <f t="shared" si="1"/>
        <v>2.7702701357010331</v>
      </c>
      <c r="L39" s="205">
        <f t="shared" si="5"/>
        <v>13171841.630000025</v>
      </c>
      <c r="M39" s="290">
        <f t="shared" si="6"/>
        <v>12.601944858112901</v>
      </c>
      <c r="BH39" s="159"/>
      <c r="BI39" s="159"/>
      <c r="BJ39" s="143"/>
      <c r="BK39" s="143"/>
      <c r="BL39" s="143"/>
      <c r="BM39" s="140"/>
    </row>
    <row r="40" spans="1:65" ht="13.5" customHeight="1">
      <c r="B40" s="80">
        <v>412</v>
      </c>
      <c r="C40" s="93" t="s">
        <v>74</v>
      </c>
      <c r="D40" s="152">
        <f>'Cental Budget'!D39+'Local Government'!D44</f>
        <v>2426111.06</v>
      </c>
      <c r="E40" s="284">
        <f t="shared" si="0"/>
        <v>6.1308780450823816E-2</v>
      </c>
      <c r="F40" s="152">
        <f>+IF(ISNUMBER(VLOOKUP($B40,'Cental Budget'!$B$16:$K$76,'Public Expenditure'!F$1,FALSE)),VLOOKUP($B40,'Cental Budget'!$B$16:$K$76,'Public Expenditure'!F$1,FALSE),0)+IF(ISNUMBER(VLOOKUP('Public Expenditure'!$B40,'Local Government'!$B$16:$M$76,'Public Expenditure'!F$1,FALSE)),VLOOKUP('Public Expenditure'!$B40,'Local Government'!$B$16:$M$76,'Public Expenditure'!F$1,FALSE),0)</f>
        <v>3747036.7425000002</v>
      </c>
      <c r="G40" s="284">
        <f t="shared" si="2"/>
        <v>9.4689091845244114E-2</v>
      </c>
      <c r="H40" s="205">
        <f t="shared" si="3"/>
        <v>-1320925.6825000001</v>
      </c>
      <c r="I40" s="290">
        <f t="shared" si="4"/>
        <v>-35.252541495461458</v>
      </c>
      <c r="J40" s="152">
        <f>+IF(ISNUMBER(VLOOKUP($B40,'Cental Budget'!$B$16:$K$76,'Public Expenditure'!J$1,FALSE)),VLOOKUP($B40,'Cental Budget'!$B$16:$K$76,'Public Expenditure'!J$1,FALSE),0)+IF(ISNUMBER(VLOOKUP('Public Expenditure'!$B40,'Local Government'!$B$16:$M$76,'Public Expenditure'!J$1,FALSE)),VLOOKUP('Public Expenditure'!$B40,'Local Government'!$B$16:$M$76,'Public Expenditure'!J$1,FALSE),0)</f>
        <v>4591208.41</v>
      </c>
      <c r="K40" s="284">
        <f t="shared" si="1"/>
        <v>0.12168588417704744</v>
      </c>
      <c r="L40" s="205">
        <f t="shared" si="5"/>
        <v>-2165097.35</v>
      </c>
      <c r="M40" s="290">
        <f t="shared" si="6"/>
        <v>-47.157461754170292</v>
      </c>
      <c r="BH40" s="159"/>
      <c r="BI40" s="159"/>
      <c r="BJ40" s="143"/>
      <c r="BK40" s="143"/>
      <c r="BL40" s="143"/>
      <c r="BM40" s="140"/>
    </row>
    <row r="41" spans="1:65" ht="13.5" customHeight="1">
      <c r="B41" s="80">
        <v>413</v>
      </c>
      <c r="C41" s="93" t="s">
        <v>428</v>
      </c>
      <c r="D41" s="152">
        <f>'Cental Budget'!D40+'Local Government'!D45</f>
        <v>7476353.6300000008</v>
      </c>
      <c r="E41" s="284">
        <f t="shared" si="0"/>
        <v>0.1889303959870616</v>
      </c>
      <c r="F41" s="152">
        <f>+IF(ISNUMBER(VLOOKUP($B41,'Cental Budget'!$B$16:$K$76,'Public Expenditure'!F$1,FALSE)),VLOOKUP($B41,'Cental Budget'!$B$16:$K$76,'Public Expenditure'!F$1,FALSE),0)+IF(ISNUMBER(VLOOKUP('Public Expenditure'!$B41,'Local Government'!$B$16:$M$76,'Public Expenditure'!F$1,FALSE)),VLOOKUP('Public Expenditure'!$B41,'Local Government'!$B$16:$M$76,'Public Expenditure'!F$1,FALSE),0)</f>
        <v>6919422.5800000001</v>
      </c>
      <c r="G41" s="284">
        <f t="shared" si="2"/>
        <v>0.17485652936419691</v>
      </c>
      <c r="H41" s="205">
        <f t="shared" si="3"/>
        <v>556931.05000000075</v>
      </c>
      <c r="I41" s="290">
        <f t="shared" si="4"/>
        <v>8.0488081709269039</v>
      </c>
      <c r="J41" s="152">
        <f>+IF(ISNUMBER(VLOOKUP($B41,'Cental Budget'!$B$16:$K$76,'Public Expenditure'!J$1,FALSE)),VLOOKUP($B41,'Cental Budget'!$B$16:$K$76,'Public Expenditure'!J$1,FALSE),0)+IF(ISNUMBER(VLOOKUP('Public Expenditure'!$B41,'Local Government'!$B$16:$M$76,'Public Expenditure'!J$1,FALSE)),VLOOKUP('Public Expenditure'!$B41,'Local Government'!$B$16:$M$76,'Public Expenditure'!J$1,FALSE),0)</f>
        <v>7036824.3200000003</v>
      </c>
      <c r="K41" s="284">
        <f t="shared" si="1"/>
        <v>0.18650475271667111</v>
      </c>
      <c r="L41" s="205">
        <f t="shared" si="5"/>
        <v>439529.31000000052</v>
      </c>
      <c r="M41" s="290">
        <f t="shared" si="6"/>
        <v>6.24613163569785</v>
      </c>
      <c r="BH41" s="159"/>
      <c r="BI41" s="159"/>
      <c r="BJ41" s="143"/>
      <c r="BK41" s="143"/>
      <c r="BL41" s="143"/>
      <c r="BM41" s="140"/>
    </row>
    <row r="42" spans="1:65" ht="13.5" customHeight="1">
      <c r="B42" s="80">
        <v>414</v>
      </c>
      <c r="C42" s="93" t="s">
        <v>429</v>
      </c>
      <c r="D42" s="152">
        <f>'Cental Budget'!D41+'Local Government'!D46</f>
        <v>12969632.170000002</v>
      </c>
      <c r="E42" s="284">
        <f t="shared" si="0"/>
        <v>0.32774770469018505</v>
      </c>
      <c r="F42" s="152">
        <f>+IF(ISNUMBER(VLOOKUP($B42,'Cental Budget'!$B$16:$K$76,'Public Expenditure'!F$1,FALSE)),VLOOKUP($B42,'Cental Budget'!$B$16:$K$76,'Public Expenditure'!F$1,FALSE),0)+IF(ISNUMBER(VLOOKUP('Public Expenditure'!$B42,'Local Government'!$B$16:$M$76,'Public Expenditure'!F$1,FALSE)),VLOOKUP('Public Expenditure'!$B42,'Local Government'!$B$16:$M$76,'Public Expenditure'!F$1,FALSE),0)</f>
        <v>11772644.6598</v>
      </c>
      <c r="G42" s="284">
        <f t="shared" si="2"/>
        <v>0.29749935964318208</v>
      </c>
      <c r="H42" s="205">
        <f t="shared" si="3"/>
        <v>1196987.5102000013</v>
      </c>
      <c r="I42" s="290">
        <f t="shared" si="4"/>
        <v>10.167532825375673</v>
      </c>
      <c r="J42" s="152">
        <f>+IF(ISNUMBER(VLOOKUP($B42,'Cental Budget'!$B$16:$K$76,'Public Expenditure'!J$1,FALSE)),VLOOKUP($B42,'Cental Budget'!$B$16:$K$76,'Public Expenditure'!J$1,FALSE),0)+IF(ISNUMBER(VLOOKUP('Public Expenditure'!$B42,'Local Government'!$B$16:$M$76,'Public Expenditure'!J$1,FALSE)),VLOOKUP('Public Expenditure'!$B42,'Local Government'!$B$16:$M$76,'Public Expenditure'!J$1,FALSE),0)</f>
        <v>12058167.5</v>
      </c>
      <c r="K42" s="284">
        <f t="shared" si="1"/>
        <v>0.31959097535117942</v>
      </c>
      <c r="L42" s="205">
        <f t="shared" si="5"/>
        <v>911464.67000000179</v>
      </c>
      <c r="M42" s="290">
        <f t="shared" si="6"/>
        <v>7.5588987298443158</v>
      </c>
      <c r="BH42" s="159"/>
      <c r="BI42" s="159"/>
      <c r="BJ42" s="143"/>
      <c r="BK42" s="143"/>
      <c r="BL42" s="143"/>
      <c r="BM42" s="140"/>
    </row>
    <row r="43" spans="1:65" ht="13.5" customHeight="1">
      <c r="B43" s="80">
        <v>415</v>
      </c>
      <c r="C43" s="93" t="s">
        <v>430</v>
      </c>
      <c r="D43" s="152">
        <f>'Cental Budget'!D42+'Local Government'!D47</f>
        <v>3273097.32</v>
      </c>
      <c r="E43" s="284">
        <f t="shared" si="0"/>
        <v>8.2712456282219737E-2</v>
      </c>
      <c r="F43" s="152">
        <f>+IF(ISNUMBER(VLOOKUP($B43,'Cental Budget'!$B$16:$K$76,'Public Expenditure'!F$1,FALSE)),VLOOKUP($B43,'Cental Budget'!$B$16:$K$76,'Public Expenditure'!F$1,FALSE),0)+IF(ISNUMBER(VLOOKUP('Public Expenditure'!$B43,'Local Government'!$B$16:$M$76,'Public Expenditure'!F$1,FALSE)),VLOOKUP('Public Expenditure'!$B43,'Local Government'!$B$16:$M$76,'Public Expenditure'!F$1,FALSE),0)</f>
        <v>4855635.8681999994</v>
      </c>
      <c r="G43" s="284">
        <f t="shared" si="2"/>
        <v>0.1227038276609724</v>
      </c>
      <c r="H43" s="205">
        <f t="shared" si="3"/>
        <v>-1582538.5481999996</v>
      </c>
      <c r="I43" s="290">
        <f t="shared" si="4"/>
        <v>-32.591787999676598</v>
      </c>
      <c r="J43" s="152">
        <f>+IF(ISNUMBER(VLOOKUP($B43,'Cental Budget'!$B$16:$K$76,'Public Expenditure'!J$1,FALSE)),VLOOKUP($B43,'Cental Budget'!$B$16:$K$76,'Public Expenditure'!J$1,FALSE),0)+IF(ISNUMBER(VLOOKUP('Public Expenditure'!$B43,'Local Government'!$B$16:$M$76,'Public Expenditure'!J$1,FALSE)),VLOOKUP('Public Expenditure'!$B43,'Local Government'!$B$16:$M$76,'Public Expenditure'!J$1,FALSE),0)</f>
        <v>2897615.5900000003</v>
      </c>
      <c r="K43" s="284">
        <f t="shared" si="1"/>
        <v>7.6798716936125111E-2</v>
      </c>
      <c r="L43" s="205">
        <f t="shared" si="5"/>
        <v>375481.72999999952</v>
      </c>
      <c r="M43" s="290">
        <f t="shared" si="6"/>
        <v>12.958300310635735</v>
      </c>
      <c r="BH43" s="159"/>
      <c r="BI43" s="159"/>
      <c r="BJ43" s="143"/>
      <c r="BK43" s="143"/>
      <c r="BL43" s="143"/>
      <c r="BM43" s="140"/>
    </row>
    <row r="44" spans="1:65" ht="13.5" customHeight="1">
      <c r="B44" s="80">
        <v>416</v>
      </c>
      <c r="C44" s="93" t="s">
        <v>79</v>
      </c>
      <c r="D44" s="152">
        <f>'Cental Budget'!D43+'Local Government'!D48</f>
        <v>44579765.509999998</v>
      </c>
      <c r="E44" s="284">
        <f t="shared" si="0"/>
        <v>1.1265482035277468</v>
      </c>
      <c r="F44" s="152">
        <f>+IF(ISNUMBER(VLOOKUP($B44,'Cental Budget'!$B$16:$K$76,'Public Expenditure'!F$1,FALSE)),VLOOKUP($B44,'Cental Budget'!$B$16:$K$76,'Public Expenditure'!F$1,FALSE),0)+IF(ISNUMBER(VLOOKUP('Public Expenditure'!$B44,'Local Government'!$B$16:$M$76,'Public Expenditure'!F$1,FALSE)),VLOOKUP('Public Expenditure'!$B44,'Local Government'!$B$16:$M$76,'Public Expenditure'!F$1,FALSE),0)</f>
        <v>41354039.849399999</v>
      </c>
      <c r="G44" s="284">
        <f t="shared" si="2"/>
        <v>1.0450328477054482</v>
      </c>
      <c r="H44" s="205">
        <f t="shared" si="3"/>
        <v>3225725.6605999991</v>
      </c>
      <c r="I44" s="290">
        <f t="shared" si="4"/>
        <v>7.8002673314317121</v>
      </c>
      <c r="J44" s="152">
        <f>+IF(ISNUMBER(VLOOKUP($B44,'Cental Budget'!$B$16:$K$76,'Public Expenditure'!J$1,FALSE)),VLOOKUP($B44,'Cental Budget'!$B$16:$K$76,'Public Expenditure'!J$1,FALSE),0)+IF(ISNUMBER(VLOOKUP('Public Expenditure'!$B44,'Local Government'!$B$16:$M$76,'Public Expenditure'!J$1,FALSE)),VLOOKUP('Public Expenditure'!$B44,'Local Government'!$B$16:$M$76,'Public Expenditure'!J$1,FALSE),0)</f>
        <v>32302437.109999996</v>
      </c>
      <c r="K44" s="284">
        <f t="shared" si="1"/>
        <v>0.85614728624436776</v>
      </c>
      <c r="L44" s="205">
        <f t="shared" si="5"/>
        <v>12277328.400000002</v>
      </c>
      <c r="M44" s="290">
        <f t="shared" si="6"/>
        <v>38.007436894596594</v>
      </c>
      <c r="BH44" s="159"/>
      <c r="BI44" s="159"/>
      <c r="BJ44" s="143"/>
      <c r="BK44" s="143"/>
      <c r="BL44" s="143"/>
      <c r="BM44" s="140"/>
    </row>
    <row r="45" spans="1:65" ht="13.5" customHeight="1">
      <c r="B45" s="80">
        <v>417</v>
      </c>
      <c r="C45" s="93" t="s">
        <v>81</v>
      </c>
      <c r="D45" s="152">
        <f>'Cental Budget'!D44+'Local Government'!D49</f>
        <v>1860343.09</v>
      </c>
      <c r="E45" s="284">
        <f t="shared" si="0"/>
        <v>4.7011601384817553E-2</v>
      </c>
      <c r="F45" s="152">
        <f>+IF(ISNUMBER(VLOOKUP($B45,'Cental Budget'!$B$16:$K$76,'Public Expenditure'!F$1,FALSE)),VLOOKUP($B45,'Cental Budget'!$B$16:$K$76,'Public Expenditure'!F$1,FALSE),0)+IF(ISNUMBER(VLOOKUP('Public Expenditure'!$B45,'Local Government'!$B$16:$M$76,'Public Expenditure'!F$1,FALSE)),VLOOKUP('Public Expenditure'!$B45,'Local Government'!$B$16:$M$76,'Public Expenditure'!F$1,FALSE),0)</f>
        <v>2392202.2141999998</v>
      </c>
      <c r="G45" s="284">
        <f t="shared" si="2"/>
        <v>6.0451890584251489E-2</v>
      </c>
      <c r="H45" s="205">
        <f t="shared" si="3"/>
        <v>-531859.12419999973</v>
      </c>
      <c r="I45" s="290">
        <f t="shared" si="4"/>
        <v>-22.233033689330654</v>
      </c>
      <c r="J45" s="152">
        <f>+IF(ISNUMBER(VLOOKUP($B45,'Cental Budget'!$B$16:$K$76,'Public Expenditure'!J$1,FALSE)),VLOOKUP($B45,'Cental Budget'!$B$16:$K$76,'Public Expenditure'!J$1,FALSE),0)+IF(ISNUMBER(VLOOKUP('Public Expenditure'!$B45,'Local Government'!$B$16:$M$76,'Public Expenditure'!J$1,FALSE)),VLOOKUP('Public Expenditure'!$B45,'Local Government'!$B$16:$M$76,'Public Expenditure'!J$1,FALSE),0)</f>
        <v>2583680.5999999996</v>
      </c>
      <c r="K45" s="284">
        <f t="shared" si="1"/>
        <v>6.847815001325204E-2</v>
      </c>
      <c r="L45" s="205">
        <f t="shared" si="5"/>
        <v>-723337.50999999954</v>
      </c>
      <c r="M45" s="290">
        <f t="shared" si="6"/>
        <v>-27.996398239008329</v>
      </c>
      <c r="BH45" s="159"/>
      <c r="BI45" s="159"/>
      <c r="BJ45" s="143"/>
      <c r="BK45" s="143"/>
      <c r="BL45" s="143"/>
      <c r="BM45" s="140"/>
    </row>
    <row r="46" spans="1:65" ht="13.5" customHeight="1">
      <c r="B46" s="80">
        <v>418</v>
      </c>
      <c r="C46" s="93" t="s">
        <v>83</v>
      </c>
      <c r="D46" s="152">
        <f>'Cental Budget'!D45+'Local Government'!D50</f>
        <v>3215088.8600000003</v>
      </c>
      <c r="E46" s="284">
        <f t="shared" si="0"/>
        <v>8.1246559688668757E-2</v>
      </c>
      <c r="F46" s="152">
        <f>+IF(ISNUMBER(VLOOKUP($B46,'Cental Budget'!$B$16:$K$76,'Public Expenditure'!F$1,FALSE)),VLOOKUP($B46,'Cental Budget'!$B$16:$K$76,'Public Expenditure'!F$1,FALSE),0)+IF(ISNUMBER(VLOOKUP('Public Expenditure'!$B46,'Local Government'!$B$16:$M$76,'Public Expenditure'!F$1,FALSE)),VLOOKUP('Public Expenditure'!$B46,'Local Government'!$B$16:$M$76,'Public Expenditure'!F$1,FALSE),0)</f>
        <v>5042651.6742000002</v>
      </c>
      <c r="G46" s="284">
        <f t="shared" si="2"/>
        <v>0.12742979061457599</v>
      </c>
      <c r="H46" s="205">
        <f t="shared" si="3"/>
        <v>-1827562.8141999999</v>
      </c>
      <c r="I46" s="290">
        <f t="shared" si="4"/>
        <v>-36.242099043851496</v>
      </c>
      <c r="J46" s="152">
        <f>+IF(ISNUMBER(VLOOKUP($B46,'Cental Budget'!$B$16:$K$76,'Public Expenditure'!J$1,FALSE)),VLOOKUP($B46,'Cental Budget'!$B$16:$K$76,'Public Expenditure'!J$1,FALSE),0)+IF(ISNUMBER(VLOOKUP('Public Expenditure'!$B46,'Local Government'!$B$16:$M$76,'Public Expenditure'!J$1,FALSE)),VLOOKUP('Public Expenditure'!$B46,'Local Government'!$B$16:$M$76,'Public Expenditure'!J$1,FALSE),0)</f>
        <v>3235086.49</v>
      </c>
      <c r="K46" s="284">
        <f t="shared" si="1"/>
        <v>8.5743082162735226E-2</v>
      </c>
      <c r="L46" s="205">
        <f t="shared" si="5"/>
        <v>-19997.629999999888</v>
      </c>
      <c r="M46" s="290">
        <f t="shared" si="6"/>
        <v>-0.61814823380503015</v>
      </c>
      <c r="BH46" s="159"/>
      <c r="BI46" s="159"/>
      <c r="BJ46" s="143"/>
      <c r="BK46" s="143"/>
      <c r="BL46" s="143"/>
      <c r="BM46" s="140"/>
    </row>
    <row r="47" spans="1:65" ht="13.5" customHeight="1">
      <c r="B47" s="80">
        <v>419</v>
      </c>
      <c r="C47" s="93" t="s">
        <v>85</v>
      </c>
      <c r="D47" s="152">
        <f>'Cental Budget'!D46+'Local Government'!D51</f>
        <v>6835821.6699999999</v>
      </c>
      <c r="E47" s="284">
        <f t="shared" si="0"/>
        <v>0.17274390149600727</v>
      </c>
      <c r="F47" s="152">
        <f>+IF(ISNUMBER(VLOOKUP($B47,'Cental Budget'!$B$16:$K$76,'Public Expenditure'!F$1,FALSE)),VLOOKUP($B47,'Cental Budget'!$B$16:$K$76,'Public Expenditure'!F$1,FALSE),0)+IF(ISNUMBER(VLOOKUP('Public Expenditure'!$B47,'Local Government'!$B$16:$M$76,'Public Expenditure'!F$1,FALSE)),VLOOKUP('Public Expenditure'!$B47,'Local Government'!$B$16:$M$76,'Public Expenditure'!F$1,FALSE),0)</f>
        <v>6875996.3207999999</v>
      </c>
      <c r="G47" s="284">
        <f t="shared" si="2"/>
        <v>0.17375913071868998</v>
      </c>
      <c r="H47" s="205">
        <f t="shared" si="3"/>
        <v>-40174.650799999945</v>
      </c>
      <c r="I47" s="290">
        <f t="shared" si="4"/>
        <v>-0.5842738844765023</v>
      </c>
      <c r="J47" s="152">
        <f>+IF(ISNUMBER(VLOOKUP($B47,'Cental Budget'!$B$16:$K$76,'Public Expenditure'!J$1,FALSE)),VLOOKUP($B47,'Cental Budget'!$B$16:$K$76,'Public Expenditure'!J$1,FALSE),0)+IF(ISNUMBER(VLOOKUP('Public Expenditure'!$B47,'Local Government'!$B$16:$M$76,'Public Expenditure'!J$1,FALSE)),VLOOKUP('Public Expenditure'!$B47,'Local Government'!$B$16:$M$76,'Public Expenditure'!J$1,FALSE),0)</f>
        <v>7803967.4200000009</v>
      </c>
      <c r="K47" s="284">
        <f t="shared" si="1"/>
        <v>0.20683719639544132</v>
      </c>
      <c r="L47" s="205">
        <f t="shared" si="5"/>
        <v>-968145.75000000093</v>
      </c>
      <c r="M47" s="290">
        <f t="shared" si="6"/>
        <v>-12.405814861795022</v>
      </c>
      <c r="BH47" s="159"/>
      <c r="BI47" s="159"/>
      <c r="BJ47" s="143"/>
      <c r="BK47" s="143"/>
      <c r="BL47" s="143"/>
      <c r="BM47" s="140"/>
    </row>
    <row r="48" spans="1:65" ht="13.5" customHeight="1">
      <c r="B48" s="80">
        <v>441</v>
      </c>
      <c r="C48" s="93" t="s">
        <v>129</v>
      </c>
      <c r="D48" s="152">
        <f>'Cental Budget'!D47</f>
        <v>2932025.9</v>
      </c>
      <c r="E48" s="284">
        <f t="shared" si="0"/>
        <v>7.409344738704135E-2</v>
      </c>
      <c r="F48" s="152">
        <f>+IF(ISNUMBER(VLOOKUP($B48,'Cental Budget'!$B$16:$K$76,'Public Expenditure'!F$1,FALSE)),VLOOKUP($B48,'Cental Budget'!$B$16:$K$76,'Public Expenditure'!F$1,FALSE),0)+IF(ISNUMBER(VLOOKUP('Public Expenditure'!$B48,'Local Government'!$B$16:$M$76,'Public Expenditure'!F$1,FALSE)),VLOOKUP('Public Expenditure'!$B48,'Local Government'!$B$16:$M$76,'Public Expenditure'!F$1,FALSE),0)</f>
        <v>7221384.6600000001</v>
      </c>
      <c r="G48" s="284">
        <f t="shared" si="2"/>
        <v>0.18248722985949661</v>
      </c>
      <c r="H48" s="205">
        <f>+D48-F48</f>
        <v>-4289358.76</v>
      </c>
      <c r="I48" s="290">
        <f t="shared" si="4"/>
        <v>-59.398009688629436</v>
      </c>
      <c r="J48" s="152">
        <f>+IF(ISNUMBER(VLOOKUP($B48,'Cental Budget'!$B$16:$K$76,'Public Expenditure'!J$1,FALSE)),VLOOKUP($B48,'Cental Budget'!$B$16:$K$76,'Public Expenditure'!J$1,FALSE),0)+IF(ISNUMBER(VLOOKUP('Public Expenditure'!$B48,'Local Government'!$B$16:$M$76,'Public Expenditure'!J$1,FALSE)),VLOOKUP('Public Expenditure'!$B48,'Local Government'!$B$16:$M$76,'Public Expenditure'!J$1,FALSE),0)</f>
        <v>4668221.08</v>
      </c>
      <c r="K48" s="284">
        <f t="shared" si="1"/>
        <v>0.12372703631062815</v>
      </c>
      <c r="L48" s="205">
        <f t="shared" si="5"/>
        <v>-1736195.1800000002</v>
      </c>
      <c r="M48" s="290">
        <f t="shared" si="6"/>
        <v>-37.191794266950183</v>
      </c>
      <c r="BH48" s="159"/>
      <c r="BI48" s="159"/>
      <c r="BJ48" s="143"/>
      <c r="BK48" s="143"/>
      <c r="BL48" s="143"/>
      <c r="BM48" s="140"/>
    </row>
    <row r="49" spans="1:65" ht="13.5" customHeight="1">
      <c r="A49" s="80">
        <v>42</v>
      </c>
      <c r="B49" s="80">
        <v>42</v>
      </c>
      <c r="C49" s="93" t="s">
        <v>86</v>
      </c>
      <c r="D49" s="94">
        <f>'Cental Budget'!D48+'Local Government'!D52</f>
        <v>136740876.13999999</v>
      </c>
      <c r="E49" s="284">
        <f t="shared" si="0"/>
        <v>3.4554957075710093</v>
      </c>
      <c r="F49" s="94">
        <f>+IF(ISNUMBER(VLOOKUP($B49,'Cental Budget'!$B$16:$K$76,'Public Expenditure'!F$1,FALSE)),VLOOKUP($B49,'Cental Budget'!$B$16:$K$76,'Public Expenditure'!F$1,FALSE),0)+IF(ISNUMBER(VLOOKUP('Public Expenditure'!$B49,'Local Government'!$B$16:$M$76,'Public Expenditure'!F$1,FALSE)),VLOOKUP('Public Expenditure'!$B49,'Local Government'!$B$16:$M$76,'Public Expenditure'!F$1,FALSE),0)</f>
        <v>142729526.25</v>
      </c>
      <c r="G49" s="284">
        <f t="shared" si="2"/>
        <v>3.6068312506317599</v>
      </c>
      <c r="H49" s="203">
        <f t="shared" si="3"/>
        <v>-5988650.1100000143</v>
      </c>
      <c r="I49" s="290">
        <f t="shared" si="4"/>
        <v>-4.1958032562306045</v>
      </c>
      <c r="J49" s="94">
        <f>+IF(ISNUMBER(VLOOKUP($B49,'Cental Budget'!$B$16:$K$76,'Public Expenditure'!J$1,FALSE)),VLOOKUP($B49,'Cental Budget'!$B$16:$K$76,'Public Expenditure'!J$1,FALSE),0)+IF(ISNUMBER(VLOOKUP('Public Expenditure'!$B49,'Local Government'!$B$16:$M$76,'Public Expenditure'!J$1,FALSE)),VLOOKUP('Public Expenditure'!$B49,'Local Government'!$B$16:$M$76,'Public Expenditure'!J$1,FALSE),0)</f>
        <v>129274435.21999998</v>
      </c>
      <c r="K49" s="284">
        <f t="shared" si="1"/>
        <v>3.4263036103896098</v>
      </c>
      <c r="L49" s="203">
        <f t="shared" si="5"/>
        <v>7466440.9200000018</v>
      </c>
      <c r="M49" s="290">
        <f t="shared" si="6"/>
        <v>5.7756515488105435</v>
      </c>
      <c r="BH49" s="159"/>
      <c r="BI49" s="159"/>
      <c r="BJ49" s="143"/>
      <c r="BK49" s="143"/>
      <c r="BL49" s="143"/>
      <c r="BM49" s="140"/>
    </row>
    <row r="50" spans="1:65" ht="13.5" customHeight="1">
      <c r="B50" s="80">
        <v>421</v>
      </c>
      <c r="C50" s="97" t="s">
        <v>88</v>
      </c>
      <c r="D50" s="154">
        <f>'Cental Budget'!D49+'Local Government'!D53</f>
        <v>29813001.75</v>
      </c>
      <c r="E50" s="283">
        <f t="shared" si="0"/>
        <v>0.75338627691296878</v>
      </c>
      <c r="F50" s="154">
        <f>+IF(ISNUMBER(VLOOKUP($B50,'Cental Budget'!$B$16:$K$76,'Public Expenditure'!F$1,FALSE)),VLOOKUP($B50,'Cental Budget'!$B$16:$K$76,'Public Expenditure'!F$1,FALSE),0)+IF(ISNUMBER(VLOOKUP('Public Expenditure'!$B50,'Local Government'!$B$16:$M$76,'Public Expenditure'!F$1,FALSE)),VLOOKUP('Public Expenditure'!$B50,'Local Government'!$B$16:$M$76,'Public Expenditure'!F$1,FALSE),0)</f>
        <v>28711372.054400001</v>
      </c>
      <c r="G50" s="283">
        <f t="shared" si="2"/>
        <v>0.72554766133629844</v>
      </c>
      <c r="H50" s="206">
        <f t="shared" si="3"/>
        <v>1101629.6955999993</v>
      </c>
      <c r="I50" s="289">
        <f t="shared" si="4"/>
        <v>3.8369106621331923</v>
      </c>
      <c r="J50" s="154">
        <f>+IF(ISNUMBER(VLOOKUP($B50,'Cental Budget'!$B$16:$K$76,'Public Expenditure'!J$1,FALSE)),VLOOKUP($B50,'Cental Budget'!$B$16:$K$76,'Public Expenditure'!J$1,FALSE),0)+IF(ISNUMBER(VLOOKUP('Public Expenditure'!$B50,'Local Government'!$B$16:$M$76,'Public Expenditure'!J$1,FALSE)),VLOOKUP('Public Expenditure'!$B50,'Local Government'!$B$16:$M$76,'Public Expenditure'!J$1,FALSE),0)</f>
        <v>20844091.219999999</v>
      </c>
      <c r="K50" s="283">
        <f t="shared" si="1"/>
        <v>0.55245404770739459</v>
      </c>
      <c r="L50" s="206">
        <f t="shared" si="5"/>
        <v>8968910.5300000012</v>
      </c>
      <c r="M50" s="289">
        <f t="shared" si="6"/>
        <v>43.028551522525902</v>
      </c>
      <c r="BH50" s="159"/>
      <c r="BI50" s="159"/>
      <c r="BJ50" s="143"/>
      <c r="BK50" s="143"/>
      <c r="BL50" s="143"/>
      <c r="BM50" s="140"/>
    </row>
    <row r="51" spans="1:65" ht="13.5" customHeight="1">
      <c r="B51" s="80">
        <v>422</v>
      </c>
      <c r="C51" s="97" t="s">
        <v>90</v>
      </c>
      <c r="D51" s="154">
        <f>'Cental Budget'!D50</f>
        <v>2264022.77</v>
      </c>
      <c r="E51" s="283">
        <f t="shared" si="0"/>
        <v>5.7212745628221977E-2</v>
      </c>
      <c r="F51" s="154">
        <f>+IF(ISNUMBER(VLOOKUP($B51,'Cental Budget'!$B$16:$K$76,'Public Expenditure'!F$1,FALSE)),VLOOKUP($B51,'Cental Budget'!$B$16:$K$76,'Public Expenditure'!F$1,FALSE),0)+IF(ISNUMBER(VLOOKUP('Public Expenditure'!$B51,'Local Government'!$B$16:$M$76,'Public Expenditure'!F$1,FALSE)),VLOOKUP('Public Expenditure'!$B51,'Local Government'!$B$16:$M$76,'Public Expenditure'!F$1,FALSE),0)</f>
        <v>5149120</v>
      </c>
      <c r="G51" s="283">
        <f t="shared" si="2"/>
        <v>0.13012028707166681</v>
      </c>
      <c r="H51" s="206">
        <f t="shared" si="3"/>
        <v>-2885097.23</v>
      </c>
      <c r="I51" s="289">
        <f t="shared" si="4"/>
        <v>-56.030879645453979</v>
      </c>
      <c r="J51" s="154">
        <f>+IF(ISNUMBER(VLOOKUP($B51,'Cental Budget'!$B$16:$K$76,'Public Expenditure'!J$1,FALSE)),VLOOKUP($B51,'Cental Budget'!$B$16:$K$76,'Public Expenditure'!J$1,FALSE),0)+IF(ISNUMBER(VLOOKUP('Public Expenditure'!$B51,'Local Government'!$B$16:$M$76,'Public Expenditure'!J$1,FALSE)),VLOOKUP('Public Expenditure'!$B51,'Local Government'!$B$16:$M$76,'Public Expenditure'!J$1,FALSE),0)</f>
        <v>5960124.3599999994</v>
      </c>
      <c r="K51" s="283">
        <f t="shared" si="1"/>
        <v>0.15796778054598462</v>
      </c>
      <c r="L51" s="206">
        <f t="shared" si="5"/>
        <v>-3696101.5899999994</v>
      </c>
      <c r="M51" s="289">
        <f t="shared" si="6"/>
        <v>-62.013833382496728</v>
      </c>
      <c r="BH51" s="159"/>
      <c r="BI51" s="159"/>
      <c r="BJ51" s="143"/>
      <c r="BK51" s="143"/>
      <c r="BL51" s="143"/>
      <c r="BM51" s="140"/>
    </row>
    <row r="52" spans="1:65" ht="13.5" customHeight="1">
      <c r="B52" s="80">
        <v>423</v>
      </c>
      <c r="C52" s="97" t="s">
        <v>92</v>
      </c>
      <c r="D52" s="154">
        <f>+'Cental Budget'!D51</f>
        <v>99398781.730000004</v>
      </c>
      <c r="E52" s="283">
        <f t="shared" si="0"/>
        <v>2.5118462986455072</v>
      </c>
      <c r="F52" s="154">
        <f>+IF(ISNUMBER(VLOOKUP($B52,'Cental Budget'!$B$16:$K$76,'Public Expenditure'!F$1,FALSE)),VLOOKUP($B52,'Cental Budget'!$B$16:$K$76,'Public Expenditure'!F$1,FALSE),0)+IF(ISNUMBER(VLOOKUP('Public Expenditure'!$B52,'Local Government'!$B$16:$M$76,'Public Expenditure'!F$1,FALSE)),VLOOKUP('Public Expenditure'!$B52,'Local Government'!$B$16:$M$76,'Public Expenditure'!F$1,FALSE),0)</f>
        <v>102787500</v>
      </c>
      <c r="G52" s="283">
        <f t="shared" si="2"/>
        <v>2.5974805417972302</v>
      </c>
      <c r="H52" s="206">
        <f t="shared" si="3"/>
        <v>-3388718.2699999958</v>
      </c>
      <c r="I52" s="289">
        <f t="shared" si="4"/>
        <v>-3.2968194284324426</v>
      </c>
      <c r="J52" s="154">
        <f>+IF(ISNUMBER(VLOOKUP($B52,'Cental Budget'!$B$16:$K$76,'Public Expenditure'!J$1,FALSE)),VLOOKUP($B52,'Cental Budget'!$B$16:$K$76,'Public Expenditure'!J$1,FALSE),0)+IF(ISNUMBER(VLOOKUP('Public Expenditure'!$B52,'Local Government'!$B$16:$M$76,'Public Expenditure'!J$1,FALSE)),VLOOKUP('Public Expenditure'!$B52,'Local Government'!$B$16:$M$76,'Public Expenditure'!J$1,FALSE),0)</f>
        <v>97277018.590000004</v>
      </c>
      <c r="K52" s="283">
        <f t="shared" si="1"/>
        <v>2.5782406199310897</v>
      </c>
      <c r="L52" s="206">
        <f t="shared" si="5"/>
        <v>2121763.1400000006</v>
      </c>
      <c r="M52" s="289">
        <f t="shared" si="6"/>
        <v>2.1811556015534705</v>
      </c>
      <c r="BH52" s="159"/>
      <c r="BI52" s="159"/>
      <c r="BJ52" s="143"/>
      <c r="BK52" s="143"/>
      <c r="BL52" s="143"/>
      <c r="BM52" s="140"/>
    </row>
    <row r="53" spans="1:65" ht="13.5" customHeight="1">
      <c r="B53" s="80">
        <v>424</v>
      </c>
      <c r="C53" s="97" t="s">
        <v>94</v>
      </c>
      <c r="D53" s="154">
        <f>+'Cental Budget'!D52</f>
        <v>3430865.82</v>
      </c>
      <c r="E53" s="283">
        <f t="shared" si="0"/>
        <v>8.6699328312948548E-2</v>
      </c>
      <c r="F53" s="154">
        <f>+IF(ISNUMBER(VLOOKUP($B53,'Cental Budget'!$B$16:$K$76,'Public Expenditure'!F$1,FALSE)),VLOOKUP($B53,'Cental Budget'!$B$16:$K$76,'Public Expenditure'!F$1,FALSE),0)+IF(ISNUMBER(VLOOKUP('Public Expenditure'!$B53,'Local Government'!$B$16:$M$76,'Public Expenditure'!F$1,FALSE)),VLOOKUP('Public Expenditure'!$B53,'Local Government'!$B$16:$M$76,'Public Expenditure'!F$1,FALSE),0)</f>
        <v>3982750</v>
      </c>
      <c r="G53" s="283">
        <f t="shared" si="2"/>
        <v>0.10064565854644698</v>
      </c>
      <c r="H53" s="206">
        <f t="shared" si="3"/>
        <v>-551884.18000000017</v>
      </c>
      <c r="I53" s="289">
        <f t="shared" si="4"/>
        <v>-13.856862218316493</v>
      </c>
      <c r="J53" s="154">
        <f>+IF(ISNUMBER(VLOOKUP($B53,'Cental Budget'!$B$16:$K$76,'Public Expenditure'!J$1,FALSE)),VLOOKUP($B53,'Cental Budget'!$B$16:$K$76,'Public Expenditure'!J$1,FALSE),0)+IF(ISNUMBER(VLOOKUP('Public Expenditure'!$B53,'Local Government'!$B$16:$M$76,'Public Expenditure'!J$1,FALSE)),VLOOKUP('Public Expenditure'!$B53,'Local Government'!$B$16:$M$76,'Public Expenditure'!J$1,FALSE),0)</f>
        <v>3553912.0699999989</v>
      </c>
      <c r="K53" s="283">
        <f t="shared" si="1"/>
        <v>9.4193269811820801E-2</v>
      </c>
      <c r="L53" s="206">
        <f t="shared" si="5"/>
        <v>-123046.24999999907</v>
      </c>
      <c r="M53" s="289">
        <f t="shared" si="6"/>
        <v>-3.4622761502368604</v>
      </c>
      <c r="BH53" s="159"/>
      <c r="BI53" s="159"/>
      <c r="BJ53" s="143"/>
      <c r="BK53" s="143"/>
      <c r="BL53" s="143"/>
      <c r="BM53" s="140"/>
    </row>
    <row r="54" spans="1:65" ht="13.5" customHeight="1">
      <c r="B54" s="80">
        <v>425</v>
      </c>
      <c r="C54" s="97" t="s">
        <v>431</v>
      </c>
      <c r="D54" s="154">
        <f>+'Cental Budget'!D53</f>
        <v>1834204.0699999998</v>
      </c>
      <c r="E54" s="283">
        <f t="shared" si="0"/>
        <v>4.6351058071363582E-2</v>
      </c>
      <c r="F54" s="154">
        <f>+IF(ISNUMBER(VLOOKUP($B54,'Cental Budget'!$B$16:$K$76,'Public Expenditure'!F$1,FALSE)),VLOOKUP($B54,'Cental Budget'!$B$16:$K$76,'Public Expenditure'!F$1,FALSE),0)+IF(ISNUMBER(VLOOKUP('Public Expenditure'!$B54,'Local Government'!$B$16:$M$76,'Public Expenditure'!F$1,FALSE)),VLOOKUP('Public Expenditure'!$B54,'Local Government'!$B$16:$M$76,'Public Expenditure'!F$1,FALSE),0)</f>
        <v>2131250</v>
      </c>
      <c r="G54" s="283">
        <f t="shared" si="2"/>
        <v>5.3857525523097138E-2</v>
      </c>
      <c r="H54" s="206">
        <f t="shared" si="3"/>
        <v>-297045.93000000017</v>
      </c>
      <c r="I54" s="289">
        <f t="shared" si="4"/>
        <v>-13.937638944281531</v>
      </c>
      <c r="J54" s="154">
        <f>+IF(ISNUMBER(VLOOKUP($B54,'Cental Budget'!$B$16:$K$76,'Public Expenditure'!J$1,FALSE)),VLOOKUP($B54,'Cental Budget'!$B$16:$K$76,'Public Expenditure'!J$1,FALSE),0)+IF(ISNUMBER(VLOOKUP('Public Expenditure'!$B54,'Local Government'!$B$16:$M$76,'Public Expenditure'!J$1,FALSE)),VLOOKUP('Public Expenditure'!$B54,'Local Government'!$B$16:$M$76,'Public Expenditure'!J$1,FALSE),0)</f>
        <v>2090878.0499999998</v>
      </c>
      <c r="K54" s="283">
        <f t="shared" si="1"/>
        <v>5.5416857937980388E-2</v>
      </c>
      <c r="L54" s="206">
        <f t="shared" si="5"/>
        <v>-256673.97999999998</v>
      </c>
      <c r="M54" s="289">
        <f t="shared" si="6"/>
        <v>-12.27589433061388</v>
      </c>
      <c r="BH54" s="159"/>
      <c r="BI54" s="159"/>
      <c r="BJ54" s="143"/>
      <c r="BK54" s="143"/>
      <c r="BL54" s="143"/>
      <c r="BM54" s="140"/>
    </row>
    <row r="55" spans="1:65" ht="13.5" customHeight="1">
      <c r="A55" s="80">
        <v>43</v>
      </c>
      <c r="B55" s="80">
        <v>43</v>
      </c>
      <c r="C55" s="93" t="s">
        <v>432</v>
      </c>
      <c r="D55" s="94">
        <f>+SUM(D56:D57)</f>
        <v>33430249.350000001</v>
      </c>
      <c r="E55" s="284">
        <f t="shared" si="0"/>
        <v>0.84479554609319729</v>
      </c>
      <c r="F55" s="94">
        <f>+SUM(F56:F57)</f>
        <v>46471032.018399999</v>
      </c>
      <c r="G55" s="284">
        <f t="shared" si="2"/>
        <v>1.1743412518548468</v>
      </c>
      <c r="H55" s="203">
        <f t="shared" si="3"/>
        <v>-13040782.668399997</v>
      </c>
      <c r="I55" s="290">
        <f t="shared" si="4"/>
        <v>-28.06217572968157</v>
      </c>
      <c r="J55" s="94">
        <f>+SUM(J56:J57)</f>
        <v>41658201.119999997</v>
      </c>
      <c r="K55" s="284">
        <f t="shared" si="1"/>
        <v>1.1041134672674264</v>
      </c>
      <c r="L55" s="203">
        <f t="shared" si="5"/>
        <v>-8227951.7699999958</v>
      </c>
      <c r="M55" s="290">
        <f t="shared" si="6"/>
        <v>-19.751097140029344</v>
      </c>
      <c r="BH55" s="159"/>
      <c r="BI55" s="159"/>
      <c r="BJ55" s="143"/>
      <c r="BK55" s="143"/>
      <c r="BL55" s="143"/>
      <c r="BM55" s="140"/>
    </row>
    <row r="56" spans="1:65" ht="13.5" customHeight="1">
      <c r="A56" s="80">
        <v>999</v>
      </c>
      <c r="B56" s="80">
        <v>431</v>
      </c>
      <c r="C56" s="97" t="s">
        <v>432</v>
      </c>
      <c r="D56" s="154">
        <f>'Cental Budget'!D55+'Local Government'!D56-'Local Government'!D76</f>
        <v>29418989.990000002</v>
      </c>
      <c r="E56" s="283">
        <f t="shared" si="0"/>
        <v>0.74342944480946127</v>
      </c>
      <c r="F56" s="154">
        <f>'Cental Budget'!F55+'Local Government'!F56-'Local Government'!F76</f>
        <v>43577490.847000003</v>
      </c>
      <c r="G56" s="283">
        <f t="shared" si="2"/>
        <v>1.1012203286920046</v>
      </c>
      <c r="H56" s="206">
        <f t="shared" si="3"/>
        <v>-14158500.857000001</v>
      </c>
      <c r="I56" s="289">
        <f t="shared" si="4"/>
        <v>-32.49039947414667</v>
      </c>
      <c r="J56" s="154">
        <f>'Cental Budget'!J55+'Local Government'!J56-'Local Government'!J76</f>
        <v>37828632.439999998</v>
      </c>
      <c r="K56" s="283">
        <f t="shared" si="1"/>
        <v>1.0026141648555527</v>
      </c>
      <c r="L56" s="206">
        <f t="shared" si="5"/>
        <v>-8409642.4499999955</v>
      </c>
      <c r="M56" s="289">
        <f t="shared" si="6"/>
        <v>-22.230892071867871</v>
      </c>
      <c r="BH56" s="159"/>
      <c r="BI56" s="159"/>
      <c r="BJ56" s="143"/>
      <c r="BK56" s="143"/>
      <c r="BL56" s="143"/>
      <c r="BM56" s="140"/>
    </row>
    <row r="57" spans="1:65" ht="13.5" customHeight="1" thickBot="1">
      <c r="A57" s="80" t="s">
        <v>427</v>
      </c>
      <c r="B57" s="80">
        <v>432</v>
      </c>
      <c r="C57" s="97" t="s">
        <v>433</v>
      </c>
      <c r="D57" s="154">
        <f>'Cental Budget'!D56+'Local Government'!D57</f>
        <v>4011259.36</v>
      </c>
      <c r="E57" s="283">
        <f t="shared" si="0"/>
        <v>0.10136610128373598</v>
      </c>
      <c r="F57" s="154">
        <f>+IF(ISNUMBER(VLOOKUP($B57,'Cental Budget'!$B$16:$K$76,'Public Expenditure'!F$1,FALSE)),VLOOKUP($B57,'Cental Budget'!$B$16:$K$76,'Public Expenditure'!F$1,FALSE),0)+IF(ISNUMBER(VLOOKUP('Public Expenditure'!$B57,'Local Government'!$B$16:$M$76,'Public Expenditure'!F$1,FALSE)),VLOOKUP('Public Expenditure'!$B57,'Local Government'!$B$16:$M$76,'Public Expenditure'!F$1,FALSE),0)</f>
        <v>2893541.1713999994</v>
      </c>
      <c r="G57" s="283">
        <f t="shared" si="2"/>
        <v>7.3120923162842411E-2</v>
      </c>
      <c r="H57" s="206">
        <f t="shared" si="3"/>
        <v>1117718.1886000005</v>
      </c>
      <c r="I57" s="289">
        <f t="shared" si="4"/>
        <v>38.628038185446258</v>
      </c>
      <c r="J57" s="154">
        <f>+IF(ISNUMBER(VLOOKUP($B57,'Cental Budget'!$B$16:$K$76,'Public Expenditure'!J$1,FALSE)),VLOOKUP($B57,'Cental Budget'!$B$16:$K$76,'Public Expenditure'!J$1,FALSE),0)+IF(ISNUMBER(VLOOKUP('Public Expenditure'!$B57,'Local Government'!$B$16:$M$76,'Public Expenditure'!J$1,FALSE)),VLOOKUP('Public Expenditure'!$B57,'Local Government'!$B$16:$M$76,'Public Expenditure'!J$1,FALSE),0)</f>
        <v>3829568.68</v>
      </c>
      <c r="K57" s="283">
        <f t="shared" si="1"/>
        <v>0.10149930241187385</v>
      </c>
      <c r="L57" s="206">
        <f t="shared" si="5"/>
        <v>181690.6799999997</v>
      </c>
      <c r="M57" s="289">
        <f t="shared" si="6"/>
        <v>4.7444162824101568</v>
      </c>
      <c r="BH57" s="159"/>
      <c r="BI57" s="159"/>
      <c r="BJ57" s="143"/>
      <c r="BK57" s="143"/>
      <c r="BL57" s="143"/>
      <c r="BM57" s="140"/>
    </row>
    <row r="58" spans="1:65" ht="13.5" customHeight="1" thickTop="1" thickBot="1">
      <c r="B58" s="80">
        <v>44</v>
      </c>
      <c r="C58" s="176" t="s">
        <v>130</v>
      </c>
      <c r="D58" s="175">
        <f>'Cental Budget'!D57+'Local Government'!D58</f>
        <v>15017383.310000001</v>
      </c>
      <c r="E58" s="281">
        <f t="shared" si="0"/>
        <v>0.37949518118871933</v>
      </c>
      <c r="F58" s="175">
        <f>+IF(ISNUMBER(VLOOKUP($B58,'Cental Budget'!$B$16:$K$76,'Public Expenditure'!F$1,FALSE)),VLOOKUP($B58,'Cental Budget'!$B$16:$K$76,'Public Expenditure'!F$1,FALSE),0)+IF(ISNUMBER(VLOOKUP('Public Expenditure'!$B58,'Local Government'!$B$16:$M$76,'Public Expenditure'!F$1,FALSE)),VLOOKUP('Public Expenditure'!$B58,'Local Government'!$B$16:$M$76,'Public Expenditure'!F$1,FALSE),0)</f>
        <v>48779466.846599996</v>
      </c>
      <c r="G58" s="281">
        <f t="shared" si="2"/>
        <v>1.2326763076569289</v>
      </c>
      <c r="H58" s="175">
        <f t="shared" si="3"/>
        <v>-33762083.536599994</v>
      </c>
      <c r="I58" s="281">
        <f t="shared" si="4"/>
        <v>-69.213719868595206</v>
      </c>
      <c r="J58" s="175">
        <f>+IF(ISNUMBER(VLOOKUP($B58,'Cental Budget'!$B$16:$K$76,'Public Expenditure'!J$1,FALSE)),VLOOKUP($B58,'Cental Budget'!$B$16:$K$76,'Public Expenditure'!J$1,FALSE),0)+IF(ISNUMBER(VLOOKUP('Public Expenditure'!$B58,'Local Government'!$B$16:$M$76,'Public Expenditure'!J$1,FALSE)),VLOOKUP('Public Expenditure'!$B58,'Local Government'!$B$16:$M$76,'Public Expenditure'!J$1,FALSE),0)</f>
        <v>7986692.3199999984</v>
      </c>
      <c r="K58" s="281">
        <f t="shared" si="1"/>
        <v>0.21168015690432013</v>
      </c>
      <c r="L58" s="175">
        <f t="shared" si="5"/>
        <v>7030690.9900000021</v>
      </c>
      <c r="M58" s="281">
        <f t="shared" si="6"/>
        <v>88.030071878366812</v>
      </c>
      <c r="BH58" s="159"/>
      <c r="BI58" s="159"/>
      <c r="BJ58" s="143"/>
      <c r="BK58" s="143"/>
      <c r="BL58" s="143"/>
      <c r="BM58" s="140"/>
    </row>
    <row r="59" spans="1:65" ht="13.5" customHeight="1" thickTop="1">
      <c r="B59" s="80">
        <v>451</v>
      </c>
      <c r="C59" s="93" t="s">
        <v>110</v>
      </c>
      <c r="D59" s="152">
        <f>'Cental Budget'!D58+'Local Government'!D59</f>
        <v>440871.94</v>
      </c>
      <c r="E59" s="284">
        <f t="shared" si="0"/>
        <v>1.1141007277873245E-2</v>
      </c>
      <c r="F59" s="152">
        <f>+IF(ISNUMBER(VLOOKUP($B59,'Cental Budget'!$B$16:$K$76,'Public Expenditure'!F$1,FALSE)),VLOOKUP($B59,'Cental Budget'!$B$16:$K$76,'Public Expenditure'!F$1,FALSE),0)+IF(ISNUMBER(VLOOKUP('Public Expenditure'!$B59,'Local Government'!$B$16:$M$76,'Public Expenditure'!F$1,FALSE)),VLOOKUP('Public Expenditure'!$B59,'Local Government'!$B$16:$M$76,'Public Expenditure'!F$1,FALSE),0)</f>
        <v>857132.96380000003</v>
      </c>
      <c r="G59" s="284">
        <f t="shared" si="2"/>
        <v>2.1660087026180126E-2</v>
      </c>
      <c r="H59" s="205">
        <f t="shared" si="3"/>
        <v>-416261.02380000002</v>
      </c>
      <c r="I59" s="290">
        <f t="shared" si="4"/>
        <v>-48.564346651020728</v>
      </c>
      <c r="J59" s="152">
        <f>+IF(ISNUMBER(VLOOKUP($B59,'Cental Budget'!$B$16:$K$76,'Public Expenditure'!J$1,FALSE)),VLOOKUP($B59,'Cental Budget'!$B$16:$K$76,'Public Expenditure'!J$1,FALSE),0)+IF(ISNUMBER(VLOOKUP('Public Expenditure'!$B59,'Local Government'!$B$16:$M$76,'Public Expenditure'!J$1,FALSE)),VLOOKUP('Public Expenditure'!$B59,'Local Government'!$B$16:$M$76,'Public Expenditure'!J$1,FALSE),0)</f>
        <v>681897.59</v>
      </c>
      <c r="K59" s="284">
        <f t="shared" si="1"/>
        <v>1.8073087463556851E-2</v>
      </c>
      <c r="L59" s="205">
        <f t="shared" si="5"/>
        <v>-241025.64999999997</v>
      </c>
      <c r="M59" s="290">
        <f t="shared" si="6"/>
        <v>-35.346312046652045</v>
      </c>
      <c r="BH59" s="159"/>
      <c r="BI59" s="159"/>
      <c r="BJ59" s="143"/>
      <c r="BK59" s="143"/>
      <c r="BL59" s="143"/>
      <c r="BM59" s="140"/>
    </row>
    <row r="60" spans="1:65" ht="13.5" customHeight="1" thickBot="1">
      <c r="B60" s="80">
        <v>47</v>
      </c>
      <c r="C60" s="93" t="s">
        <v>117</v>
      </c>
      <c r="D60" s="152">
        <f>'Cental Budget'!D59+'Local Government'!D60</f>
        <v>880463.24</v>
      </c>
      <c r="E60" s="284">
        <f t="shared" si="0"/>
        <v>2.2249652279389465E-2</v>
      </c>
      <c r="F60" s="152">
        <f>+IF(ISNUMBER(VLOOKUP($B60,'Cental Budget'!$B$16:$K$76,'Public Expenditure'!F$1,FALSE)),VLOOKUP($B60,'Cental Budget'!$B$16:$K$76,'Public Expenditure'!F$1,FALSE),0)+IF(ISNUMBER(VLOOKUP('Public Expenditure'!$B60,'Local Government'!$B$16:$M$76,'Public Expenditure'!F$1,FALSE)),VLOOKUP('Public Expenditure'!$B60,'Local Government'!$B$16:$M$76,'Public Expenditure'!F$1,FALSE),0)</f>
        <v>3911122.7834000001</v>
      </c>
      <c r="G60" s="284">
        <f t="shared" si="2"/>
        <v>9.883561061861923E-2</v>
      </c>
      <c r="H60" s="205">
        <f t="shared" si="3"/>
        <v>-3030659.5433999998</v>
      </c>
      <c r="I60" s="290">
        <f t="shared" si="4"/>
        <v>-77.488222979422815</v>
      </c>
      <c r="J60" s="152">
        <f>+IF(ISNUMBER(VLOOKUP($B60,'Cental Budget'!$B$16:$K$76,'Public Expenditure'!J$1,FALSE)),VLOOKUP($B60,'Cental Budget'!$B$16:$K$76,'Public Expenditure'!J$1,FALSE),0)+IF(ISNUMBER(VLOOKUP('Public Expenditure'!$B60,'Local Government'!$B$16:$M$76,'Public Expenditure'!J$1,FALSE)),VLOOKUP('Public Expenditure'!$B60,'Local Government'!$B$16:$M$76,'Public Expenditure'!J$1,FALSE),0)</f>
        <v>4966241.4099999992</v>
      </c>
      <c r="K60" s="284">
        <f t="shared" si="1"/>
        <v>0.1316257993639014</v>
      </c>
      <c r="L60" s="205">
        <f t="shared" si="5"/>
        <v>-4085778.169999999</v>
      </c>
      <c r="M60" s="290">
        <f t="shared" si="6"/>
        <v>-82.271034222639599</v>
      </c>
      <c r="BH60" s="159"/>
      <c r="BI60" s="159"/>
      <c r="BJ60" s="143"/>
      <c r="BK60" s="143"/>
      <c r="BL60" s="143"/>
      <c r="BM60" s="140"/>
    </row>
    <row r="61" spans="1:65" ht="13.5" customHeight="1" thickTop="1" thickBot="1">
      <c r="B61" s="80">
        <v>462</v>
      </c>
      <c r="C61" s="146" t="s">
        <v>112</v>
      </c>
      <c r="D61" s="161">
        <f>'Cental Budget'!D60+'Local Government'!D61</f>
        <v>0</v>
      </c>
      <c r="E61" s="285">
        <f t="shared" si="0"/>
        <v>0</v>
      </c>
      <c r="F61" s="161">
        <f>+IF(ISNUMBER(VLOOKUP($B61,'Cental Budget'!$B$16:$K$76,'Public Expenditure'!F$1,FALSE)),VLOOKUP($B61,'Cental Budget'!$B$16:$K$76,'Public Expenditure'!F$1,FALSE),0)+IF(ISNUMBER(VLOOKUP('Public Expenditure'!$B61,'Local Government'!$B$16:$M$76,'Public Expenditure'!F$1,FALSE)),VLOOKUP('Public Expenditure'!$B61,'Local Government'!$B$16:$M$76,'Public Expenditure'!F$1,FALSE),0)</f>
        <v>0</v>
      </c>
      <c r="G61" s="285">
        <f t="shared" si="2"/>
        <v>0</v>
      </c>
      <c r="H61" s="207">
        <f t="shared" si="3"/>
        <v>0</v>
      </c>
      <c r="I61" s="262" t="e">
        <f t="shared" si="4"/>
        <v>#DIV/0!</v>
      </c>
      <c r="J61" s="161">
        <f>+IF(ISNUMBER(VLOOKUP($B61,'Cental Budget'!$B$16:$K$76,'Public Expenditure'!J$1,FALSE)),VLOOKUP($B61,'Cental Budget'!$B$16:$K$76,'Public Expenditure'!J$1,FALSE),0)+IF(ISNUMBER(VLOOKUP('Public Expenditure'!$B61,'Local Government'!$B$16:$M$76,'Public Expenditure'!J$1,FALSE)),VLOOKUP('Public Expenditure'!$B61,'Local Government'!$B$16:$M$76,'Public Expenditure'!J$1,FALSE),0)</f>
        <v>876429.53</v>
      </c>
      <c r="K61" s="285">
        <f t="shared" si="1"/>
        <v>2.3228983037370796E-2</v>
      </c>
      <c r="L61" s="207">
        <f t="shared" si="5"/>
        <v>-876429.53</v>
      </c>
      <c r="M61" s="291">
        <f t="shared" si="6"/>
        <v>-100</v>
      </c>
      <c r="BH61" s="159"/>
      <c r="BI61" s="159"/>
      <c r="BJ61" s="143"/>
      <c r="BK61" s="143"/>
      <c r="BL61" s="143"/>
      <c r="BM61" s="140"/>
    </row>
    <row r="62" spans="1:65" ht="13.5" customHeight="1" thickTop="1" thickBot="1">
      <c r="B62" s="305" t="s">
        <v>450</v>
      </c>
      <c r="C62" s="209" t="s">
        <v>115</v>
      </c>
      <c r="D62" s="210">
        <f>'Cental Budget'!D61+'Local Government'!D62</f>
        <v>17568623.280000001</v>
      </c>
      <c r="E62" s="286">
        <f>D62/D$11*100</f>
        <v>0.44396601839684624</v>
      </c>
      <c r="F62" s="210">
        <f>'Cental Budget'!F61+'Local Government'!F62</f>
        <v>11635969.076400001</v>
      </c>
      <c r="G62" s="286">
        <f>F62/D$11*100</f>
        <v>0.29404551390882444</v>
      </c>
      <c r="H62" s="211">
        <f>+D62-F62</f>
        <v>5932654.2036000006</v>
      </c>
      <c r="I62" s="262">
        <f t="shared" si="4"/>
        <v>50.985475852050627</v>
      </c>
      <c r="J62" s="210">
        <f>'Cental Budget'!J61+'Local Government'!J62</f>
        <v>30338677.569999997</v>
      </c>
      <c r="K62" s="286">
        <f>J62/J$11*100</f>
        <v>0.80409959104161133</v>
      </c>
      <c r="L62" s="211">
        <f>+D62-J62</f>
        <v>-12770054.289999995</v>
      </c>
      <c r="M62" s="292">
        <f>+D62/J62*100-100</f>
        <v>-42.091664214881582</v>
      </c>
      <c r="BH62" s="159"/>
      <c r="BI62" s="159"/>
      <c r="BJ62" s="143"/>
      <c r="BK62" s="143"/>
      <c r="BL62" s="143"/>
      <c r="BM62" s="140"/>
    </row>
    <row r="63" spans="1:65" ht="13.5" customHeight="1" thickTop="1" thickBot="1">
      <c r="B63" s="80">
        <v>990</v>
      </c>
      <c r="C63" s="145" t="s">
        <v>151</v>
      </c>
      <c r="D63" s="152">
        <f>'Cental Budget'!D62+'Local Government'!D63</f>
        <v>0</v>
      </c>
      <c r="E63" s="284">
        <f t="shared" si="0"/>
        <v>0</v>
      </c>
      <c r="F63" s="152">
        <f>+IF(ISNUMBER(VLOOKUP($B63,'Cental Budget'!$B$16:$K$76,'Public Expenditure'!F$1,FALSE)),VLOOKUP($B63,'Cental Budget'!$B$16:$K$76,'Public Expenditure'!F$1,FALSE),0)+IF(ISNUMBER(VLOOKUP('Public Expenditure'!$B63,'Local Government'!$B$16:$M$76,'Public Expenditure'!F$1,FALSE)),VLOOKUP('Public Expenditure'!$B63,'Local Government'!$B$16:$M$76,'Public Expenditure'!F$1,FALSE),0)</f>
        <v>0</v>
      </c>
      <c r="G63" s="284">
        <f t="shared" si="2"/>
        <v>0</v>
      </c>
      <c r="H63" s="205">
        <f t="shared" si="3"/>
        <v>0</v>
      </c>
      <c r="I63" s="262" t="e">
        <f t="shared" si="4"/>
        <v>#DIV/0!</v>
      </c>
      <c r="J63" s="152">
        <f>+IF(ISNUMBER(VLOOKUP($B63,'Cental Budget'!$B$16:$K$76,'Public Expenditure'!J$1,FALSE)),VLOOKUP($B63,'Cental Budget'!$B$16:$K$76,'Public Expenditure'!J$1,FALSE),0)+IF(ISNUMBER(VLOOKUP('Public Expenditure'!$B63,'Local Government'!$B$16:$M$76,'Public Expenditure'!J$1,FALSE)),VLOOKUP('Public Expenditure'!$B63,'Local Government'!$B$16:$M$76,'Public Expenditure'!J$1,FALSE),0)</f>
        <v>0</v>
      </c>
      <c r="K63" s="284">
        <f t="shared" si="1"/>
        <v>0</v>
      </c>
      <c r="L63" s="205">
        <f t="shared" si="5"/>
        <v>0</v>
      </c>
      <c r="M63" s="290" t="e">
        <f t="shared" si="6"/>
        <v>#DIV/0!</v>
      </c>
      <c r="BH63" s="159"/>
      <c r="BI63" s="159"/>
      <c r="BJ63" s="143"/>
      <c r="BK63" s="143"/>
      <c r="BL63" s="143"/>
      <c r="BM63" s="140"/>
    </row>
    <row r="64" spans="1:65" ht="13.5" customHeight="1" thickTop="1" thickBot="1">
      <c r="C64" s="176" t="s">
        <v>131</v>
      </c>
      <c r="D64" s="171">
        <f>+D16-D36</f>
        <v>-74785922.186999977</v>
      </c>
      <c r="E64" s="281">
        <f t="shared" si="0"/>
        <v>-1.8898696600373996</v>
      </c>
      <c r="F64" s="171">
        <f>+F16-F36</f>
        <v>-125604737.19964039</v>
      </c>
      <c r="G64" s="281">
        <f t="shared" si="2"/>
        <v>-3.1740810977367939</v>
      </c>
      <c r="H64" s="171">
        <f>+D64-F64</f>
        <v>50818815.012640417</v>
      </c>
      <c r="I64" s="281">
        <f t="shared" si="4"/>
        <v>-40.459313992168369</v>
      </c>
      <c r="J64" s="171">
        <f>+J16-J36-J63</f>
        <v>-79502793.290000081</v>
      </c>
      <c r="K64" s="281">
        <f>J64/J$11*100</f>
        <v>-2.1071506305327348</v>
      </c>
      <c r="L64" s="171">
        <f t="shared" si="5"/>
        <v>4716871.1030001044</v>
      </c>
      <c r="M64" s="281">
        <f t="shared" si="6"/>
        <v>-5.9329627398052622</v>
      </c>
      <c r="BH64" s="159"/>
      <c r="BI64" s="159"/>
      <c r="BJ64" s="143"/>
      <c r="BK64" s="143"/>
      <c r="BL64" s="143"/>
      <c r="BM64" s="140"/>
    </row>
    <row r="65" spans="2:65" ht="13.5" customHeight="1" thickTop="1" thickBot="1">
      <c r="C65" s="176" t="s">
        <v>132</v>
      </c>
      <c r="D65" s="171">
        <f>+D64+D44</f>
        <v>-30206156.676999979</v>
      </c>
      <c r="E65" s="281">
        <f t="shared" si="0"/>
        <v>-0.76332145650965277</v>
      </c>
      <c r="F65" s="171">
        <f>+F64+F44</f>
        <v>-84250697.350240394</v>
      </c>
      <c r="G65" s="281">
        <f t="shared" si="2"/>
        <v>-2.1290482500313455</v>
      </c>
      <c r="H65" s="171">
        <f t="shared" si="3"/>
        <v>54044540.673240416</v>
      </c>
      <c r="I65" s="281">
        <f t="shared" si="4"/>
        <v>-64.147291800530368</v>
      </c>
      <c r="J65" s="171">
        <f>+J64+J44</f>
        <v>-47200356.180000082</v>
      </c>
      <c r="K65" s="281">
        <f t="shared" si="1"/>
        <v>-1.251003344288367</v>
      </c>
      <c r="L65" s="171">
        <f t="shared" si="5"/>
        <v>16994199.503000103</v>
      </c>
      <c r="M65" s="281">
        <f t="shared" si="6"/>
        <v>-36.004388268156653</v>
      </c>
      <c r="BH65" s="159"/>
      <c r="BI65" s="159"/>
      <c r="BJ65" s="143"/>
      <c r="BK65" s="143"/>
      <c r="BL65" s="143"/>
      <c r="BM65" s="140"/>
    </row>
    <row r="66" spans="2:65" ht="13.5" customHeight="1" thickTop="1" thickBot="1">
      <c r="C66" s="176" t="s">
        <v>0</v>
      </c>
      <c r="D66" s="171">
        <f>+SUM(D67:D68)</f>
        <v>30103074.309999999</v>
      </c>
      <c r="E66" s="281">
        <f t="shared" si="0"/>
        <v>0.76071652456282213</v>
      </c>
      <c r="F66" s="171">
        <f>+SUM(F67:F68)</f>
        <v>23669155.438200004</v>
      </c>
      <c r="G66" s="281">
        <f t="shared" si="2"/>
        <v>0.59812886480845062</v>
      </c>
      <c r="H66" s="171">
        <f t="shared" si="3"/>
        <v>6433918.8717999943</v>
      </c>
      <c r="I66" s="281">
        <f t="shared" si="4"/>
        <v>27.18271418090481</v>
      </c>
      <c r="J66" s="171">
        <f>+SUM(J67:J68)</f>
        <v>126921845.05000001</v>
      </c>
      <c r="K66" s="281">
        <f t="shared" si="1"/>
        <v>3.3639503061224492</v>
      </c>
      <c r="L66" s="171">
        <f t="shared" si="5"/>
        <v>-96818770.74000001</v>
      </c>
      <c r="M66" s="281">
        <f t="shared" si="6"/>
        <v>-76.282196104113439</v>
      </c>
      <c r="BH66" s="159"/>
      <c r="BI66" s="159"/>
      <c r="BJ66" s="143"/>
      <c r="BK66" s="143"/>
      <c r="BL66" s="143"/>
      <c r="BM66" s="140"/>
    </row>
    <row r="67" spans="2:65" ht="13.5" customHeight="1" thickTop="1">
      <c r="B67" s="80">
        <v>4611</v>
      </c>
      <c r="C67" s="97" t="s">
        <v>134</v>
      </c>
      <c r="D67" s="154">
        <f>'Cental Budget'!D66+'Local Government'!D67</f>
        <v>17445669.59</v>
      </c>
      <c r="E67" s="283">
        <f t="shared" si="0"/>
        <v>0.44085893030425555</v>
      </c>
      <c r="F67" s="154">
        <f>+IF(ISNUMBER(VLOOKUP($B67,'Cental Budget'!$B$16:$K$76,'Public Expenditure'!F$1,FALSE)),VLOOKUP($B67,'Cental Budget'!$B$16:$K$76,'Public Expenditure'!F$1,FALSE),0)+IF(ISNUMBER(VLOOKUP('Public Expenditure'!$B67,'Local Government'!$B$16:$M$76,'Public Expenditure'!F$1,FALSE)),VLOOKUP('Public Expenditure'!$B67,'Local Government'!$B$16:$M$76,'Public Expenditure'!F$1,FALSE),0)</f>
        <v>11306433.448200002</v>
      </c>
      <c r="G67" s="283">
        <f t="shared" si="2"/>
        <v>0.28571801900838983</v>
      </c>
      <c r="H67" s="206">
        <f t="shared" si="3"/>
        <v>6139236.1417999975</v>
      </c>
      <c r="I67" s="289">
        <f t="shared" si="4"/>
        <v>54.298609459178067</v>
      </c>
      <c r="J67" s="154">
        <f>+IF(ISNUMBER(VLOOKUP($B67,'Cental Budget'!$B$16:$K$76,'Public Expenditure'!J$1,FALSE)),VLOOKUP($B67,'Cental Budget'!$B$16:$K$76,'Public Expenditure'!J$1,FALSE),0)+IF(ISNUMBER(VLOOKUP('Public Expenditure'!$B67,'Local Government'!$B$16:$M$76,'Public Expenditure'!J$1,FALSE)),VLOOKUP('Public Expenditure'!$B67,'Local Government'!$B$16:$M$76,'Public Expenditure'!J$1,FALSE),0)</f>
        <v>96189188.180000007</v>
      </c>
      <c r="K67" s="283">
        <f t="shared" si="1"/>
        <v>2.5494086451099922</v>
      </c>
      <c r="L67" s="206">
        <f t="shared" si="5"/>
        <v>-78743518.590000004</v>
      </c>
      <c r="M67" s="289">
        <f t="shared" si="6"/>
        <v>-81.863169946549817</v>
      </c>
      <c r="BH67" s="159"/>
      <c r="BI67" s="159"/>
      <c r="BJ67" s="143"/>
      <c r="BK67" s="143"/>
      <c r="BL67" s="143"/>
      <c r="BM67" s="140"/>
    </row>
    <row r="68" spans="2:65" ht="13.5" customHeight="1" thickBot="1">
      <c r="B68" s="80">
        <v>4612</v>
      </c>
      <c r="C68" s="97" t="s">
        <v>136</v>
      </c>
      <c r="D68" s="154">
        <f>'Cental Budget'!D67+'Local Government'!D68</f>
        <v>12657404.719999999</v>
      </c>
      <c r="E68" s="283">
        <f t="shared" si="0"/>
        <v>0.31985759425856664</v>
      </c>
      <c r="F68" s="154">
        <f>+IF(ISNUMBER(VLOOKUP($B68,'Cental Budget'!$B$16:$K$76,'Public Expenditure'!F$1,FALSE)),VLOOKUP($B68,'Cental Budget'!$B$16:$K$76,'Public Expenditure'!F$1,FALSE),0)+IF(ISNUMBER(VLOOKUP('Public Expenditure'!$B68,'Local Government'!$B$16:$M$76,'Public Expenditure'!F$1,FALSE)),VLOOKUP('Public Expenditure'!$B68,'Local Government'!$B$16:$M$76,'Public Expenditure'!F$1,FALSE),0)</f>
        <v>12362721.99</v>
      </c>
      <c r="G68" s="283">
        <f t="shared" si="2"/>
        <v>0.31241084580006068</v>
      </c>
      <c r="H68" s="206">
        <f t="shared" si="3"/>
        <v>294682.72999999858</v>
      </c>
      <c r="I68" s="289">
        <f t="shared" si="4"/>
        <v>2.3836395434465203</v>
      </c>
      <c r="J68" s="154">
        <f>+IF(ISNUMBER(VLOOKUP($B68,'Cental Budget'!$B$16:$K$76,'Public Expenditure'!J$1,FALSE)),VLOOKUP($B68,'Cental Budget'!$B$16:$K$76,'Public Expenditure'!J$1,FALSE),0)+IF(ISNUMBER(VLOOKUP('Public Expenditure'!$B68,'Local Government'!$B$16:$M$76,'Public Expenditure'!J$1,FALSE)),VLOOKUP('Public Expenditure'!$B68,'Local Government'!$B$16:$M$76,'Public Expenditure'!J$1,FALSE),0)</f>
        <v>30732656.869999997</v>
      </c>
      <c r="K68" s="283">
        <f t="shared" si="1"/>
        <v>0.81454166101245684</v>
      </c>
      <c r="L68" s="206">
        <f t="shared" si="5"/>
        <v>-18075252.149999999</v>
      </c>
      <c r="M68" s="289">
        <f t="shared" si="6"/>
        <v>-58.814479419917461</v>
      </c>
      <c r="BH68" s="159"/>
      <c r="BI68" s="159"/>
      <c r="BJ68" s="143"/>
      <c r="BK68" s="143"/>
      <c r="BL68" s="143"/>
      <c r="BM68" s="140"/>
    </row>
    <row r="69" spans="2:65" ht="13.5" hidden="1" customHeight="1" thickBot="1">
      <c r="B69" s="80" t="s">
        <v>451</v>
      </c>
      <c r="C69" s="97" t="s">
        <v>115</v>
      </c>
      <c r="D69" s="154">
        <f>+IF(ISNUMBER(VLOOKUP($B69,'Cental Budget'!$B$16:$K$76,'Public Expenditure'!D$1,FALSE)),VLOOKUP($B69,'Cental Budget'!$B$16:$K$76,'Public Expenditure'!D$1,FALSE),0)+IF(ISNUMBER(VLOOKUP('Public Expenditure'!$B69,'Local Government'!$B$16:$M$76,'Public Expenditure'!D$1,FALSE)),VLOOKUP('Public Expenditure'!$B69,'Local Government'!$B$16:$M$76,'Public Expenditure'!D$1,FALSE),0)</f>
        <v>10611948.43</v>
      </c>
      <c r="E69" s="283">
        <f t="shared" si="0"/>
        <v>0.26816810952188413</v>
      </c>
      <c r="F69" s="154">
        <f>+IF(ISNUMBER(VLOOKUP($B69,'Cental Budget'!$B$16:$K$76,'Public Expenditure'!F$1,FALSE)),VLOOKUP($B69,'Cental Budget'!$B$16:$K$76,'Public Expenditure'!F$1,FALSE),0)+IF(ISNUMBER(VLOOKUP('Public Expenditure'!$B69,'Local Government'!$B$16:$M$76,'Public Expenditure'!F$1,FALSE)),VLOOKUP('Public Expenditure'!$B69,'Local Government'!$B$16:$M$76,'Public Expenditure'!F$1,FALSE),0)</f>
        <v>20065093.7764</v>
      </c>
      <c r="G69" s="283">
        <f t="shared" si="2"/>
        <v>0.50705280947134335</v>
      </c>
      <c r="H69" s="206">
        <f t="shared" si="3"/>
        <v>-9453145.3464000002</v>
      </c>
      <c r="I69" s="289">
        <f t="shared" si="4"/>
        <v>-47.112390561157127</v>
      </c>
      <c r="J69" s="154">
        <f>+IF(ISNUMBER(VLOOKUP($B69,'Cental Budget'!$B$16:$K$76,'Public Expenditure'!J$1,FALSE)),VLOOKUP($B69,'Cental Budget'!$B$16:$K$76,'Public Expenditure'!J$1,FALSE),0)+IF(ISNUMBER(VLOOKUP('Public Expenditure'!$B69,'Local Government'!$B$16:$M$76,'Public Expenditure'!J$1,FALSE)),VLOOKUP('Public Expenditure'!$B69,'Local Government'!$B$16:$M$76,'Public Expenditure'!J$1,FALSE),0)</f>
        <v>13521396.809999999</v>
      </c>
      <c r="K69" s="283">
        <f t="shared" si="1"/>
        <v>0.35837256321229788</v>
      </c>
      <c r="L69" s="206">
        <f t="shared" si="5"/>
        <v>-2909448.379999999</v>
      </c>
      <c r="M69" s="289">
        <f t="shared" si="6"/>
        <v>-21.517365556850336</v>
      </c>
      <c r="BH69" s="159"/>
      <c r="BI69" s="159"/>
      <c r="BJ69" s="143"/>
      <c r="BK69" s="143"/>
      <c r="BL69" s="143"/>
      <c r="BM69" s="140"/>
    </row>
    <row r="70" spans="2:65" ht="13.5" customHeight="1" thickTop="1" thickBot="1">
      <c r="C70" s="176" t="s">
        <v>140</v>
      </c>
      <c r="D70" s="171">
        <f>+D64-D66</f>
        <v>-104888996.49699998</v>
      </c>
      <c r="E70" s="281">
        <f t="shared" si="0"/>
        <v>-2.6505861846002219</v>
      </c>
      <c r="F70" s="171">
        <f>+F64-F66</f>
        <v>-149273892.63784039</v>
      </c>
      <c r="G70" s="281">
        <f t="shared" si="2"/>
        <v>-3.7722099625452441</v>
      </c>
      <c r="H70" s="171">
        <f t="shared" si="3"/>
        <v>44384896.140840411</v>
      </c>
      <c r="I70" s="281">
        <f t="shared" si="4"/>
        <v>-29.733863943994848</v>
      </c>
      <c r="J70" s="171">
        <f>+J64-J66</f>
        <v>-206424638.34000009</v>
      </c>
      <c r="K70" s="281">
        <f t="shared" si="1"/>
        <v>-5.4711009366551844</v>
      </c>
      <c r="L70" s="171">
        <f t="shared" si="5"/>
        <v>101535641.84300011</v>
      </c>
      <c r="M70" s="281">
        <f t="shared" si="6"/>
        <v>-49.187753293171191</v>
      </c>
      <c r="BH70" s="159"/>
      <c r="BI70" s="159"/>
      <c r="BJ70" s="143"/>
      <c r="BK70" s="143"/>
      <c r="BL70" s="143"/>
      <c r="BM70" s="140"/>
    </row>
    <row r="71" spans="2:65" ht="13.5" customHeight="1" thickTop="1" thickBot="1">
      <c r="C71" s="176" t="s">
        <v>120</v>
      </c>
      <c r="D71" s="171">
        <f>+SUM(D72:D76)</f>
        <v>104888996.49699998</v>
      </c>
      <c r="E71" s="281">
        <f t="shared" si="0"/>
        <v>2.6505861846002219</v>
      </c>
      <c r="F71" s="171">
        <f>+SUM(F72:F76)</f>
        <v>149273892.63784039</v>
      </c>
      <c r="G71" s="281">
        <f t="shared" si="2"/>
        <v>3.7722099625452441</v>
      </c>
      <c r="H71" s="171">
        <f t="shared" si="3"/>
        <v>-44384896.140840411</v>
      </c>
      <c r="I71" s="281">
        <f t="shared" si="4"/>
        <v>-29.733863943994848</v>
      </c>
      <c r="J71" s="171">
        <f>+SUM(J72:J76)</f>
        <v>206424638.34000009</v>
      </c>
      <c r="K71" s="281">
        <f t="shared" si="1"/>
        <v>5.4711009366551844</v>
      </c>
      <c r="L71" s="171">
        <f t="shared" si="5"/>
        <v>-101535641.84300011</v>
      </c>
      <c r="M71" s="281">
        <f t="shared" si="6"/>
        <v>-49.187753293171191</v>
      </c>
      <c r="BH71" s="159"/>
      <c r="BI71" s="159"/>
      <c r="BJ71" s="143"/>
      <c r="BK71" s="143"/>
      <c r="BL71" s="143"/>
      <c r="BM71" s="140"/>
    </row>
    <row r="72" spans="2:65" ht="13.5" customHeight="1" thickTop="1">
      <c r="B72" s="80">
        <v>7511</v>
      </c>
      <c r="C72" s="97" t="s">
        <v>143</v>
      </c>
      <c r="D72" s="154">
        <f>'Cental Budget'!D71+'Local Government'!D72</f>
        <v>79434502.939999998</v>
      </c>
      <c r="E72" s="283">
        <f t="shared" si="0"/>
        <v>2.007341123521682</v>
      </c>
      <c r="F72" s="154">
        <f>+IF(ISNUMBER(VLOOKUP($B72,'Cental Budget'!$B$16:$K$76,'Public Expenditure'!F$1,FALSE)),VLOOKUP($B72,'Cental Budget'!$B$16:$K$76,'Public Expenditure'!F$1,FALSE),0)+IF(ISNUMBER(VLOOKUP('Public Expenditure'!$B72,'Local Government'!$B$16:$M$76,'Public Expenditure'!F$1,FALSE)),VLOOKUP('Public Expenditure'!$B72,'Local Government'!$B$16:$M$76,'Public Expenditure'!F$1,FALSE),0)</f>
        <v>30000000</v>
      </c>
      <c r="G72" s="283">
        <f t="shared" si="2"/>
        <v>0.75811179621954916</v>
      </c>
      <c r="H72" s="206">
        <f t="shared" si="3"/>
        <v>49434502.939999998</v>
      </c>
      <c r="I72" s="289">
        <f t="shared" si="4"/>
        <v>164.78167646666668</v>
      </c>
      <c r="J72" s="154">
        <f>+IF(ISNUMBER(VLOOKUP($B72,'Cental Budget'!$B$16:$K$76,'Public Expenditure'!J$1,FALSE)),VLOOKUP($B72,'Cental Budget'!$B$16:$K$76,'Public Expenditure'!J$1,FALSE),0)+IF(ISNUMBER(VLOOKUP('Public Expenditure'!$B72,'Local Government'!$B$16:$M$76,'Public Expenditure'!J$1,FALSE)),VLOOKUP('Public Expenditure'!$B72,'Local Government'!$B$16:$M$76,'Public Expenditure'!J$1,FALSE),0)</f>
        <v>101007693.15000001</v>
      </c>
      <c r="K72" s="283">
        <f t="shared" si="1"/>
        <v>2.6771188218923934</v>
      </c>
      <c r="L72" s="206">
        <f t="shared" si="5"/>
        <v>-21573190.210000008</v>
      </c>
      <c r="M72" s="289">
        <f t="shared" si="6"/>
        <v>-21.357967435176505</v>
      </c>
      <c r="BH72" s="159"/>
      <c r="BI72" s="159"/>
      <c r="BJ72" s="143"/>
      <c r="BK72" s="143"/>
      <c r="BL72" s="143"/>
      <c r="BM72" s="140"/>
    </row>
    <row r="73" spans="2:65" ht="13.5" customHeight="1">
      <c r="B73" s="80">
        <v>7512</v>
      </c>
      <c r="C73" s="97" t="s">
        <v>121</v>
      </c>
      <c r="D73" s="154">
        <f>'Cental Budget'!D72+'Local Government'!D73</f>
        <v>6013734.0099999998</v>
      </c>
      <c r="E73" s="283">
        <f t="shared" si="0"/>
        <v>0.15196942307692307</v>
      </c>
      <c r="F73" s="154">
        <f>+IF(ISNUMBER(VLOOKUP($B73,'Cental Budget'!$B$16:$K$76,'Public Expenditure'!F$1,FALSE)),VLOOKUP($B73,'Cental Budget'!$B$16:$K$76,'Public Expenditure'!F$1,FALSE),0)+IF(ISNUMBER(VLOOKUP('Public Expenditure'!$B73,'Local Government'!$B$16:$M$76,'Public Expenditure'!F$1,FALSE)),VLOOKUP('Public Expenditure'!$B73,'Local Government'!$B$16:$M$76,'Public Expenditure'!F$1,FALSE),0)</f>
        <v>88577611.475717485</v>
      </c>
      <c r="G73" s="283">
        <f t="shared" si="2"/>
        <v>2.2383910713564514</v>
      </c>
      <c r="H73" s="206">
        <f t="shared" si="3"/>
        <v>-82563877.46571748</v>
      </c>
      <c r="I73" s="289">
        <f t="shared" si="4"/>
        <v>-93.21077424666322</v>
      </c>
      <c r="J73" s="154">
        <f>+IF(ISNUMBER(VLOOKUP($B73,'Cental Budget'!$B$16:$K$76,'Public Expenditure'!J$1,FALSE)),VLOOKUP($B73,'Cental Budget'!$B$16:$K$76,'Public Expenditure'!J$1,FALSE),0)+IF(ISNUMBER(VLOOKUP('Public Expenditure'!$B73,'Local Government'!$B$16:$M$76,'Public Expenditure'!J$1,FALSE)),VLOOKUP('Public Expenditure'!$B73,'Local Government'!$B$16:$M$76,'Public Expenditure'!J$1,FALSE),0)</f>
        <v>306976332.91000003</v>
      </c>
      <c r="K73" s="283">
        <f t="shared" si="1"/>
        <v>8.1361339228730465</v>
      </c>
      <c r="L73" s="206">
        <f t="shared" si="5"/>
        <v>-300962598.90000004</v>
      </c>
      <c r="M73" s="289">
        <f t="shared" si="6"/>
        <v>-98.040977963026506</v>
      </c>
      <c r="BH73" s="159"/>
      <c r="BI73" s="159"/>
      <c r="BJ73" s="143"/>
      <c r="BK73" s="143"/>
      <c r="BL73" s="143"/>
      <c r="BM73" s="140"/>
    </row>
    <row r="74" spans="2:65" ht="13.5" customHeight="1">
      <c r="B74" s="80">
        <v>72</v>
      </c>
      <c r="C74" s="103" t="s">
        <v>328</v>
      </c>
      <c r="D74" s="154">
        <f>'Cental Budget'!D73+'Local Government'!D74</f>
        <v>408483.72</v>
      </c>
      <c r="E74" s="287">
        <f t="shared" si="0"/>
        <v>1.0322544223188112E-2</v>
      </c>
      <c r="F74" s="154">
        <f>+IF(ISNUMBER(VLOOKUP($B74,'Cental Budget'!$B$16:$K$76,'Public Expenditure'!F$1,FALSE)),VLOOKUP($B74,'Cental Budget'!$B$16:$K$76,'Public Expenditure'!F$1,FALSE),0)+IF(ISNUMBER(VLOOKUP('Public Expenditure'!$B74,'Local Government'!$B$16:$M$76,'Public Expenditure'!F$1,FALSE)),VLOOKUP('Public Expenditure'!$B74,'Local Government'!$B$16:$M$76,'Public Expenditure'!F$1,FALSE),0)</f>
        <v>459602.36100000003</v>
      </c>
      <c r="G74" s="287">
        <f t="shared" si="2"/>
        <v>1.1614332381481856E-2</v>
      </c>
      <c r="H74" s="206">
        <f t="shared" si="3"/>
        <v>-51118.641000000061</v>
      </c>
      <c r="I74" s="289">
        <f t="shared" si="4"/>
        <v>-11.122362576375039</v>
      </c>
      <c r="J74" s="154">
        <f>+IF(ISNUMBER(VLOOKUP($B74,'Cental Budget'!$B$16:$K$76,'Public Expenditure'!J$1,FALSE)),VLOOKUP($B74,'Cental Budget'!$B$16:$K$76,'Public Expenditure'!J$1,FALSE),0)+IF(ISNUMBER(VLOOKUP('Public Expenditure'!$B74,'Local Government'!$B$16:$M$76,'Public Expenditure'!J$1,FALSE)),VLOOKUP('Public Expenditure'!$B74,'Local Government'!$B$16:$M$76,'Public Expenditure'!J$1,FALSE),0)</f>
        <v>1652469.4300000002</v>
      </c>
      <c r="K74" s="287">
        <f t="shared" si="1"/>
        <v>4.379722846541214E-2</v>
      </c>
      <c r="L74" s="206">
        <f t="shared" si="5"/>
        <v>-1243985.7100000002</v>
      </c>
      <c r="M74" s="289">
        <f t="shared" si="6"/>
        <v>-75.280406851459887</v>
      </c>
      <c r="BH74" s="159"/>
      <c r="BI74" s="159"/>
      <c r="BJ74" s="143"/>
      <c r="BK74" s="143"/>
      <c r="BL74" s="143"/>
      <c r="BM74" s="140"/>
    </row>
    <row r="75" spans="2:65" ht="13.5" customHeight="1" thickBot="1">
      <c r="C75" s="103" t="s">
        <v>470</v>
      </c>
      <c r="D75" s="154">
        <f>+'Local Government'!D76</f>
        <v>179594.77000000002</v>
      </c>
      <c r="E75" s="287">
        <f t="shared" si="0"/>
        <v>4.538430455877894E-3</v>
      </c>
      <c r="F75" s="154">
        <f>+'Local Government'!F76</f>
        <v>185257.6734</v>
      </c>
      <c r="G75" s="287">
        <f t="shared" si="2"/>
        <v>4.6815342514909533E-3</v>
      </c>
      <c r="H75" s="206">
        <f t="shared" si="3"/>
        <v>-5662.903399999981</v>
      </c>
      <c r="I75" s="289">
        <f t="shared" si="4"/>
        <v>-3.056771304567178</v>
      </c>
      <c r="J75" s="154">
        <f>+'Local Government'!J76</f>
        <v>198962.05</v>
      </c>
      <c r="K75" s="287">
        <f t="shared" si="1"/>
        <v>5.2733116883116882E-3</v>
      </c>
      <c r="L75" s="206">
        <f t="shared" si="5"/>
        <v>-19367.27999999997</v>
      </c>
      <c r="M75" s="289">
        <f t="shared" si="6"/>
        <v>-9.7341578456796043</v>
      </c>
      <c r="BH75" s="159"/>
      <c r="BI75" s="159"/>
      <c r="BJ75" s="143"/>
      <c r="BK75" s="143"/>
      <c r="BL75" s="143"/>
      <c r="BM75" s="140"/>
    </row>
    <row r="76" spans="2:65" ht="13.5" customHeight="1" thickTop="1" thickBot="1">
      <c r="C76" s="146" t="s">
        <v>124</v>
      </c>
      <c r="D76" s="147">
        <f>-D70-SUM(D72:D75)</f>
        <v>18852681.056999981</v>
      </c>
      <c r="E76" s="285">
        <f t="shared" si="0"/>
        <v>0.47641466332255078</v>
      </c>
      <c r="F76" s="147">
        <f>-F70-SUM(F72:F75)</f>
        <v>30051421.127722904</v>
      </c>
      <c r="G76" s="285">
        <f t="shared" si="2"/>
        <v>0.75941122833627062</v>
      </c>
      <c r="H76" s="204">
        <f t="shared" si="3"/>
        <v>-11198740.070722923</v>
      </c>
      <c r="I76" s="291">
        <f t="shared" si="4"/>
        <v>-37.265259513440817</v>
      </c>
      <c r="J76" s="147">
        <f>-J70-SUM(J72:J75)</f>
        <v>-203410819.19999999</v>
      </c>
      <c r="K76" s="285">
        <f t="shared" si="1"/>
        <v>-5.3912223482639803</v>
      </c>
      <c r="L76" s="204">
        <f t="shared" si="5"/>
        <v>222263500.25699997</v>
      </c>
      <c r="M76" s="291">
        <f t="shared" si="6"/>
        <v>-109.26827841859455</v>
      </c>
      <c r="BH76" s="159"/>
      <c r="BI76" s="159"/>
      <c r="BJ76" s="143"/>
      <c r="BK76" s="143"/>
      <c r="BL76" s="143"/>
      <c r="BM76" s="140"/>
    </row>
    <row r="77" spans="2:65" ht="13.5" thickTop="1">
      <c r="C77" s="106" t="str">
        <f>IF(MasterSheet!$A$1=1,MasterSheet!C151,MasterSheet!B151)</f>
        <v>Izvor: Ministarstvo finansija Crne Gore</v>
      </c>
      <c r="D77" s="107"/>
      <c r="E77" s="107"/>
      <c r="F77" s="107"/>
      <c r="G77" s="107"/>
      <c r="H77" s="107"/>
      <c r="I77" s="107"/>
      <c r="J77" s="107"/>
      <c r="K77" s="107"/>
      <c r="L77" s="107"/>
      <c r="M77" s="107" t="s">
        <v>427</v>
      </c>
    </row>
    <row r="79" spans="2:65">
      <c r="D79" s="212"/>
    </row>
    <row r="82" spans="3:13">
      <c r="D82" s="102"/>
      <c r="F82" s="102"/>
      <c r="J82" s="102"/>
    </row>
    <row r="83" spans="3:13">
      <c r="D83" s="102">
        <f>+'Cental Budget'!D16+'Local Government'!D16</f>
        <v>332554918.13300002</v>
      </c>
      <c r="E83" s="102">
        <f>+'Cental Budget'!E16+'Local Government'!E16</f>
        <v>8.4037935442484581</v>
      </c>
      <c r="F83" s="102">
        <f>+'Cental Budget'!F16+'Local Government'!F16</f>
        <v>334911832.52305973</v>
      </c>
      <c r="G83" s="102">
        <f>+'Cental Budget'!G16+'Local Government'!G16</f>
        <v>8.4633536976412529</v>
      </c>
      <c r="H83" s="102">
        <f>+'Cental Budget'!H16+'Local Government'!H16</f>
        <v>-2356914.3900596872</v>
      </c>
      <c r="I83" s="212"/>
      <c r="J83" s="102">
        <f>+'Cental Budget'!J16+'Local Government'!J16</f>
        <v>318160907.37999994</v>
      </c>
      <c r="K83" s="102">
        <f>+'Cental Budget'!K16+'Local Government'!K16</f>
        <v>8.4325710940895835</v>
      </c>
      <c r="L83" s="102"/>
      <c r="M83" s="102"/>
    </row>
    <row r="84" spans="3:13">
      <c r="C84" s="304"/>
      <c r="D84" s="102">
        <f>+D16</f>
        <v>332554918.13300002</v>
      </c>
      <c r="E84" s="102">
        <f>+E16</f>
        <v>8.4037935442484581</v>
      </c>
      <c r="F84" s="102">
        <f>+F16</f>
        <v>334726574.85305959</v>
      </c>
      <c r="G84" s="102">
        <f>+G16</f>
        <v>8.4586721634756792</v>
      </c>
      <c r="H84" s="102">
        <f>+H16</f>
        <v>-2171656.7200595737</v>
      </c>
      <c r="I84" s="212"/>
      <c r="J84" s="102">
        <f>+J16</f>
        <v>317979282.20999992</v>
      </c>
      <c r="K84" s="102">
        <f>+K16</f>
        <v>8.4277572809435437</v>
      </c>
      <c r="L84" s="102"/>
      <c r="M84" s="102"/>
    </row>
    <row r="85" spans="3:13">
      <c r="D85" s="298">
        <f>+D83-D84</f>
        <v>0</v>
      </c>
      <c r="E85" s="298">
        <f t="shared" ref="E85:K85" si="7">+E83-E84</f>
        <v>0</v>
      </c>
      <c r="F85" s="298">
        <f t="shared" si="7"/>
        <v>185257.6700001359</v>
      </c>
      <c r="G85" s="298">
        <f t="shared" si="7"/>
        <v>4.6815341655737086E-3</v>
      </c>
      <c r="H85" s="298">
        <f t="shared" si="7"/>
        <v>-185257.67000011355</v>
      </c>
      <c r="I85" s="212"/>
      <c r="J85" s="298">
        <f t="shared" si="7"/>
        <v>181625.17000001669</v>
      </c>
      <c r="K85" s="298">
        <f t="shared" si="7"/>
        <v>4.8138131460397915E-3</v>
      </c>
      <c r="L85" s="298"/>
      <c r="M85" s="212"/>
    </row>
    <row r="87" spans="3:13">
      <c r="J87" s="301">
        <v>2015</v>
      </c>
    </row>
    <row r="88" spans="3:13">
      <c r="D88" s="102">
        <f>+'Cental Budget'!D35+'Local Government'!D40</f>
        <v>407520435.08999997</v>
      </c>
      <c r="E88" s="102">
        <f>+'Cental Budget'!E35+'Local Government'!E40</f>
        <v>10.298201634741735</v>
      </c>
      <c r="F88" s="102">
        <f>+'Cental Budget'!F35+'Local Government'!F40</f>
        <v>460974035.54049999</v>
      </c>
      <c r="G88" s="102">
        <f>+'Cental Budget'!G35+'Local Government'!G40</f>
        <v>11.648995136472758</v>
      </c>
      <c r="H88" s="102"/>
      <c r="I88" s="102"/>
      <c r="J88" s="102">
        <f>+'Cental Budget'!J35+'Local Government'!J40</f>
        <v>398435225.83999997</v>
      </c>
      <c r="K88" s="102">
        <f>+'Cental Budget'!K35+'Local Government'!K40</f>
        <v>10.560170311158229</v>
      </c>
      <c r="L88" s="102"/>
    </row>
    <row r="89" spans="3:13">
      <c r="D89" s="102">
        <f>+D36</f>
        <v>407340840.31999999</v>
      </c>
      <c r="E89" s="102">
        <f>+E36</f>
        <v>10.29366320428586</v>
      </c>
      <c r="F89" s="102">
        <f>+F36</f>
        <v>460331312.05269998</v>
      </c>
      <c r="G89" s="102">
        <f>+G36</f>
        <v>11.632753261212473</v>
      </c>
      <c r="H89" s="102"/>
      <c r="I89" s="102"/>
      <c r="J89" s="102">
        <f>+J36</f>
        <v>397482075.5</v>
      </c>
      <c r="K89" s="102">
        <f>+K36</f>
        <v>10.53490791147628</v>
      </c>
      <c r="L89" s="102"/>
    </row>
    <row r="90" spans="3:13">
      <c r="D90" s="300">
        <f>+D88-D89</f>
        <v>179594.76999998093</v>
      </c>
      <c r="E90" s="300"/>
      <c r="F90" s="300">
        <f t="shared" ref="F90:J90" si="8">+F88-F89</f>
        <v>642723.4878000021</v>
      </c>
      <c r="G90" s="300">
        <f t="shared" si="8"/>
        <v>1.6241875260284644E-2</v>
      </c>
      <c r="H90" s="300"/>
      <c r="I90" s="300"/>
      <c r="J90" s="300">
        <f t="shared" si="8"/>
        <v>953150.33999997377</v>
      </c>
      <c r="K90" s="300"/>
      <c r="L90" s="300"/>
    </row>
    <row r="91" spans="3:13">
      <c r="D91" s="212"/>
    </row>
    <row r="93" spans="3:13">
      <c r="D93" s="102">
        <f>+'Cental Budget'!D63+'Local Government'!D64</f>
        <v>-74965516.956999943</v>
      </c>
      <c r="E93" s="102">
        <f>+E64</f>
        <v>-1.8898696600373996</v>
      </c>
      <c r="F93" s="102">
        <f>+F64</f>
        <v>-125604737.19964039</v>
      </c>
      <c r="G93" s="102">
        <f>+G64</f>
        <v>-3.1740810977367939</v>
      </c>
      <c r="H93" s="102"/>
      <c r="I93" s="102"/>
      <c r="J93" s="102">
        <f>+J64</f>
        <v>-79502793.290000081</v>
      </c>
      <c r="K93" s="102">
        <f>+K64</f>
        <v>-2.1071506305327348</v>
      </c>
      <c r="L93" s="102">
        <f>+L64</f>
        <v>4716871.1030001044</v>
      </c>
    </row>
    <row r="94" spans="3:13">
      <c r="D94" s="102">
        <f>+D64</f>
        <v>-74785922.186999977</v>
      </c>
      <c r="E94" s="102">
        <f>+'Cental Budget'!E63+'Local Government'!E64</f>
        <v>-1.8944080904932765</v>
      </c>
      <c r="F94" s="102">
        <f>+'Cental Budget'!F63+'Local Government'!F64</f>
        <v>-126062203.01744029</v>
      </c>
      <c r="G94" s="102">
        <f>+'Cental Budget'!G63+'Local Government'!G64</f>
        <v>-3.1856414388315044</v>
      </c>
      <c r="H94" s="102"/>
      <c r="I94" s="102"/>
      <c r="J94" s="102">
        <f>+'Cental Budget'!J63+'Local Government'!J64</f>
        <v>-80274318.460000023</v>
      </c>
      <c r="K94" s="102">
        <f>+'Cental Budget'!K63+'Local Government'!K64</f>
        <v>-2.1275992170686462</v>
      </c>
      <c r="L94" s="102">
        <f>+'Cental Budget'!L63+'Local Government'!L64</f>
        <v>5308801.5030000843</v>
      </c>
    </row>
    <row r="95" spans="3:13">
      <c r="D95" s="299">
        <f>+D93-D94</f>
        <v>-179594.76999996603</v>
      </c>
      <c r="E95" s="299">
        <f t="shared" ref="E95:L95" si="9">+E93-E94</f>
        <v>4.538430455876874E-3</v>
      </c>
      <c r="F95" s="299">
        <f t="shared" si="9"/>
        <v>457465.817799896</v>
      </c>
      <c r="G95" s="299">
        <f t="shared" si="9"/>
        <v>1.1560341094710491E-2</v>
      </c>
      <c r="H95" s="299"/>
      <c r="I95" s="299"/>
      <c r="J95" s="299">
        <f t="shared" si="9"/>
        <v>771525.16999994218</v>
      </c>
      <c r="K95" s="299">
        <f t="shared" si="9"/>
        <v>2.0448586535911417E-2</v>
      </c>
      <c r="L95" s="299">
        <f t="shared" si="9"/>
        <v>-591930.39999997988</v>
      </c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7" t="s">
        <v>436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49" t="s">
        <v>195</v>
      </c>
      <c r="C3" s="349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49" t="s">
        <v>243</v>
      </c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</row>
    <row r="40" spans="2:20" ht="12.75" customHeight="1">
      <c r="B40" s="352" t="s">
        <v>238</v>
      </c>
      <c r="C40" s="352"/>
      <c r="D40" s="353" t="s">
        <v>244</v>
      </c>
      <c r="E40" s="353"/>
      <c r="F40" s="352" t="s">
        <v>239</v>
      </c>
      <c r="G40" s="352"/>
      <c r="H40" s="352"/>
      <c r="I40" s="2" t="s">
        <v>240</v>
      </c>
      <c r="J40" s="352" t="s">
        <v>241</v>
      </c>
      <c r="K40" s="352"/>
      <c r="L40" s="352"/>
      <c r="M40" s="352" t="s">
        <v>242</v>
      </c>
      <c r="N40" s="352"/>
      <c r="O40" s="352"/>
      <c r="P40" s="352"/>
    </row>
    <row r="41" spans="2:20">
      <c r="B41" s="352"/>
      <c r="C41" s="352"/>
      <c r="D41" s="353"/>
      <c r="E41" s="353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50" t="s">
        <v>222</v>
      </c>
      <c r="C42" s="15" t="s">
        <v>223</v>
      </c>
      <c r="D42" s="354" t="s">
        <v>180</v>
      </c>
      <c r="E42" s="16" t="s">
        <v>181</v>
      </c>
      <c r="F42" s="354" t="s">
        <v>246</v>
      </c>
      <c r="G42" s="354"/>
      <c r="H42" s="354"/>
      <c r="I42" s="17" t="s">
        <v>247</v>
      </c>
      <c r="J42" s="355" t="s">
        <v>248</v>
      </c>
      <c r="K42" s="355"/>
      <c r="L42" s="355"/>
      <c r="M42" s="354" t="s">
        <v>249</v>
      </c>
      <c r="N42" s="354"/>
      <c r="O42" s="354"/>
      <c r="P42" s="354"/>
    </row>
    <row r="43" spans="2:20">
      <c r="B43" s="350"/>
      <c r="C43" s="18" t="s">
        <v>224</v>
      </c>
      <c r="D43" s="354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50"/>
      <c r="C44" s="15" t="s">
        <v>225</v>
      </c>
      <c r="D44" s="354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50"/>
      <c r="C45" s="15" t="s">
        <v>226</v>
      </c>
      <c r="D45" s="354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50"/>
      <c r="C46" s="15" t="s">
        <v>227</v>
      </c>
      <c r="D46" s="354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50"/>
      <c r="C47" s="15" t="s">
        <v>228</v>
      </c>
      <c r="D47" s="354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50"/>
      <c r="C48" s="15" t="s">
        <v>229</v>
      </c>
      <c r="D48" s="354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50"/>
      <c r="C49" s="19" t="s">
        <v>230</v>
      </c>
      <c r="D49" s="354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50"/>
      <c r="C50" s="15" t="s">
        <v>231</v>
      </c>
      <c r="D50" s="354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50"/>
      <c r="C51" s="15" t="s">
        <v>378</v>
      </c>
      <c r="D51" s="354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51" t="s">
        <v>232</v>
      </c>
      <c r="C52" s="20" t="s">
        <v>233</v>
      </c>
      <c r="D52" s="354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51"/>
      <c r="C53" s="20" t="s">
        <v>234</v>
      </c>
      <c r="D53" s="354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51"/>
      <c r="C54" s="20" t="s">
        <v>235</v>
      </c>
      <c r="D54" s="354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51"/>
      <c r="C55" s="20" t="s">
        <v>374</v>
      </c>
      <c r="D55" s="354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51"/>
      <c r="C56" s="20" t="s">
        <v>79</v>
      </c>
      <c r="D56" s="354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51"/>
      <c r="C57" s="20" t="s">
        <v>236</v>
      </c>
      <c r="D57" s="354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51"/>
      <c r="C58" s="20" t="s">
        <v>375</v>
      </c>
      <c r="D58" s="354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51"/>
      <c r="C59" s="20" t="s">
        <v>237</v>
      </c>
      <c r="D59" s="354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49" t="s">
        <v>251</v>
      </c>
      <c r="C62" s="349"/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349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466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49" t="s">
        <v>255</v>
      </c>
      <c r="C154" s="349"/>
      <c r="D154" s="349"/>
      <c r="E154" s="349"/>
      <c r="F154" s="349"/>
      <c r="G154" s="349"/>
      <c r="H154" s="349"/>
      <c r="I154" s="349"/>
      <c r="J154" s="349"/>
      <c r="K154" s="349"/>
      <c r="L154" s="349"/>
      <c r="M154" s="349"/>
      <c r="N154" s="349"/>
      <c r="O154" s="349"/>
      <c r="P154" s="349"/>
      <c r="Q154" s="349"/>
      <c r="R154" s="349"/>
      <c r="S154" s="349"/>
      <c r="T154" s="349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467</v>
      </c>
      <c r="C198" s="11" t="s">
        <v>465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49" t="s">
        <v>278</v>
      </c>
      <c r="C253" s="349"/>
      <c r="D253" s="349"/>
      <c r="E253" s="349"/>
      <c r="F253" s="349"/>
      <c r="G253" s="349"/>
      <c r="H253" s="349"/>
      <c r="I253" s="349"/>
      <c r="J253" s="349"/>
      <c r="K253" s="349"/>
      <c r="L253" s="349"/>
      <c r="M253" s="349"/>
      <c r="N253" s="349"/>
      <c r="O253" s="349"/>
      <c r="P253" s="349"/>
      <c r="Q253" s="349"/>
      <c r="R253" s="349"/>
      <c r="S253" s="349"/>
      <c r="T253" s="349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466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49" t="s">
        <v>314</v>
      </c>
      <c r="C331" s="349"/>
      <c r="D331" s="349"/>
      <c r="E331" s="349"/>
      <c r="F331" s="349"/>
      <c r="G331" s="349"/>
      <c r="H331" s="349"/>
      <c r="I331" s="349"/>
      <c r="J331" s="349"/>
      <c r="K331" s="349"/>
      <c r="L331" s="349"/>
      <c r="M331" s="349"/>
      <c r="N331" s="349"/>
      <c r="O331" s="349"/>
      <c r="P331" s="349"/>
      <c r="Q331" s="349"/>
      <c r="R331" s="349"/>
      <c r="S331" s="349"/>
      <c r="T331" s="349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461</v>
      </c>
      <c r="C345" s="11" t="s">
        <v>462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465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49" t="s">
        <v>386</v>
      </c>
      <c r="C419" s="356"/>
      <c r="D419" s="356"/>
      <c r="E419" s="356"/>
      <c r="F419" s="356"/>
      <c r="G419" s="356"/>
      <c r="H419" s="356"/>
      <c r="I419" s="356"/>
      <c r="J419" s="356"/>
      <c r="K419" s="356"/>
      <c r="L419" s="356"/>
      <c r="M419" s="356"/>
      <c r="N419" s="356"/>
      <c r="O419" s="356"/>
      <c r="P419" s="356"/>
      <c r="Q419" s="356"/>
      <c r="R419" s="356"/>
      <c r="S419" s="356"/>
      <c r="T419" s="356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49" t="s">
        <v>329</v>
      </c>
      <c r="C427" s="349"/>
      <c r="D427" s="349"/>
      <c r="E427" s="349"/>
      <c r="F427" s="349"/>
      <c r="G427" s="349"/>
      <c r="H427" s="349"/>
      <c r="I427" s="349"/>
      <c r="J427" s="349"/>
      <c r="K427" s="349"/>
      <c r="L427" s="349"/>
      <c r="M427" s="349"/>
      <c r="N427" s="349"/>
      <c r="O427" s="349"/>
      <c r="P427" s="349"/>
      <c r="Q427" s="349"/>
      <c r="R427" s="349"/>
      <c r="S427" s="349"/>
      <c r="T427" s="349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49" t="s">
        <v>344</v>
      </c>
      <c r="C432" s="349"/>
      <c r="D432" s="349"/>
      <c r="E432" s="349"/>
      <c r="F432" s="349"/>
      <c r="G432" s="349"/>
      <c r="H432" s="349"/>
      <c r="I432" s="349"/>
      <c r="J432" s="349"/>
      <c r="K432" s="349"/>
      <c r="L432" s="349"/>
      <c r="M432" s="349"/>
      <c r="N432" s="349"/>
      <c r="O432" s="349"/>
      <c r="P432" s="349"/>
      <c r="Q432" s="349"/>
      <c r="R432" s="349"/>
      <c r="S432" s="349"/>
      <c r="T432" s="349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40:C41"/>
    <mergeCell ref="B419:T419"/>
    <mergeCell ref="B432:T432"/>
    <mergeCell ref="B427:T427"/>
    <mergeCell ref="B331:T331"/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79" t="s">
        <v>292</v>
      </c>
      <c r="E4" s="179" t="s">
        <v>293</v>
      </c>
      <c r="F4" s="179" t="s">
        <v>294</v>
      </c>
      <c r="G4" s="179" t="s">
        <v>295</v>
      </c>
      <c r="H4" s="179" t="s">
        <v>296</v>
      </c>
      <c r="I4" s="179" t="s">
        <v>297</v>
      </c>
      <c r="J4" s="179" t="s">
        <v>298</v>
      </c>
      <c r="K4" s="179" t="s">
        <v>299</v>
      </c>
      <c r="L4" s="179" t="s">
        <v>300</v>
      </c>
      <c r="M4" s="179" t="s">
        <v>301</v>
      </c>
      <c r="N4" s="179" t="s">
        <v>302</v>
      </c>
      <c r="O4" s="179" t="s">
        <v>303</v>
      </c>
    </row>
    <row r="5" spans="3:16">
      <c r="C5" s="179" t="s">
        <v>437</v>
      </c>
      <c r="D5" s="180">
        <v>62425293.156965584</v>
      </c>
      <c r="E5" s="180">
        <v>79762187.59852089</v>
      </c>
      <c r="F5" s="180">
        <v>89318688.151918903</v>
      </c>
      <c r="G5" s="180">
        <v>106294081.27535464</v>
      </c>
      <c r="H5" s="180">
        <v>97189661.825924918</v>
      </c>
      <c r="I5" s="180">
        <v>105191801.34506513</v>
      </c>
      <c r="J5" s="180">
        <v>123272889.17858437</v>
      </c>
      <c r="K5" s="180">
        <v>125579133.65326507</v>
      </c>
      <c r="L5" s="180">
        <v>121047897.33843082</v>
      </c>
      <c r="M5" s="180">
        <v>114789505.85515907</v>
      </c>
      <c r="N5" s="180">
        <v>97406301.479715049</v>
      </c>
      <c r="O5" s="180">
        <v>145778958.57826602</v>
      </c>
      <c r="P5" s="180">
        <f>+SUM(D5:O5)</f>
        <v>1268056399.4371705</v>
      </c>
    </row>
    <row r="6" spans="3:16">
      <c r="C6" s="179" t="s">
        <v>438</v>
      </c>
      <c r="D6" s="180">
        <v>70632268.589999989</v>
      </c>
      <c r="E6" s="180">
        <v>81381758.450000018</v>
      </c>
      <c r="F6" s="180">
        <v>100495765.61000001</v>
      </c>
      <c r="G6" s="180">
        <v>107356417.33534782</v>
      </c>
      <c r="H6" s="180">
        <v>98816734.644163221</v>
      </c>
      <c r="I6" s="180">
        <v>107147051.5707173</v>
      </c>
      <c r="J6" s="180">
        <v>125666748.8575906</v>
      </c>
      <c r="K6" s="180">
        <v>127890096.38694921</v>
      </c>
      <c r="L6" s="180">
        <v>123465322.33433203</v>
      </c>
      <c r="M6" s="180">
        <v>117130344.73943919</v>
      </c>
      <c r="N6" s="180">
        <v>99294843.070796907</v>
      </c>
      <c r="O6" s="180">
        <v>149056317.49743444</v>
      </c>
      <c r="P6" s="180">
        <f>+SUM(D6:O6)</f>
        <v>1308333669.0867708</v>
      </c>
    </row>
    <row r="7" spans="3:16">
      <c r="C7" s="179" t="s">
        <v>439</v>
      </c>
      <c r="D7" s="180">
        <v>54757461.979999989</v>
      </c>
      <c r="E7" s="180">
        <v>75673443.909999996</v>
      </c>
      <c r="F7" s="180">
        <v>88296245.580000013</v>
      </c>
      <c r="G7" s="180">
        <v>103948239.19999999</v>
      </c>
      <c r="H7" s="180">
        <v>93997829.679999992</v>
      </c>
      <c r="I7" s="180">
        <v>99561632.659999996</v>
      </c>
      <c r="J7" s="180">
        <v>122021331.04999998</v>
      </c>
      <c r="K7" s="180">
        <v>125053427.64999999</v>
      </c>
      <c r="L7" s="180">
        <v>116342017.78000002</v>
      </c>
      <c r="M7" s="180">
        <v>117283627.60000001</v>
      </c>
      <c r="N7" s="180">
        <v>95781753.159999996</v>
      </c>
      <c r="O7" s="180">
        <v>142429369.22999999</v>
      </c>
      <c r="P7" s="180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20">
        <v>3335894492.1291356</v>
      </c>
      <c r="D3" s="320"/>
      <c r="E3" s="313">
        <v>3516156889.9792166</v>
      </c>
      <c r="F3" s="314"/>
      <c r="G3" s="314"/>
      <c r="H3" s="315"/>
    </row>
    <row r="4" spans="2:13" ht="13.5" thickTop="1">
      <c r="E4" s="83"/>
      <c r="F4" s="83"/>
      <c r="G4" s="82"/>
      <c r="H4" s="82"/>
    </row>
    <row r="5" spans="2:13" ht="13.5" thickBot="1">
      <c r="E5" s="162"/>
      <c r="F5" s="162"/>
      <c r="G5" s="162"/>
      <c r="H5" s="162"/>
    </row>
    <row r="6" spans="2:13" ht="13.5" thickTop="1">
      <c r="B6" t="s">
        <v>126</v>
      </c>
      <c r="C6" s="311">
        <v>2013</v>
      </c>
      <c r="D6" s="312"/>
      <c r="E6" s="311" t="s">
        <v>392</v>
      </c>
      <c r="F6" s="312"/>
      <c r="G6" s="311" t="s">
        <v>426</v>
      </c>
      <c r="H6" s="312"/>
      <c r="I6" s="311" t="s">
        <v>440</v>
      </c>
      <c r="J6" s="312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82" t="s">
        <v>262</v>
      </c>
      <c r="J7" s="182" t="s">
        <v>441</v>
      </c>
    </row>
    <row r="8" spans="2:13" ht="14.25" thickTop="1" thickBot="1">
      <c r="B8" s="90" t="s">
        <v>127</v>
      </c>
      <c r="C8" s="163">
        <f>C9+C17+C22+C27+C34+C39</f>
        <v>1235146379.48</v>
      </c>
      <c r="D8" s="92">
        <f>C8/C$3*100</f>
        <v>37.025942588839719</v>
      </c>
      <c r="E8" s="163">
        <f>+E9+E17+E22+E27+E34+E39+E40</f>
        <v>1276056399.4371703</v>
      </c>
      <c r="F8" s="92">
        <f>E8/E$3*100</f>
        <v>36.291224748071834</v>
      </c>
      <c r="G8" s="160">
        <f>+G9+G17+G22+G27+G34+G39+G40</f>
        <v>1316333669.0867703</v>
      </c>
      <c r="H8" s="92">
        <f>G8/E$3*100</f>
        <v>37.436716002014087</v>
      </c>
      <c r="I8" s="160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52">
        <f>SUM(C10:C16)</f>
        <v>755696459.51000011</v>
      </c>
      <c r="D9" s="95">
        <f t="shared" ref="D9:D72" si="0">C9/C$3*100</f>
        <v>22.653488031261944</v>
      </c>
      <c r="E9" s="152">
        <f>+SUM(E10:E16)</f>
        <v>797828901.35953081</v>
      </c>
      <c r="F9" s="96">
        <f t="shared" ref="F9:F73" si="1">E9/E$3*100</f>
        <v>22.690366963808792</v>
      </c>
      <c r="G9" s="152">
        <f>+SUM(G10:G16)</f>
        <v>819077478.06873</v>
      </c>
      <c r="H9" s="96">
        <f t="shared" ref="H9:H72" si="2">G9/E$3*100</f>
        <v>23.294679495190881</v>
      </c>
      <c r="I9" s="152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3">
        <v>95618433.909999996</v>
      </c>
      <c r="D10" s="98">
        <f t="shared" si="0"/>
        <v>2.8663506635358695</v>
      </c>
      <c r="E10" s="153">
        <v>96011654.614494905</v>
      </c>
      <c r="F10" s="98">
        <f t="shared" si="1"/>
        <v>2.7305850568875618</v>
      </c>
      <c r="G10" s="154">
        <v>96781150.729929999</v>
      </c>
      <c r="H10" s="98">
        <f t="shared" si="2"/>
        <v>2.7524696354064582</v>
      </c>
      <c r="I10" s="154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4">
        <v>40638726.390000008</v>
      </c>
      <c r="D11" s="98">
        <f t="shared" si="0"/>
        <v>1.2182257708055488</v>
      </c>
      <c r="E11" s="154">
        <v>44395641.531501003</v>
      </c>
      <c r="F11" s="98">
        <f t="shared" si="1"/>
        <v>1.2626183336137604</v>
      </c>
      <c r="G11" s="154">
        <v>50018934.706970006</v>
      </c>
      <c r="H11" s="98">
        <f t="shared" si="2"/>
        <v>1.4225455880401758</v>
      </c>
      <c r="I11" s="154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4">
        <v>1440565.3199999998</v>
      </c>
      <c r="D12" s="98">
        <f t="shared" si="0"/>
        <v>4.318377944503151E-2</v>
      </c>
      <c r="E12" s="154">
        <v>1544536.6728920399</v>
      </c>
      <c r="F12" s="98">
        <f t="shared" si="1"/>
        <v>4.3926841754241781E-2</v>
      </c>
      <c r="G12" s="154">
        <v>1489198.0023599996</v>
      </c>
      <c r="H12" s="98">
        <f t="shared" si="2"/>
        <v>4.2353002125818169E-2</v>
      </c>
      <c r="I12" s="154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3">
        <v>429195069.32999998</v>
      </c>
      <c r="D13" s="98">
        <f t="shared" si="0"/>
        <v>12.865966544885122</v>
      </c>
      <c r="E13" s="153">
        <v>455945630.52919102</v>
      </c>
      <c r="F13" s="98">
        <f t="shared" si="1"/>
        <v>12.967158315051353</v>
      </c>
      <c r="G13" s="154">
        <v>473642045.78458995</v>
      </c>
      <c r="H13" s="98">
        <f t="shared" si="2"/>
        <v>13.470446871538474</v>
      </c>
      <c r="I13" s="154">
        <f t="shared" si="3"/>
        <v>17696415.255398929</v>
      </c>
      <c r="J13" s="98">
        <f t="shared" si="4"/>
        <v>3.8812555862986784</v>
      </c>
      <c r="L13" s="154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4">
        <v>161445470.17000002</v>
      </c>
      <c r="D14" s="98">
        <f t="shared" si="0"/>
        <v>4.8396455748502225</v>
      </c>
      <c r="E14" s="154">
        <v>171111988.52539012</v>
      </c>
      <c r="F14" s="98">
        <f t="shared" si="1"/>
        <v>4.8664491909631922</v>
      </c>
      <c r="G14" s="154">
        <v>169158715.98390999</v>
      </c>
      <c r="H14" s="98">
        <f t="shared" si="2"/>
        <v>4.8108978432105705</v>
      </c>
      <c r="I14" s="154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4">
        <v>22269382.640000001</v>
      </c>
      <c r="D15" s="98">
        <f t="shared" si="0"/>
        <v>0.66756855447746977</v>
      </c>
      <c r="E15" s="154">
        <v>23735353.696558259</v>
      </c>
      <c r="F15" s="98">
        <f t="shared" si="1"/>
        <v>0.67503682114419394</v>
      </c>
      <c r="G15" s="154">
        <v>22781578.440719999</v>
      </c>
      <c r="H15" s="98">
        <f t="shared" si="2"/>
        <v>0.64791131776985811</v>
      </c>
      <c r="I15" s="154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4">
        <v>5088811.75</v>
      </c>
      <c r="D16" s="98">
        <f t="shared" si="0"/>
        <v>0.15254714326267749</v>
      </c>
      <c r="E16" s="154">
        <v>5084095.7895035082</v>
      </c>
      <c r="F16" s="98">
        <f t="shared" si="1"/>
        <v>0.14459240439449103</v>
      </c>
      <c r="G16" s="154">
        <v>5205854.4202499995</v>
      </c>
      <c r="H16" s="98">
        <f t="shared" si="2"/>
        <v>0.14805523709952459</v>
      </c>
      <c r="I16" s="154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64">
        <f>SUM(C18:C21)</f>
        <v>398494284.19</v>
      </c>
      <c r="D17" s="96">
        <f t="shared" si="0"/>
        <v>11.94565011364196</v>
      </c>
      <c r="E17" s="152">
        <f>+SUM(E18:E21)</f>
        <v>397823173.70918262</v>
      </c>
      <c r="F17" s="96">
        <f t="shared" si="1"/>
        <v>11.314147410286179</v>
      </c>
      <c r="G17" s="152">
        <f>+SUM(G18:G21)</f>
        <v>417559652.73636997</v>
      </c>
      <c r="H17" s="96">
        <f t="shared" si="2"/>
        <v>11.87545566940951</v>
      </c>
      <c r="I17" s="152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4">
        <v>241949355.72999999</v>
      </c>
      <c r="D18" s="98">
        <f t="shared" si="0"/>
        <v>7.2529079172277937</v>
      </c>
      <c r="E18" s="154">
        <v>234882396.70208701</v>
      </c>
      <c r="F18" s="98">
        <f t="shared" si="1"/>
        <v>6.6800886323213922</v>
      </c>
      <c r="G18" s="154">
        <v>254875867.28178996</v>
      </c>
      <c r="H18" s="98">
        <f t="shared" si="2"/>
        <v>7.2487057676000486</v>
      </c>
      <c r="I18" s="154">
        <f t="shared" si="3"/>
        <v>19993470.579702944</v>
      </c>
      <c r="J18" s="98">
        <f t="shared" si="4"/>
        <v>8.5121196225963445</v>
      </c>
      <c r="L18" s="154">
        <f>+G18-C18</f>
        <v>12926511.551789969</v>
      </c>
    </row>
    <row r="19" spans="2:12">
      <c r="B19" s="97" t="s">
        <v>23</v>
      </c>
      <c r="C19" s="154">
        <v>134703897.09</v>
      </c>
      <c r="D19" s="98">
        <f t="shared" si="0"/>
        <v>4.038014313936686</v>
      </c>
      <c r="E19" s="154">
        <v>138667298.82084399</v>
      </c>
      <c r="F19" s="98">
        <f t="shared" si="1"/>
        <v>3.9437176201106214</v>
      </c>
      <c r="G19" s="154">
        <v>139196347.37307</v>
      </c>
      <c r="H19" s="98">
        <f t="shared" si="2"/>
        <v>3.9587638358734543</v>
      </c>
      <c r="I19" s="154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4">
        <v>10770190.189999999</v>
      </c>
      <c r="D20" s="98">
        <f t="shared" si="0"/>
        <v>0.32285763879558199</v>
      </c>
      <c r="E20" s="154">
        <v>11617385.520490499</v>
      </c>
      <c r="F20" s="98">
        <f t="shared" si="1"/>
        <v>0.33040008975706336</v>
      </c>
      <c r="G20" s="154">
        <v>11434714.104369998</v>
      </c>
      <c r="H20" s="98">
        <f t="shared" si="2"/>
        <v>0.3252048888079504</v>
      </c>
      <c r="I20" s="154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4">
        <v>11070841.180000002</v>
      </c>
      <c r="D21" s="98">
        <f t="shared" si="0"/>
        <v>0.33187024368189877</v>
      </c>
      <c r="E21" s="153">
        <v>12656092.6657611</v>
      </c>
      <c r="F21" s="98">
        <f t="shared" si="1"/>
        <v>0.3599410680971038</v>
      </c>
      <c r="G21" s="154">
        <v>12052723.97714</v>
      </c>
      <c r="H21" s="98">
        <f t="shared" si="2"/>
        <v>0.34278117712805589</v>
      </c>
      <c r="I21" s="154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52">
        <f>SUM(C23:C26)</f>
        <v>27069458</v>
      </c>
      <c r="D22" s="96">
        <f t="shared" si="0"/>
        <v>0.81146025642804165</v>
      </c>
      <c r="E22" s="152">
        <f>+SUM(E23:E26)</f>
        <v>20923047.198280636</v>
      </c>
      <c r="F22" s="96">
        <f t="shared" si="1"/>
        <v>0.59505442598166625</v>
      </c>
      <c r="G22" s="152">
        <f>+SUM(G23:G26)</f>
        <v>19923047.198280636</v>
      </c>
      <c r="H22" s="96">
        <f t="shared" si="2"/>
        <v>0.56661428433582772</v>
      </c>
      <c r="I22" s="152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4">
        <v>7881462.9399999995</v>
      </c>
      <c r="D23" s="98">
        <f t="shared" si="0"/>
        <v>0.23626235657620134</v>
      </c>
      <c r="E23" s="154">
        <v>8144616.5029747505</v>
      </c>
      <c r="F23" s="98">
        <f t="shared" si="1"/>
        <v>0.23163404699563594</v>
      </c>
      <c r="G23" s="154">
        <v>8144616.5029747505</v>
      </c>
      <c r="H23" s="98">
        <f t="shared" si="2"/>
        <v>0.23163404699563594</v>
      </c>
      <c r="I23" s="154">
        <f t="shared" si="3"/>
        <v>0</v>
      </c>
      <c r="J23" s="98">
        <f t="shared" si="4"/>
        <v>0</v>
      </c>
    </row>
    <row r="24" spans="2:12">
      <c r="B24" s="97" t="s">
        <v>32</v>
      </c>
      <c r="C24" s="154">
        <v>4557791.26</v>
      </c>
      <c r="D24" s="98">
        <f t="shared" si="0"/>
        <v>0.13662875941531916</v>
      </c>
      <c r="E24" s="154">
        <v>3676083.5729169641</v>
      </c>
      <c r="F24" s="98">
        <f t="shared" si="1"/>
        <v>0.10454833751569864</v>
      </c>
      <c r="G24" s="154">
        <v>5176083.5729169641</v>
      </c>
      <c r="H24" s="98">
        <f t="shared" si="2"/>
        <v>0.14720854998445643</v>
      </c>
      <c r="I24" s="154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4">
        <v>767936.98999999987</v>
      </c>
      <c r="D25" s="98">
        <f t="shared" si="0"/>
        <v>2.3020422013103413E-2</v>
      </c>
      <c r="E25" s="154">
        <v>762511.44191594806</v>
      </c>
      <c r="F25" s="98">
        <f t="shared" si="1"/>
        <v>2.1685933414662142E-2</v>
      </c>
      <c r="G25" s="154">
        <v>762511.44191594806</v>
      </c>
      <c r="H25" s="98">
        <f t="shared" si="2"/>
        <v>2.1685933414662142E-2</v>
      </c>
      <c r="I25" s="154">
        <f t="shared" si="3"/>
        <v>0</v>
      </c>
      <c r="J25" s="98">
        <f t="shared" si="4"/>
        <v>0</v>
      </c>
    </row>
    <row r="26" spans="2:12">
      <c r="B26" s="97" t="s">
        <v>37</v>
      </c>
      <c r="C26" s="153">
        <v>13862266.809999999</v>
      </c>
      <c r="D26" s="98">
        <f t="shared" si="0"/>
        <v>0.41554871842341756</v>
      </c>
      <c r="E26" s="153">
        <v>8339835.6804729737</v>
      </c>
      <c r="F26" s="98">
        <f t="shared" si="1"/>
        <v>0.23718610805566953</v>
      </c>
      <c r="G26" s="153">
        <v>5839835.6804729737</v>
      </c>
      <c r="H26" s="98">
        <f t="shared" si="2"/>
        <v>0.16608575394107319</v>
      </c>
      <c r="I26" s="153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52">
        <f>SUM(C28:C33)</f>
        <v>13233490.18</v>
      </c>
      <c r="D27" s="96">
        <f t="shared" si="0"/>
        <v>0.39669990196703492</v>
      </c>
      <c r="E27" s="152">
        <f>+SUM(E28:E33)</f>
        <v>13024243.76827177</v>
      </c>
      <c r="F27" s="96">
        <f t="shared" si="1"/>
        <v>0.37041133759957889</v>
      </c>
      <c r="G27" s="152">
        <f>+SUM(G28:G33)</f>
        <v>12724243.76827177</v>
      </c>
      <c r="H27" s="96">
        <f t="shared" si="2"/>
        <v>0.36187929510582734</v>
      </c>
      <c r="I27" s="152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4">
        <v>647266.8600000001</v>
      </c>
      <c r="D28" s="98">
        <f t="shared" si="0"/>
        <v>1.9403097475870164E-2</v>
      </c>
      <c r="E28" s="154">
        <v>698651.48499726248</v>
      </c>
      <c r="F28" s="98">
        <f t="shared" si="1"/>
        <v>1.9869747194397578E-2</v>
      </c>
      <c r="G28" s="154">
        <v>698651.48499726248</v>
      </c>
      <c r="H28" s="98">
        <f t="shared" si="2"/>
        <v>1.9869747194397578E-2</v>
      </c>
      <c r="I28" s="154">
        <f t="shared" si="3"/>
        <v>0</v>
      </c>
      <c r="J28" s="98">
        <f t="shared" si="4"/>
        <v>0</v>
      </c>
    </row>
    <row r="29" spans="2:12">
      <c r="B29" s="97" t="s">
        <v>42</v>
      </c>
      <c r="C29" s="154">
        <v>1995183.6300000001</v>
      </c>
      <c r="D29" s="98">
        <f t="shared" si="0"/>
        <v>5.9809554370125591E-2</v>
      </c>
      <c r="E29" s="154">
        <v>1997965.7673730874</v>
      </c>
      <c r="F29" s="98">
        <f t="shared" si="1"/>
        <v>5.6822429427627073E-2</v>
      </c>
      <c r="G29" s="154">
        <v>1997965.7673730874</v>
      </c>
      <c r="H29" s="98">
        <f t="shared" si="2"/>
        <v>5.6822429427627073E-2</v>
      </c>
      <c r="I29" s="154">
        <f t="shared" si="3"/>
        <v>0</v>
      </c>
      <c r="J29" s="98">
        <f t="shared" si="4"/>
        <v>0</v>
      </c>
    </row>
    <row r="30" spans="2:12">
      <c r="B30" s="97" t="s">
        <v>45</v>
      </c>
      <c r="C30" s="154">
        <v>309851.25</v>
      </c>
      <c r="D30" s="98">
        <f t="shared" si="0"/>
        <v>9.2884007791936302E-3</v>
      </c>
      <c r="E30" s="154">
        <v>424373.88097611902</v>
      </c>
      <c r="F30" s="98">
        <f t="shared" si="1"/>
        <v>1.2069253285755047E-2</v>
      </c>
      <c r="G30" s="154">
        <v>424373.88097611902</v>
      </c>
      <c r="H30" s="98">
        <f t="shared" si="2"/>
        <v>1.2069253285755047E-2</v>
      </c>
      <c r="I30" s="154">
        <f t="shared" si="3"/>
        <v>0</v>
      </c>
      <c r="J30" s="98">
        <f t="shared" si="4"/>
        <v>0</v>
      </c>
    </row>
    <row r="31" spans="2:12">
      <c r="B31" s="97" t="s">
        <v>47</v>
      </c>
      <c r="C31" s="154">
        <v>3324177.16</v>
      </c>
      <c r="D31" s="98">
        <f t="shared" si="0"/>
        <v>9.9648749918296836E-2</v>
      </c>
      <c r="E31" s="154">
        <v>3266343.0516235088</v>
      </c>
      <c r="F31" s="98">
        <f t="shared" si="1"/>
        <v>9.2895259052073062E-2</v>
      </c>
      <c r="G31" s="154">
        <v>3666343.0516235088</v>
      </c>
      <c r="H31" s="98">
        <f t="shared" si="2"/>
        <v>0.10427131571040847</v>
      </c>
      <c r="I31" s="154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4">
        <v>3659024.1899999995</v>
      </c>
      <c r="D32" s="98">
        <f t="shared" si="0"/>
        <v>0.10968644837638813</v>
      </c>
      <c r="E32" s="154">
        <v>3355752.0175728933</v>
      </c>
      <c r="F32" s="98">
        <f t="shared" si="1"/>
        <v>9.5438062708081514E-2</v>
      </c>
      <c r="G32" s="154">
        <v>3355752.0175728933</v>
      </c>
      <c r="H32" s="98">
        <f t="shared" si="2"/>
        <v>9.5438062708081514E-2</v>
      </c>
      <c r="I32" s="154">
        <f t="shared" si="3"/>
        <v>0</v>
      </c>
      <c r="J32" s="98">
        <f t="shared" si="4"/>
        <v>0</v>
      </c>
    </row>
    <row r="33" spans="2:10">
      <c r="B33" s="97" t="s">
        <v>51</v>
      </c>
      <c r="C33" s="154">
        <v>3297987.09</v>
      </c>
      <c r="D33" s="98">
        <f t="shared" si="0"/>
        <v>9.8863651047160633E-2</v>
      </c>
      <c r="E33" s="154">
        <v>3281157.5657288986</v>
      </c>
      <c r="F33" s="98">
        <f t="shared" si="1"/>
        <v>9.331658593164463E-2</v>
      </c>
      <c r="G33" s="154">
        <v>2581157.5657288986</v>
      </c>
      <c r="H33" s="98">
        <f t="shared" si="2"/>
        <v>7.340848677955765E-2</v>
      </c>
      <c r="I33" s="154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52">
        <f>SUM(C35:C38)</f>
        <v>33088194.540000003</v>
      </c>
      <c r="D34" s="96">
        <f t="shared" si="0"/>
        <v>0.99188372468223518</v>
      </c>
      <c r="E34" s="152">
        <f>+SUM(E35:E38)</f>
        <v>31410770.914738216</v>
      </c>
      <c r="F34" s="96">
        <f t="shared" si="1"/>
        <v>0.89332677402013982</v>
      </c>
      <c r="G34" s="152">
        <f>+SUM(G35:G38)</f>
        <v>31310770.914738216</v>
      </c>
      <c r="H34" s="96">
        <f t="shared" si="2"/>
        <v>0.89048275985555603</v>
      </c>
      <c r="I34" s="152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4">
        <v>6034873.3200000003</v>
      </c>
      <c r="D35" s="98">
        <f t="shared" si="0"/>
        <v>0.18090719998006413</v>
      </c>
      <c r="E35" s="154">
        <v>5533606.7424404304</v>
      </c>
      <c r="F35" s="98">
        <f t="shared" si="1"/>
        <v>0.15737655956737298</v>
      </c>
      <c r="G35" s="154">
        <v>6533606.7424404304</v>
      </c>
      <c r="H35" s="98">
        <f t="shared" si="2"/>
        <v>0.1858167012132115</v>
      </c>
      <c r="I35" s="154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4">
        <v>12316700.43</v>
      </c>
      <c r="D36" s="98">
        <f t="shared" si="0"/>
        <v>0.36921732563966259</v>
      </c>
      <c r="E36" s="154">
        <v>11824073.889814863</v>
      </c>
      <c r="F36" s="98">
        <f t="shared" si="1"/>
        <v>0.33627833625719566</v>
      </c>
      <c r="G36" s="154">
        <v>12424073.889814863</v>
      </c>
      <c r="H36" s="98">
        <f t="shared" si="2"/>
        <v>0.35334242124469878</v>
      </c>
      <c r="I36" s="154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4">
        <v>2179410.2600000002</v>
      </c>
      <c r="D37" s="98">
        <f t="shared" si="0"/>
        <v>6.5332110027526411E-2</v>
      </c>
      <c r="E37" s="154">
        <v>2220205.3434794326</v>
      </c>
      <c r="F37" s="98">
        <f t="shared" si="1"/>
        <v>6.3142954451402653E-2</v>
      </c>
      <c r="G37" s="154">
        <v>2220205.3434794326</v>
      </c>
      <c r="H37" s="98">
        <f t="shared" si="2"/>
        <v>6.3142954451402653E-2</v>
      </c>
      <c r="I37" s="154">
        <f t="shared" si="3"/>
        <v>0</v>
      </c>
      <c r="J37" s="98">
        <f t="shared" si="4"/>
        <v>0</v>
      </c>
    </row>
    <row r="38" spans="2:10">
      <c r="B38" s="97" t="s">
        <v>53</v>
      </c>
      <c r="C38" s="154">
        <v>12557210.530000001</v>
      </c>
      <c r="D38" s="98">
        <f t="shared" si="0"/>
        <v>0.37642708903498195</v>
      </c>
      <c r="E38" s="154">
        <v>11832884.939003492</v>
      </c>
      <c r="F38" s="98">
        <f t="shared" si="1"/>
        <v>0.33652892374416871</v>
      </c>
      <c r="G38" s="154">
        <v>10132884.939003492</v>
      </c>
      <c r="H38" s="98">
        <f t="shared" si="2"/>
        <v>0.28818068294624322</v>
      </c>
      <c r="I38" s="154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52">
        <v>7564493.0600000005</v>
      </c>
      <c r="D39" s="96">
        <f t="shared" si="0"/>
        <v>0.22676056085850488</v>
      </c>
      <c r="E39" s="152">
        <v>7046262.4871663069</v>
      </c>
      <c r="F39" s="96">
        <f t="shared" si="1"/>
        <v>0.20039670320876826</v>
      </c>
      <c r="G39" s="152">
        <v>7738476.4003799995</v>
      </c>
      <c r="H39" s="96">
        <f t="shared" si="2"/>
        <v>0.22008336494978584</v>
      </c>
      <c r="I39" s="152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54">
        <v>6615451.54</v>
      </c>
      <c r="D40" s="98">
        <f t="shared" si="0"/>
        <v>0.19831117427750797</v>
      </c>
      <c r="E40" s="152">
        <v>8000000</v>
      </c>
      <c r="F40" s="96">
        <f t="shared" si="1"/>
        <v>0.22752113316670824</v>
      </c>
      <c r="G40" s="152">
        <v>8000000</v>
      </c>
      <c r="H40" s="96">
        <f t="shared" si="2"/>
        <v>0.22752113316670824</v>
      </c>
      <c r="I40" s="152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52">
        <v>366128508.17291778</v>
      </c>
      <c r="D44" s="96">
        <f t="shared" si="0"/>
        <v>10.975422305375018</v>
      </c>
      <c r="E44" s="152">
        <v>386488693.71999997</v>
      </c>
      <c r="F44" s="96">
        <f t="shared" si="1"/>
        <v>10.991793193911903</v>
      </c>
      <c r="G44" s="152">
        <v>386488693.71999997</v>
      </c>
      <c r="H44" s="96">
        <f t="shared" si="2"/>
        <v>10.991793193911903</v>
      </c>
      <c r="I44" s="152">
        <f t="shared" si="5"/>
        <v>0</v>
      </c>
      <c r="J44" s="96">
        <f t="shared" si="4"/>
        <v>0</v>
      </c>
    </row>
    <row r="45" spans="2:10">
      <c r="B45" s="93" t="s">
        <v>74</v>
      </c>
      <c r="C45" s="152">
        <v>12022159.040000001</v>
      </c>
      <c r="D45" s="96">
        <f t="shared" si="0"/>
        <v>0.36038786803256645</v>
      </c>
      <c r="E45" s="152">
        <v>11478163.960000001</v>
      </c>
      <c r="F45" s="96">
        <f t="shared" si="1"/>
        <v>0.3264406088565589</v>
      </c>
      <c r="G45" s="152">
        <v>11478163.960000001</v>
      </c>
      <c r="H45" s="96">
        <f t="shared" si="2"/>
        <v>0.3264406088565589</v>
      </c>
      <c r="I45" s="152">
        <f t="shared" si="5"/>
        <v>0</v>
      </c>
      <c r="J45" s="96">
        <f t="shared" si="4"/>
        <v>0</v>
      </c>
    </row>
    <row r="46" spans="2:10">
      <c r="B46" s="93" t="s">
        <v>428</v>
      </c>
      <c r="C46" s="152">
        <v>90442340.840000004</v>
      </c>
      <c r="D46" s="96">
        <f t="shared" si="0"/>
        <v>2.7111870910004456</v>
      </c>
      <c r="E46" s="152">
        <v>89210330.25999999</v>
      </c>
      <c r="F46" s="96">
        <f t="shared" si="1"/>
        <v>2.5371544288664349</v>
      </c>
      <c r="G46" s="152">
        <v>29295302.830000002</v>
      </c>
      <c r="H46" s="96">
        <f t="shared" si="2"/>
        <v>0.83316256204293437</v>
      </c>
      <c r="I46" s="152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52"/>
      <c r="D47" s="96">
        <f t="shared" si="0"/>
        <v>0</v>
      </c>
      <c r="E47" s="152"/>
      <c r="F47" s="96">
        <f t="shared" si="1"/>
        <v>0</v>
      </c>
      <c r="G47" s="152">
        <v>40692845.799999997</v>
      </c>
      <c r="H47" s="96">
        <f t="shared" si="2"/>
        <v>1.1573102985242654</v>
      </c>
      <c r="I47" s="152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52">
        <v>20416485.639999997</v>
      </c>
      <c r="D48" s="96">
        <f t="shared" si="0"/>
        <v>0.61202432175752564</v>
      </c>
      <c r="E48" s="152">
        <v>21655403.200000003</v>
      </c>
      <c r="F48" s="96">
        <f t="shared" si="1"/>
        <v>0.61588273440574504</v>
      </c>
      <c r="G48" s="152">
        <v>21655403.200000003</v>
      </c>
      <c r="H48" s="96">
        <f t="shared" si="2"/>
        <v>0.61588273440574504</v>
      </c>
      <c r="I48" s="152">
        <f t="shared" si="5"/>
        <v>0</v>
      </c>
      <c r="J48" s="96">
        <f t="shared" si="4"/>
        <v>0</v>
      </c>
    </row>
    <row r="49" spans="2:10">
      <c r="B49" s="93" t="s">
        <v>79</v>
      </c>
      <c r="C49" s="152">
        <v>67427730.789999992</v>
      </c>
      <c r="D49" s="96">
        <f t="shared" si="0"/>
        <v>2.0212788788462022</v>
      </c>
      <c r="E49" s="152">
        <v>73316123.120000005</v>
      </c>
      <c r="F49" s="96">
        <f t="shared" si="1"/>
        <v>2.0851209264565371</v>
      </c>
      <c r="G49" s="152">
        <v>73316123.120000005</v>
      </c>
      <c r="H49" s="96">
        <f t="shared" si="2"/>
        <v>2.0851209264565371</v>
      </c>
      <c r="I49" s="152">
        <f t="shared" si="5"/>
        <v>0</v>
      </c>
      <c r="J49" s="96">
        <f t="shared" si="4"/>
        <v>0</v>
      </c>
    </row>
    <row r="50" spans="2:10">
      <c r="B50" s="93" t="s">
        <v>81</v>
      </c>
      <c r="C50" s="152">
        <v>7928041.8100000005</v>
      </c>
      <c r="D50" s="96">
        <f t="shared" si="0"/>
        <v>0.23765864983757101</v>
      </c>
      <c r="E50" s="152">
        <v>8172802.1399999997</v>
      </c>
      <c r="F50" s="96">
        <f t="shared" si="1"/>
        <v>0.23243565050501225</v>
      </c>
      <c r="G50" s="152">
        <v>8172802.1399999997</v>
      </c>
      <c r="H50" s="96">
        <f t="shared" si="2"/>
        <v>0.23243565050501225</v>
      </c>
      <c r="I50" s="152">
        <f t="shared" si="5"/>
        <v>0</v>
      </c>
      <c r="J50" s="96">
        <f t="shared" si="4"/>
        <v>0</v>
      </c>
    </row>
    <row r="51" spans="2:10">
      <c r="B51" s="93" t="s">
        <v>83</v>
      </c>
      <c r="C51" s="152">
        <v>17426749.959999997</v>
      </c>
      <c r="D51" s="96">
        <f t="shared" si="0"/>
        <v>0.52240111313824467</v>
      </c>
      <c r="E51" s="152">
        <v>18874600</v>
      </c>
      <c r="F51" s="96">
        <f t="shared" si="1"/>
        <v>0.53679629750854385</v>
      </c>
      <c r="G51" s="152">
        <v>18874600</v>
      </c>
      <c r="H51" s="96">
        <f t="shared" si="2"/>
        <v>0.53679629750854385</v>
      </c>
      <c r="I51" s="152">
        <f t="shared" si="5"/>
        <v>0</v>
      </c>
      <c r="J51" s="96">
        <f t="shared" si="4"/>
        <v>0</v>
      </c>
    </row>
    <row r="52" spans="2:10">
      <c r="B52" s="93" t="s">
        <v>85</v>
      </c>
      <c r="C52" s="152">
        <v>6279093.0100000007</v>
      </c>
      <c r="D52" s="96">
        <f t="shared" si="0"/>
        <v>0.18822816563339112</v>
      </c>
      <c r="E52" s="152">
        <v>5827393.7300000023</v>
      </c>
      <c r="F52" s="96">
        <f t="shared" si="1"/>
        <v>0.16573190310727137</v>
      </c>
      <c r="G52" s="152">
        <v>25049575.370000001</v>
      </c>
      <c r="H52" s="96">
        <f t="shared" si="2"/>
        <v>0.71241347169090818</v>
      </c>
      <c r="I52" s="152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52">
        <v>12216538.75</v>
      </c>
      <c r="D53" s="158">
        <f t="shared" si="0"/>
        <v>0.36621478223679643</v>
      </c>
      <c r="E53" s="152"/>
      <c r="F53" s="158">
        <f t="shared" si="1"/>
        <v>0</v>
      </c>
      <c r="G53" s="152">
        <v>10502963.32</v>
      </c>
      <c r="H53" s="158">
        <f t="shared" si="2"/>
        <v>0.2987057645218465</v>
      </c>
      <c r="I53" s="152">
        <f t="shared" si="5"/>
        <v>10502963.32</v>
      </c>
      <c r="J53" s="158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54">
        <v>64036543.990000002</v>
      </c>
      <c r="D55" s="98">
        <f t="shared" si="0"/>
        <v>1.919621383142986</v>
      </c>
      <c r="E55" s="154">
        <v>58645000</v>
      </c>
      <c r="F55" s="98">
        <f t="shared" si="1"/>
        <v>1.6678721068202007</v>
      </c>
      <c r="G55" s="154">
        <v>58645000</v>
      </c>
      <c r="H55" s="98">
        <f t="shared" si="2"/>
        <v>1.6678721068202007</v>
      </c>
      <c r="I55" s="154">
        <f t="shared" si="5"/>
        <v>0</v>
      </c>
      <c r="J55" s="98">
        <f t="shared" si="4"/>
        <v>0</v>
      </c>
    </row>
    <row r="56" spans="2:10">
      <c r="B56" s="97" t="s">
        <v>90</v>
      </c>
      <c r="C56" s="154">
        <v>13086355.520000001</v>
      </c>
      <c r="D56" s="98">
        <f t="shared" si="0"/>
        <v>0.39228925108022916</v>
      </c>
      <c r="E56" s="154">
        <v>20758124</v>
      </c>
      <c r="F56" s="98">
        <f t="shared" si="1"/>
        <v>0.59036398686188019</v>
      </c>
      <c r="G56" s="154">
        <v>20758124</v>
      </c>
      <c r="H56" s="98">
        <f t="shared" si="2"/>
        <v>0.59036398686188019</v>
      </c>
      <c r="I56" s="154">
        <f t="shared" si="5"/>
        <v>0</v>
      </c>
      <c r="J56" s="98">
        <f t="shared" si="4"/>
        <v>0</v>
      </c>
    </row>
    <row r="57" spans="2:10">
      <c r="B57" s="97" t="s">
        <v>92</v>
      </c>
      <c r="C57" s="154">
        <v>383190248.31999987</v>
      </c>
      <c r="D57" s="98">
        <f t="shared" si="0"/>
        <v>11.486881531298929</v>
      </c>
      <c r="E57" s="154">
        <v>397320274.96999997</v>
      </c>
      <c r="F57" s="98">
        <f t="shared" si="1"/>
        <v>11.299844898910312</v>
      </c>
      <c r="G57" s="154">
        <v>397320274.96999997</v>
      </c>
      <c r="H57" s="98">
        <f t="shared" si="2"/>
        <v>11.299844898910312</v>
      </c>
      <c r="I57" s="154">
        <f t="shared" si="5"/>
        <v>0</v>
      </c>
      <c r="J57" s="98">
        <f t="shared" si="4"/>
        <v>0</v>
      </c>
    </row>
    <row r="58" spans="2:10">
      <c r="B58" s="97" t="s">
        <v>94</v>
      </c>
      <c r="C58" s="154">
        <v>14792096.089999998</v>
      </c>
      <c r="D58" s="98">
        <f t="shared" si="0"/>
        <v>0.44342218031478986</v>
      </c>
      <c r="E58" s="154">
        <v>14500000</v>
      </c>
      <c r="F58" s="98">
        <f t="shared" si="1"/>
        <v>0.4123820538646587</v>
      </c>
      <c r="G58" s="154">
        <v>14500000</v>
      </c>
      <c r="H58" s="98">
        <f t="shared" si="2"/>
        <v>0.4123820538646587</v>
      </c>
      <c r="I58" s="154">
        <f t="shared" si="5"/>
        <v>0</v>
      </c>
      <c r="J58" s="98">
        <f t="shared" si="4"/>
        <v>0</v>
      </c>
    </row>
    <row r="59" spans="2:10">
      <c r="B59" s="97" t="s">
        <v>431</v>
      </c>
      <c r="C59" s="154">
        <v>7862525.3600000013</v>
      </c>
      <c r="D59" s="98">
        <f t="shared" si="0"/>
        <v>0.23569466536040659</v>
      </c>
      <c r="E59" s="154">
        <v>7000000</v>
      </c>
      <c r="F59" s="98">
        <f t="shared" si="1"/>
        <v>0.19908099152086972</v>
      </c>
      <c r="G59" s="154">
        <v>7000000</v>
      </c>
      <c r="H59" s="98">
        <f t="shared" si="2"/>
        <v>0.19908099152086972</v>
      </c>
      <c r="I59" s="154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54">
        <v>94307106.209999993</v>
      </c>
      <c r="D61" s="98">
        <f t="shared" si="0"/>
        <v>2.8270410359953697</v>
      </c>
      <c r="E61" s="154">
        <v>101040047.61999999</v>
      </c>
      <c r="F61" s="98">
        <f t="shared" si="1"/>
        <v>2.8735932662150696</v>
      </c>
      <c r="G61" s="154">
        <v>101040047.61999999</v>
      </c>
      <c r="H61" s="98">
        <f t="shared" si="2"/>
        <v>2.8735932662150696</v>
      </c>
      <c r="I61" s="154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54"/>
      <c r="D62" s="98">
        <f t="shared" si="0"/>
        <v>0</v>
      </c>
      <c r="E62" s="154"/>
      <c r="F62" s="98">
        <f t="shared" si="1"/>
        <v>0</v>
      </c>
      <c r="G62" s="154"/>
      <c r="H62" s="98">
        <f t="shared" si="2"/>
        <v>0</v>
      </c>
      <c r="I62" s="154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60">
        <v>61785502.860000007</v>
      </c>
      <c r="D63" s="92">
        <f t="shared" si="0"/>
        <v>1.8521419968700925</v>
      </c>
      <c r="E63" s="160">
        <v>101820500</v>
      </c>
      <c r="F63" s="92">
        <f t="shared" si="1"/>
        <v>2.8957894424501021</v>
      </c>
      <c r="G63" s="160">
        <v>101820500</v>
      </c>
      <c r="H63" s="92">
        <f t="shared" si="2"/>
        <v>2.8957894424501021</v>
      </c>
      <c r="I63" s="160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52">
        <v>2752781.9799999995</v>
      </c>
      <c r="D64" s="96">
        <f t="shared" si="0"/>
        <v>8.2520055310353516E-2</v>
      </c>
      <c r="E64" s="152">
        <v>2140000</v>
      </c>
      <c r="F64" s="96">
        <f t="shared" si="1"/>
        <v>6.0861903122094448E-2</v>
      </c>
      <c r="G64" s="152">
        <v>2140000</v>
      </c>
      <c r="H64" s="96">
        <f t="shared" si="2"/>
        <v>6.0861903122094448E-2</v>
      </c>
      <c r="I64" s="152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52">
        <v>14126844.789999999</v>
      </c>
      <c r="D65" s="96">
        <f t="shared" si="0"/>
        <v>0.42347996386970665</v>
      </c>
      <c r="E65" s="152">
        <v>8854649.7699999996</v>
      </c>
      <c r="F65" s="96">
        <f t="shared" si="1"/>
        <v>0.25182749368309154</v>
      </c>
      <c r="G65" s="152">
        <v>8854649.7699999996</v>
      </c>
      <c r="H65" s="96">
        <f t="shared" si="2"/>
        <v>0.25182749368309154</v>
      </c>
      <c r="I65" s="152">
        <f t="shared" si="5"/>
        <v>0</v>
      </c>
      <c r="J65" s="96">
        <f t="shared" si="4"/>
        <v>0</v>
      </c>
    </row>
    <row r="66" spans="2:10" ht="14.25" thickTop="1" thickBot="1">
      <c r="B66" s="146" t="s">
        <v>112</v>
      </c>
      <c r="C66" s="161">
        <v>107239350.92999999</v>
      </c>
      <c r="D66" s="148">
        <f t="shared" si="0"/>
        <v>3.2147105126683559</v>
      </c>
      <c r="E66" s="161">
        <v>0</v>
      </c>
      <c r="F66" s="148">
        <f t="shared" si="1"/>
        <v>0</v>
      </c>
      <c r="G66" s="161">
        <v>5153201.26</v>
      </c>
      <c r="H66" s="148">
        <f t="shared" si="2"/>
        <v>0.14655777376391357</v>
      </c>
      <c r="I66" s="161">
        <f t="shared" si="5"/>
        <v>5153201.26</v>
      </c>
      <c r="J66" s="148" t="e">
        <f t="shared" si="4"/>
        <v>#DIV/0!</v>
      </c>
    </row>
    <row r="67" spans="2:10" ht="14.25" thickTop="1" thickBot="1">
      <c r="B67" s="181" t="s">
        <v>151</v>
      </c>
      <c r="C67" s="152">
        <v>0</v>
      </c>
      <c r="D67" s="96">
        <f t="shared" si="0"/>
        <v>0</v>
      </c>
      <c r="E67" s="152">
        <v>0</v>
      </c>
      <c r="F67" s="96">
        <f t="shared" si="1"/>
        <v>0</v>
      </c>
      <c r="G67" s="152">
        <v>0</v>
      </c>
      <c r="H67" s="96">
        <f t="shared" si="2"/>
        <v>0</v>
      </c>
      <c r="I67" s="152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54">
        <v>112695950.91</v>
      </c>
      <c r="D71" s="98">
        <f t="shared" si="0"/>
        <v>3.3782828316632929</v>
      </c>
      <c r="E71" s="154">
        <v>30008345.27</v>
      </c>
      <c r="F71" s="98">
        <f t="shared" si="1"/>
        <v>0.8534415900360286</v>
      </c>
      <c r="G71" s="154">
        <v>30008345.27</v>
      </c>
      <c r="H71" s="98">
        <f t="shared" si="2"/>
        <v>0.8534415900360286</v>
      </c>
      <c r="I71" s="154">
        <f t="shared" si="5"/>
        <v>0</v>
      </c>
      <c r="J71" s="98">
        <f t="shared" si="4"/>
        <v>0</v>
      </c>
    </row>
    <row r="72" spans="2:10">
      <c r="B72" s="97" t="s">
        <v>136</v>
      </c>
      <c r="C72" s="154">
        <v>68802905.489999995</v>
      </c>
      <c r="D72" s="98">
        <f t="shared" si="0"/>
        <v>2.0625024458158605</v>
      </c>
      <c r="E72" s="154">
        <v>108080400.25</v>
      </c>
      <c r="F72" s="98">
        <f t="shared" si="1"/>
        <v>3.073821892248922</v>
      </c>
      <c r="G72" s="154">
        <v>108080400.25</v>
      </c>
      <c r="H72" s="98">
        <f t="shared" si="2"/>
        <v>3.073821892248922</v>
      </c>
      <c r="I72" s="154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54">
        <v>60278571.609999992</v>
      </c>
      <c r="D73" s="98">
        <f t="shared" ref="D73:D79" si="6">C73/C$3*100</f>
        <v>1.8069687681137414</v>
      </c>
      <c r="E73" s="154">
        <v>33338159.969999999</v>
      </c>
      <c r="F73" s="98">
        <f t="shared" si="1"/>
        <v>0.94814199175842395</v>
      </c>
      <c r="G73" s="154">
        <v>33338159.969999999</v>
      </c>
      <c r="H73" s="98">
        <f t="shared" ref="H73:H79" si="7">G73/E$3*100</f>
        <v>0.94814199175842395</v>
      </c>
      <c r="I73" s="154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54">
        <v>102834751.84999999</v>
      </c>
      <c r="D76" s="98">
        <f t="shared" si="6"/>
        <v>3.0826739902186082</v>
      </c>
      <c r="E76" s="154">
        <v>0</v>
      </c>
      <c r="F76" s="98">
        <f t="shared" si="8"/>
        <v>0</v>
      </c>
      <c r="G76" s="183">
        <v>0</v>
      </c>
      <c r="H76" s="184">
        <f t="shared" si="7"/>
        <v>0</v>
      </c>
      <c r="I76" s="154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54">
        <v>230537476.81999999</v>
      </c>
      <c r="D77" s="98">
        <f t="shared" si="6"/>
        <v>6.910814396676539</v>
      </c>
      <c r="E77" s="154">
        <v>227975575.86282945</v>
      </c>
      <c r="F77" s="98">
        <f t="shared" si="8"/>
        <v>6.4836576693304764</v>
      </c>
      <c r="G77" s="183">
        <v>227975575.86282945</v>
      </c>
      <c r="H77" s="184">
        <f t="shared" si="7"/>
        <v>6.4836576693304764</v>
      </c>
      <c r="I77" s="154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54">
        <v>11948846.35</v>
      </c>
      <c r="D78" s="104">
        <f t="shared" si="6"/>
        <v>0.35819017592410862</v>
      </c>
      <c r="E78" s="154">
        <v>5000000</v>
      </c>
      <c r="F78" s="104">
        <f t="shared" si="8"/>
        <v>0.14220070822919265</v>
      </c>
      <c r="G78" s="183">
        <v>5000000</v>
      </c>
      <c r="H78" s="184">
        <f t="shared" si="7"/>
        <v>0.14220070822919265</v>
      </c>
      <c r="I78" s="154">
        <f t="shared" si="9"/>
        <v>0</v>
      </c>
      <c r="J78" s="104">
        <f t="shared" si="10"/>
        <v>0</v>
      </c>
    </row>
    <row r="79" spans="2:10" ht="14.25" thickTop="1" thickBot="1">
      <c r="B79" s="146" t="s">
        <v>124</v>
      </c>
      <c r="C79" s="147">
        <f>-C74-SUM(C76:C78)</f>
        <v>24776977.5729177</v>
      </c>
      <c r="D79" s="148">
        <f t="shared" si="6"/>
        <v>0.74273864570290371</v>
      </c>
      <c r="E79" s="147">
        <f>-E74-SUM(E76:E78)</f>
        <v>-10502963.319999933</v>
      </c>
      <c r="F79" s="148">
        <f t="shared" si="8"/>
        <v>-0.29870576452184461</v>
      </c>
      <c r="G79" s="185">
        <f>-G74-SUM(G76:G78)</f>
        <v>-27124068.379600048</v>
      </c>
      <c r="H79" s="186">
        <f t="shared" si="7"/>
        <v>-0.77141234672723535</v>
      </c>
      <c r="I79" s="147">
        <f t="shared" si="9"/>
        <v>-16621105.059600115</v>
      </c>
      <c r="J79" s="148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444</v>
      </c>
      <c r="E4">
        <v>2015</v>
      </c>
      <c r="F4">
        <v>2016</v>
      </c>
      <c r="G4">
        <v>2017</v>
      </c>
    </row>
    <row r="5" spans="3:7">
      <c r="C5" t="s">
        <v>442</v>
      </c>
      <c r="D5" s="180">
        <v>-26424601.993229389</v>
      </c>
      <c r="E5" s="180">
        <v>-24569497.372829676</v>
      </c>
      <c r="F5" s="180">
        <v>33498994.005818129</v>
      </c>
      <c r="G5" s="180">
        <v>103834080.12588143</v>
      </c>
    </row>
    <row r="6" spans="3:7">
      <c r="C6" t="s">
        <v>443</v>
      </c>
      <c r="D6" s="180">
        <v>-51424601.993229389</v>
      </c>
      <c r="E6" s="180">
        <v>-149569497.37282968</v>
      </c>
      <c r="F6" s="180">
        <v>-191501005.99418187</v>
      </c>
      <c r="G6" s="180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2016-06-30T08:34:04Z</cp:lastPrinted>
  <dcterms:created xsi:type="dcterms:W3CDTF">2008-03-17T08:49:23Z</dcterms:created>
  <dcterms:modified xsi:type="dcterms:W3CDTF">2017-06-30T11:02:09Z</dcterms:modified>
</cp:coreProperties>
</file>