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NWSKL9FN\"/>
    </mc:Choice>
  </mc:AlternateContent>
  <bookViews>
    <workbookView xWindow="0" yWindow="0" windowWidth="16590" windowHeight="5985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Budget'!$B$13:$C$74</definedName>
    <definedName name="Z_05AB59A7_9F04_4F70_A17E_8EF60EF35C7C_.wvu.PrintArea" localSheetId="1" hidden="1">'Local Government'!$B$13:$M$75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52511" iterate="1" iterateCount="94" iterateDelta="0.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C33" i="10" l="1"/>
  <c r="D70" i="32" l="1"/>
  <c r="D71" i="32"/>
  <c r="D56" i="33" l="1"/>
  <c r="D35" i="33" l="1"/>
  <c r="F62" i="33"/>
  <c r="J56" i="33"/>
  <c r="F56" i="33"/>
  <c r="J39" i="32"/>
  <c r="J35" i="33" s="1"/>
  <c r="F39" i="32"/>
  <c r="F35" i="33" s="1"/>
  <c r="D39" i="32"/>
  <c r="I46" i="32"/>
  <c r="I38" i="32"/>
  <c r="H14" i="32" l="1"/>
  <c r="L14" i="32" s="1"/>
  <c r="D15" i="32"/>
  <c r="E15" i="32"/>
  <c r="F15" i="32"/>
  <c r="G15" i="32"/>
  <c r="H15" i="32"/>
  <c r="J15" i="32"/>
  <c r="K15" i="32"/>
  <c r="L15" i="32"/>
  <c r="C16" i="32"/>
  <c r="C17" i="32"/>
  <c r="D17" i="32"/>
  <c r="F17" i="32"/>
  <c r="J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D21" i="32"/>
  <c r="F21" i="32"/>
  <c r="J21" i="32"/>
  <c r="C22" i="32"/>
  <c r="H22" i="32"/>
  <c r="I22" i="32"/>
  <c r="L22" i="32"/>
  <c r="M22" i="32"/>
  <c r="C23" i="32"/>
  <c r="H23" i="32"/>
  <c r="I23" i="32"/>
  <c r="L23" i="32"/>
  <c r="M23" i="32"/>
  <c r="H24" i="32"/>
  <c r="I24" i="32"/>
  <c r="L24" i="32"/>
  <c r="M24" i="32"/>
  <c r="H25" i="32"/>
  <c r="I25" i="32"/>
  <c r="L25" i="32"/>
  <c r="M25" i="32"/>
  <c r="H26" i="32"/>
  <c r="I26" i="32"/>
  <c r="L26" i="32"/>
  <c r="M26" i="32"/>
  <c r="C27" i="32"/>
  <c r="D27" i="32"/>
  <c r="F27" i="32"/>
  <c r="J27" i="32"/>
  <c r="C28" i="32"/>
  <c r="H28" i="32"/>
  <c r="I28" i="32"/>
  <c r="L28" i="32"/>
  <c r="M28" i="32"/>
  <c r="C29" i="32"/>
  <c r="H29" i="32"/>
  <c r="I29" i="32"/>
  <c r="L29" i="32"/>
  <c r="M29" i="32"/>
  <c r="H30" i="32"/>
  <c r="I30" i="32"/>
  <c r="L30" i="32"/>
  <c r="M30" i="32"/>
  <c r="H31" i="32"/>
  <c r="I31" i="32"/>
  <c r="L31" i="32"/>
  <c r="M31" i="32"/>
  <c r="C32" i="32"/>
  <c r="H32" i="32"/>
  <c r="I32" i="32"/>
  <c r="L32" i="32"/>
  <c r="M32" i="32"/>
  <c r="C33" i="32"/>
  <c r="D33" i="32"/>
  <c r="I33" i="32" s="1"/>
  <c r="F33" i="32"/>
  <c r="J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7" i="32"/>
  <c r="I37" i="32"/>
  <c r="L37" i="32"/>
  <c r="M37" i="32"/>
  <c r="C38" i="32"/>
  <c r="H38" i="32"/>
  <c r="L38" i="32"/>
  <c r="M38" i="32"/>
  <c r="H39" i="32"/>
  <c r="I39" i="32"/>
  <c r="L39" i="32"/>
  <c r="M39" i="32"/>
  <c r="C40" i="32"/>
  <c r="C41" i="32"/>
  <c r="C42" i="32"/>
  <c r="D42" i="32"/>
  <c r="F42" i="32"/>
  <c r="J42" i="32"/>
  <c r="C43" i="32"/>
  <c r="H43" i="32"/>
  <c r="I43" i="32"/>
  <c r="L43" i="32"/>
  <c r="M43" i="32"/>
  <c r="C44" i="32"/>
  <c r="H44" i="32"/>
  <c r="I44" i="32"/>
  <c r="L44" i="32"/>
  <c r="M44" i="32"/>
  <c r="C45" i="32"/>
  <c r="H45" i="32"/>
  <c r="I45" i="32"/>
  <c r="L45" i="32"/>
  <c r="M45" i="32"/>
  <c r="C46" i="32"/>
  <c r="H46" i="32"/>
  <c r="L46" i="32"/>
  <c r="M46" i="32"/>
  <c r="C47" i="32"/>
  <c r="H47" i="32"/>
  <c r="I47" i="32"/>
  <c r="L47" i="32"/>
  <c r="M47" i="32"/>
  <c r="C48" i="32"/>
  <c r="H48" i="32"/>
  <c r="I48" i="32"/>
  <c r="L48" i="32"/>
  <c r="M48" i="32"/>
  <c r="C49" i="32"/>
  <c r="H49" i="32"/>
  <c r="I49" i="32"/>
  <c r="L49" i="32"/>
  <c r="M49" i="32"/>
  <c r="C50" i="32"/>
  <c r="H50" i="32"/>
  <c r="I50" i="32"/>
  <c r="L50" i="32"/>
  <c r="M50" i="32"/>
  <c r="C51" i="32"/>
  <c r="H51" i="32"/>
  <c r="I51" i="32"/>
  <c r="L51" i="32"/>
  <c r="M51" i="32"/>
  <c r="C52" i="32"/>
  <c r="D52" i="32"/>
  <c r="F52" i="32"/>
  <c r="J52" i="32"/>
  <c r="H53" i="32"/>
  <c r="I53" i="32"/>
  <c r="L53" i="32"/>
  <c r="M53" i="32"/>
  <c r="H54" i="32"/>
  <c r="I54" i="32"/>
  <c r="L54" i="32"/>
  <c r="M54" i="32"/>
  <c r="C55" i="32"/>
  <c r="D55" i="32"/>
  <c r="F55" i="32"/>
  <c r="H55" i="32" s="1"/>
  <c r="J55" i="32"/>
  <c r="H56" i="32"/>
  <c r="I56" i="32"/>
  <c r="L56" i="32"/>
  <c r="M56" i="32"/>
  <c r="H57" i="32"/>
  <c r="I57" i="32"/>
  <c r="L57" i="32"/>
  <c r="M57" i="32"/>
  <c r="C58" i="32"/>
  <c r="H58" i="32"/>
  <c r="I58" i="32"/>
  <c r="L58" i="32"/>
  <c r="M58" i="32"/>
  <c r="C59" i="32"/>
  <c r="H59" i="32"/>
  <c r="I59" i="32"/>
  <c r="L59" i="32"/>
  <c r="M59" i="32"/>
  <c r="C60" i="32"/>
  <c r="H60" i="32"/>
  <c r="I60" i="32"/>
  <c r="L60" i="32"/>
  <c r="M60" i="32"/>
  <c r="H61" i="32"/>
  <c r="I61" i="32"/>
  <c r="L61" i="32"/>
  <c r="M61" i="32"/>
  <c r="H63" i="32"/>
  <c r="J63" i="32"/>
  <c r="L63" i="32" s="1"/>
  <c r="C64" i="32"/>
  <c r="C65" i="32"/>
  <c r="C66" i="32"/>
  <c r="D66" i="32"/>
  <c r="F66" i="32"/>
  <c r="J66" i="32"/>
  <c r="C67" i="32"/>
  <c r="H67" i="32"/>
  <c r="I67" i="32"/>
  <c r="L67" i="32"/>
  <c r="M67" i="32"/>
  <c r="C68" i="32"/>
  <c r="H68" i="32"/>
  <c r="I68" i="32"/>
  <c r="L68" i="32"/>
  <c r="M68" i="32"/>
  <c r="C69" i="32"/>
  <c r="H69" i="32"/>
  <c r="I69" i="32"/>
  <c r="L69" i="32"/>
  <c r="M69" i="32"/>
  <c r="C70" i="32"/>
  <c r="C71" i="32"/>
  <c r="C72" i="32"/>
  <c r="H72" i="32"/>
  <c r="I72" i="32"/>
  <c r="L72" i="32"/>
  <c r="M72" i="32"/>
  <c r="C73" i="32"/>
  <c r="H73" i="32"/>
  <c r="I73" i="32"/>
  <c r="L73" i="32"/>
  <c r="M73" i="32"/>
  <c r="C74" i="32"/>
  <c r="H74" i="32"/>
  <c r="I74" i="32"/>
  <c r="L74" i="32"/>
  <c r="M74" i="32"/>
  <c r="C75" i="32"/>
  <c r="H76" i="32"/>
  <c r="I76" i="32"/>
  <c r="L76" i="32"/>
  <c r="M76" i="32"/>
  <c r="H52" i="32" l="1"/>
  <c r="J16" i="32"/>
  <c r="H66" i="32"/>
  <c r="M33" i="32"/>
  <c r="L55" i="32"/>
  <c r="L52" i="32"/>
  <c r="H17" i="32"/>
  <c r="L66" i="32"/>
  <c r="F16" i="32"/>
  <c r="L17" i="32"/>
  <c r="D16" i="32"/>
  <c r="I52" i="32"/>
  <c r="M52" i="32"/>
  <c r="D40" i="32"/>
  <c r="M42" i="32"/>
  <c r="I42" i="32"/>
  <c r="L33" i="32"/>
  <c r="H33" i="32"/>
  <c r="M27" i="32"/>
  <c r="I27" i="32"/>
  <c r="M21" i="32"/>
  <c r="I21" i="32"/>
  <c r="M66" i="32"/>
  <c r="I66" i="32"/>
  <c r="M55" i="32"/>
  <c r="I55" i="32"/>
  <c r="L42" i="32"/>
  <c r="H42" i="32"/>
  <c r="J40" i="32"/>
  <c r="F40" i="32"/>
  <c r="L27" i="32"/>
  <c r="H27" i="32"/>
  <c r="L21" i="32"/>
  <c r="H21" i="32"/>
  <c r="M17" i="32"/>
  <c r="I17" i="32"/>
  <c r="J64" i="32" l="1"/>
  <c r="F64" i="32"/>
  <c r="H16" i="32"/>
  <c r="D64" i="32"/>
  <c r="M16" i="32"/>
  <c r="I16" i="32"/>
  <c r="L16" i="32"/>
  <c r="D65" i="32"/>
  <c r="J70" i="32"/>
  <c r="J65" i="32"/>
  <c r="I40" i="32"/>
  <c r="M40" i="32"/>
  <c r="L40" i="32"/>
  <c r="D41" i="32"/>
  <c r="H40" i="32"/>
  <c r="F41" i="32"/>
  <c r="J41" i="32"/>
  <c r="M64" i="32" l="1"/>
  <c r="I64" i="32"/>
  <c r="L64" i="32"/>
  <c r="L65" i="32"/>
  <c r="M65" i="32"/>
  <c r="M41" i="32"/>
  <c r="H41" i="32"/>
  <c r="L41" i="32"/>
  <c r="I41" i="32"/>
  <c r="L70" i="32"/>
  <c r="J75" i="32"/>
  <c r="J71" i="32" s="1"/>
  <c r="F70" i="32"/>
  <c r="F65" i="32"/>
  <c r="H64" i="32"/>
  <c r="D63" i="33"/>
  <c r="D47" i="33"/>
  <c r="D57" i="33"/>
  <c r="D55" i="33" s="1"/>
  <c r="D54" i="10"/>
  <c r="E56" i="10"/>
  <c r="E55" i="10"/>
  <c r="J62" i="33"/>
  <c r="M70" i="32" l="1"/>
  <c r="D75" i="32"/>
  <c r="H70" i="32"/>
  <c r="I65" i="32"/>
  <c r="I70" i="32"/>
  <c r="H65" i="32"/>
  <c r="F75" i="32"/>
  <c r="F71" i="32" s="1"/>
  <c r="I75" i="32" l="1"/>
  <c r="L75" i="32"/>
  <c r="M75" i="32"/>
  <c r="M71" i="32"/>
  <c r="H75" i="32"/>
  <c r="I71" i="32" l="1"/>
  <c r="L71" i="32"/>
  <c r="H71" i="32"/>
  <c r="J34" i="33" l="1"/>
  <c r="D74" i="33"/>
  <c r="D73" i="33"/>
  <c r="D72" i="33"/>
  <c r="D68" i="33"/>
  <c r="D67" i="33"/>
  <c r="D62" i="33"/>
  <c r="D61" i="33"/>
  <c r="D60" i="33"/>
  <c r="D59" i="33"/>
  <c r="D58" i="33"/>
  <c r="D48" i="33"/>
  <c r="D46" i="33"/>
  <c r="D45" i="33"/>
  <c r="D44" i="33"/>
  <c r="D43" i="33"/>
  <c r="D42" i="33"/>
  <c r="D41" i="33"/>
  <c r="D40" i="33"/>
  <c r="D39" i="33"/>
  <c r="D34" i="33"/>
  <c r="D33" i="33"/>
  <c r="D32" i="33"/>
  <c r="D31" i="33"/>
  <c r="D25" i="33"/>
  <c r="D24" i="33"/>
  <c r="D23" i="33"/>
  <c r="D22" i="33"/>
  <c r="D21" i="33"/>
  <c r="D20" i="33"/>
  <c r="D19" i="33"/>
  <c r="D18" i="33"/>
  <c r="L73" i="10" l="1"/>
  <c r="L74" i="10"/>
  <c r="F70" i="10"/>
  <c r="F31" i="33" l="1"/>
  <c r="D37" i="10"/>
  <c r="D48" i="10"/>
  <c r="E48" i="10" s="1"/>
  <c r="D17" i="10"/>
  <c r="D16" i="10" s="1"/>
  <c r="E16" i="10" s="1"/>
  <c r="D25" i="10"/>
  <c r="D26" i="33" s="1"/>
  <c r="J65" i="10"/>
  <c r="F65" i="10"/>
  <c r="D65" i="10"/>
  <c r="L65" i="10" s="1"/>
  <c r="J67" i="33"/>
  <c r="L67" i="33" s="1"/>
  <c r="J68" i="33"/>
  <c r="F67" i="33"/>
  <c r="F68" i="33"/>
  <c r="J17" i="10"/>
  <c r="J16" i="10" s="1"/>
  <c r="J25" i="10"/>
  <c r="F32" i="33"/>
  <c r="J37" i="10"/>
  <c r="K37" i="10" s="1"/>
  <c r="H73" i="10"/>
  <c r="M73" i="10" s="1"/>
  <c r="H72" i="10"/>
  <c r="M72" i="10" s="1"/>
  <c r="H71" i="10"/>
  <c r="M71" i="10" s="1"/>
  <c r="M68" i="10"/>
  <c r="M59" i="10"/>
  <c r="M58" i="10"/>
  <c r="M57" i="10"/>
  <c r="M54" i="10"/>
  <c r="M53" i="10"/>
  <c r="M52" i="10"/>
  <c r="M51" i="10"/>
  <c r="M50" i="10"/>
  <c r="M49" i="10"/>
  <c r="M47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7" i="10"/>
  <c r="M60" i="10"/>
  <c r="F25" i="10"/>
  <c r="F17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 s="1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 s="1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 s="1"/>
  <c r="F54" i="36"/>
  <c r="E54" i="36"/>
  <c r="C54" i="36"/>
  <c r="D54" i="36" s="1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 s="1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H34" i="36"/>
  <c r="G34" i="36"/>
  <c r="E34" i="36"/>
  <c r="F34" i="36" s="1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E27" i="36"/>
  <c r="F27" i="36" s="1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 s="1"/>
  <c r="F22" i="36"/>
  <c r="E22" i="36"/>
  <c r="C22" i="36"/>
  <c r="D22" i="36" s="1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E17" i="36"/>
  <c r="F17" i="36" s="1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E9" i="36"/>
  <c r="F9" i="36" s="1"/>
  <c r="C9" i="36"/>
  <c r="C8" i="36" s="1"/>
  <c r="G8" i="36"/>
  <c r="L16" i="36" s="1"/>
  <c r="D7" i="36"/>
  <c r="C7" i="36"/>
  <c r="P7" i="31"/>
  <c r="P6" i="31"/>
  <c r="P5" i="31"/>
  <c r="E22" i="30"/>
  <c r="E21" i="30"/>
  <c r="E20" i="30"/>
  <c r="E19" i="30"/>
  <c r="E18" i="30"/>
  <c r="G18" i="30" s="1"/>
  <c r="E15" i="30"/>
  <c r="E14" i="30"/>
  <c r="E13" i="30"/>
  <c r="E12" i="30"/>
  <c r="G12" i="30" s="1"/>
  <c r="E11" i="30"/>
  <c r="E9" i="30"/>
  <c r="E7" i="30"/>
  <c r="G7" i="30" s="1"/>
  <c r="E8" i="30"/>
  <c r="D58" i="29"/>
  <c r="D57" i="29"/>
  <c r="D56" i="29" s="1"/>
  <c r="D55" i="29" s="1"/>
  <c r="D53" i="29"/>
  <c r="D52" i="29"/>
  <c r="D45" i="29"/>
  <c r="D44" i="29"/>
  <c r="D37" i="29"/>
  <c r="D36" i="29"/>
  <c r="D35" i="29"/>
  <c r="D34" i="29"/>
  <c r="D33" i="29"/>
  <c r="D32" i="29"/>
  <c r="D31" i="29" s="1"/>
  <c r="D30" i="29"/>
  <c r="D29" i="29"/>
  <c r="D28" i="29"/>
  <c r="D27" i="29"/>
  <c r="D26" i="29"/>
  <c r="D25" i="29"/>
  <c r="D24" i="29" s="1"/>
  <c r="E6" i="30" s="1"/>
  <c r="D23" i="29"/>
  <c r="D22" i="29"/>
  <c r="D21" i="29"/>
  <c r="D20" i="29"/>
  <c r="D19" i="29"/>
  <c r="D18" i="29"/>
  <c r="D17" i="29"/>
  <c r="D16" i="29"/>
  <c r="D15" i="29"/>
  <c r="D14" i="29" s="1"/>
  <c r="D13" i="29"/>
  <c r="D12" i="29"/>
  <c r="D11" i="29"/>
  <c r="D10" i="29"/>
  <c r="D9" i="29"/>
  <c r="D8" i="29"/>
  <c r="D7" i="29"/>
  <c r="D6" i="29" s="1"/>
  <c r="F4" i="29"/>
  <c r="C76" i="33"/>
  <c r="J74" i="33"/>
  <c r="F74" i="33"/>
  <c r="J73" i="33"/>
  <c r="F73" i="33"/>
  <c r="J72" i="33"/>
  <c r="F72" i="33"/>
  <c r="J69" i="33"/>
  <c r="F69" i="33"/>
  <c r="D69" i="33"/>
  <c r="J63" i="33"/>
  <c r="F63" i="33"/>
  <c r="I62" i="33"/>
  <c r="J61" i="33"/>
  <c r="F61" i="33"/>
  <c r="J60" i="33"/>
  <c r="F60" i="33"/>
  <c r="J59" i="33"/>
  <c r="F59" i="33"/>
  <c r="J58" i="33"/>
  <c r="F58" i="33"/>
  <c r="J57" i="33"/>
  <c r="F57" i="33"/>
  <c r="I57" i="33" s="1"/>
  <c r="J54" i="33"/>
  <c r="F54" i="33"/>
  <c r="D54" i="33"/>
  <c r="J53" i="33"/>
  <c r="F53" i="33"/>
  <c r="D53" i="33"/>
  <c r="J52" i="33"/>
  <c r="F52" i="33"/>
  <c r="D52" i="33"/>
  <c r="J51" i="33"/>
  <c r="F51" i="33"/>
  <c r="D51" i="33"/>
  <c r="J50" i="33"/>
  <c r="F50" i="33"/>
  <c r="D50" i="33"/>
  <c r="J48" i="10"/>
  <c r="J49" i="33"/>
  <c r="F48" i="10"/>
  <c r="F49" i="33" s="1"/>
  <c r="J48" i="33"/>
  <c r="F48" i="33"/>
  <c r="J47" i="33"/>
  <c r="F47" i="33"/>
  <c r="J46" i="33"/>
  <c r="F46" i="33"/>
  <c r="J45" i="33"/>
  <c r="F45" i="33"/>
  <c r="J44" i="33"/>
  <c r="F44" i="33"/>
  <c r="J43" i="33"/>
  <c r="F43" i="33"/>
  <c r="J42" i="33"/>
  <c r="F42" i="33"/>
  <c r="J41" i="33"/>
  <c r="F41" i="33"/>
  <c r="J40" i="33"/>
  <c r="F40" i="33"/>
  <c r="J39" i="33"/>
  <c r="F39" i="33"/>
  <c r="F34" i="33"/>
  <c r="C34" i="33"/>
  <c r="J33" i="33"/>
  <c r="F33" i="33"/>
  <c r="C33" i="33"/>
  <c r="J32" i="33"/>
  <c r="C32" i="33"/>
  <c r="J31" i="33"/>
  <c r="C31" i="33"/>
  <c r="J30" i="33"/>
  <c r="F30" i="33"/>
  <c r="D30" i="33"/>
  <c r="C30" i="33"/>
  <c r="J29" i="33"/>
  <c r="F29" i="33"/>
  <c r="D29" i="33"/>
  <c r="C29" i="33"/>
  <c r="J28" i="33"/>
  <c r="F28" i="33"/>
  <c r="D28" i="33"/>
  <c r="C28" i="33"/>
  <c r="J27" i="33"/>
  <c r="F27" i="33"/>
  <c r="D27" i="33"/>
  <c r="C27" i="33"/>
  <c r="C26" i="33"/>
  <c r="J25" i="33"/>
  <c r="F25" i="33"/>
  <c r="J24" i="33"/>
  <c r="F24" i="33"/>
  <c r="J23" i="33"/>
  <c r="F23" i="33"/>
  <c r="C23" i="33"/>
  <c r="J22" i="33"/>
  <c r="F22" i="33"/>
  <c r="C22" i="33"/>
  <c r="J21" i="33"/>
  <c r="F21" i="33"/>
  <c r="C21" i="33"/>
  <c r="J20" i="33"/>
  <c r="F20" i="33"/>
  <c r="C20" i="33"/>
  <c r="J19" i="33"/>
  <c r="F19" i="33"/>
  <c r="C19" i="33"/>
  <c r="J18" i="33"/>
  <c r="F18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K62" i="33" s="1"/>
  <c r="D11" i="33"/>
  <c r="E25" i="33" s="1"/>
  <c r="C11" i="33"/>
  <c r="C77" i="32"/>
  <c r="K11" i="32"/>
  <c r="J11" i="32"/>
  <c r="D11" i="32"/>
  <c r="C75" i="10"/>
  <c r="K17" i="10"/>
  <c r="K25" i="10"/>
  <c r="F37" i="10"/>
  <c r="G37" i="10" s="1"/>
  <c r="K73" i="10"/>
  <c r="I73" i="10"/>
  <c r="G73" i="10"/>
  <c r="E73" i="10"/>
  <c r="L72" i="10"/>
  <c r="K72" i="10"/>
  <c r="I72" i="10"/>
  <c r="G72" i="10"/>
  <c r="E72" i="10"/>
  <c r="L71" i="10"/>
  <c r="K71" i="10"/>
  <c r="I71" i="10"/>
  <c r="G71" i="10"/>
  <c r="E71" i="10"/>
  <c r="G68" i="10"/>
  <c r="E68" i="10"/>
  <c r="L67" i="10"/>
  <c r="K67" i="10"/>
  <c r="I67" i="10"/>
  <c r="H67" i="10"/>
  <c r="M67" i="10" s="1"/>
  <c r="G67" i="10"/>
  <c r="E67" i="10"/>
  <c r="L66" i="10"/>
  <c r="K66" i="10"/>
  <c r="I66" i="10"/>
  <c r="H66" i="10"/>
  <c r="M66" i="10" s="1"/>
  <c r="G66" i="10"/>
  <c r="E66" i="10"/>
  <c r="K65" i="10"/>
  <c r="G65" i="10"/>
  <c r="L62" i="10"/>
  <c r="K62" i="10"/>
  <c r="I62" i="10"/>
  <c r="H62" i="10"/>
  <c r="M62" i="10" s="1"/>
  <c r="G62" i="10"/>
  <c r="E62" i="10"/>
  <c r="L61" i="10"/>
  <c r="K61" i="10"/>
  <c r="I61" i="10"/>
  <c r="H61" i="10"/>
  <c r="M61" i="10" s="1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K57" i="10"/>
  <c r="I57" i="10"/>
  <c r="H57" i="10"/>
  <c r="G57" i="10"/>
  <c r="E57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K48" i="10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H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I25" i="10"/>
  <c r="G25" i="10"/>
  <c r="C25" i="10"/>
  <c r="L24" i="10"/>
  <c r="K24" i="10"/>
  <c r="I24" i="10"/>
  <c r="H24" i="10"/>
  <c r="G24" i="10"/>
  <c r="E24" i="10"/>
  <c r="L23" i="10"/>
  <c r="K23" i="10"/>
  <c r="I23" i="10"/>
  <c r="H23" i="10"/>
  <c r="G23" i="10"/>
  <c r="E23" i="10"/>
  <c r="C23" i="10"/>
  <c r="L22" i="10"/>
  <c r="K22" i="10"/>
  <c r="I22" i="10"/>
  <c r="H22" i="10"/>
  <c r="G22" i="10"/>
  <c r="E22" i="10"/>
  <c r="C22" i="10"/>
  <c r="L21" i="10"/>
  <c r="K21" i="10"/>
  <c r="I21" i="10"/>
  <c r="H21" i="10"/>
  <c r="G21" i="10"/>
  <c r="E21" i="10"/>
  <c r="C21" i="10"/>
  <c r="L20" i="10"/>
  <c r="K20" i="10"/>
  <c r="I20" i="10"/>
  <c r="H20" i="10"/>
  <c r="G20" i="10"/>
  <c r="E20" i="10"/>
  <c r="C20" i="10"/>
  <c r="L19" i="10"/>
  <c r="K19" i="10"/>
  <c r="I19" i="10"/>
  <c r="H19" i="10"/>
  <c r="G19" i="10"/>
  <c r="E19" i="10"/>
  <c r="C19" i="10"/>
  <c r="L18" i="10"/>
  <c r="K18" i="10"/>
  <c r="I18" i="10"/>
  <c r="H18" i="10"/>
  <c r="G18" i="10"/>
  <c r="E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E25" i="10"/>
  <c r="H25" i="10"/>
  <c r="I27" i="36"/>
  <c r="J27" i="36"/>
  <c r="I43" i="36"/>
  <c r="J43" i="36"/>
  <c r="I22" i="36"/>
  <c r="J22" i="36"/>
  <c r="H27" i="36"/>
  <c r="J34" i="36"/>
  <c r="H43" i="36"/>
  <c r="I54" i="36"/>
  <c r="J54" i="36"/>
  <c r="I70" i="36"/>
  <c r="M48" i="10"/>
  <c r="L48" i="10"/>
  <c r="L25" i="10"/>
  <c r="H9" i="36"/>
  <c r="I17" i="36"/>
  <c r="J60" i="36"/>
  <c r="H60" i="36"/>
  <c r="G41" i="36"/>
  <c r="I41" i="36" s="1"/>
  <c r="H79" i="36"/>
  <c r="G75" i="36"/>
  <c r="M25" i="10"/>
  <c r="I9" i="36"/>
  <c r="J17" i="36"/>
  <c r="H17" i="36"/>
  <c r="F60" i="36"/>
  <c r="E41" i="36"/>
  <c r="F41" i="36" s="1"/>
  <c r="I60" i="36"/>
  <c r="G42" i="36"/>
  <c r="H41" i="36"/>
  <c r="H75" i="36"/>
  <c r="H74" i="10"/>
  <c r="M74" i="10" s="1"/>
  <c r="D70" i="10"/>
  <c r="E74" i="10"/>
  <c r="I74" i="10"/>
  <c r="G74" i="10"/>
  <c r="G70" i="10"/>
  <c r="J70" i="10"/>
  <c r="K70" i="10" s="1"/>
  <c r="K74" i="10"/>
  <c r="I17" i="10" l="1"/>
  <c r="J35" i="10"/>
  <c r="J36" i="10" s="1"/>
  <c r="K36" i="10" s="1"/>
  <c r="F35" i="10"/>
  <c r="F36" i="10" s="1"/>
  <c r="G48" i="10"/>
  <c r="I48" i="10"/>
  <c r="E17" i="10"/>
  <c r="H48" i="10"/>
  <c r="M17" i="10"/>
  <c r="D35" i="10"/>
  <c r="E33" i="33"/>
  <c r="E5" i="30"/>
  <c r="E4" i="30" s="1"/>
  <c r="D5" i="29"/>
  <c r="D4" i="29" s="1"/>
  <c r="G4" i="29" s="1"/>
  <c r="D8" i="36"/>
  <c r="G9" i="10"/>
  <c r="M16" i="10"/>
  <c r="K16" i="10"/>
  <c r="H42" i="36"/>
  <c r="L16" i="10"/>
  <c r="J41" i="36"/>
  <c r="E42" i="36"/>
  <c r="E8" i="36"/>
  <c r="I8" i="36" s="1"/>
  <c r="C41" i="36"/>
  <c r="C68" i="36" s="1"/>
  <c r="J9" i="36"/>
  <c r="H65" i="10"/>
  <c r="M65" i="10" s="1"/>
  <c r="I34" i="36"/>
  <c r="F16" i="10"/>
  <c r="G8" i="10" s="1"/>
  <c r="G17" i="10"/>
  <c r="D9" i="36"/>
  <c r="F70" i="36"/>
  <c r="D49" i="33"/>
  <c r="I49" i="33" s="1"/>
  <c r="H8" i="36"/>
  <c r="I65" i="10"/>
  <c r="G68" i="36"/>
  <c r="E65" i="10"/>
  <c r="H17" i="10"/>
  <c r="L17" i="10"/>
  <c r="E10" i="30"/>
  <c r="G4" i="30"/>
  <c r="H70" i="10"/>
  <c r="M70" i="10" s="1"/>
  <c r="K21" i="33"/>
  <c r="E41" i="32"/>
  <c r="E70" i="32"/>
  <c r="G64" i="32"/>
  <c r="E65" i="32"/>
  <c r="G41" i="32"/>
  <c r="G65" i="32"/>
  <c r="G70" i="32"/>
  <c r="E75" i="32"/>
  <c r="E71" i="32"/>
  <c r="G75" i="32"/>
  <c r="G71" i="32"/>
  <c r="K41" i="32"/>
  <c r="K65" i="32"/>
  <c r="K70" i="32"/>
  <c r="K75" i="32"/>
  <c r="K71" i="32"/>
  <c r="E22" i="32"/>
  <c r="E23" i="32"/>
  <c r="G24" i="32"/>
  <c r="E28" i="32"/>
  <c r="E29" i="32"/>
  <c r="G30" i="32"/>
  <c r="G39" i="32"/>
  <c r="E43" i="32"/>
  <c r="E44" i="32"/>
  <c r="E45" i="32"/>
  <c r="E46" i="32"/>
  <c r="G47" i="32"/>
  <c r="G48" i="32"/>
  <c r="G49" i="32"/>
  <c r="G50" i="32"/>
  <c r="G51" i="32"/>
  <c r="E54" i="32"/>
  <c r="E61" i="32"/>
  <c r="G63" i="32"/>
  <c r="G67" i="32"/>
  <c r="G68" i="32"/>
  <c r="G69" i="32"/>
  <c r="G76" i="32"/>
  <c r="E39" i="32"/>
  <c r="E48" i="32"/>
  <c r="E20" i="32"/>
  <c r="G22" i="32"/>
  <c r="G23" i="32"/>
  <c r="E26" i="32"/>
  <c r="G28" i="32"/>
  <c r="G29" i="32"/>
  <c r="E34" i="32"/>
  <c r="E35" i="32"/>
  <c r="E36" i="32"/>
  <c r="E37" i="32"/>
  <c r="E38" i="32"/>
  <c r="G43" i="32"/>
  <c r="G44" i="32"/>
  <c r="G45" i="32"/>
  <c r="G46" i="32"/>
  <c r="E53" i="32"/>
  <c r="G54" i="32"/>
  <c r="E57" i="32"/>
  <c r="E58" i="32"/>
  <c r="E59" i="32"/>
  <c r="E60" i="32"/>
  <c r="G61" i="32"/>
  <c r="E72" i="32"/>
  <c r="E73" i="32"/>
  <c r="E74" i="32"/>
  <c r="E24" i="32"/>
  <c r="G25" i="32"/>
  <c r="E30" i="32"/>
  <c r="E49" i="32"/>
  <c r="E18" i="32"/>
  <c r="E19" i="32"/>
  <c r="G20" i="32"/>
  <c r="E25" i="32"/>
  <c r="G26" i="32"/>
  <c r="E31" i="32"/>
  <c r="E32" i="32"/>
  <c r="G34" i="32"/>
  <c r="G35" i="32"/>
  <c r="G36" i="32"/>
  <c r="G37" i="32"/>
  <c r="G38" i="32"/>
  <c r="G52" i="32"/>
  <c r="G53" i="32"/>
  <c r="E56" i="32"/>
  <c r="G57" i="32"/>
  <c r="G58" i="32"/>
  <c r="G59" i="32"/>
  <c r="G60" i="32"/>
  <c r="G72" i="32"/>
  <c r="G73" i="32"/>
  <c r="G74" i="32"/>
  <c r="G18" i="32"/>
  <c r="G19" i="32"/>
  <c r="G31" i="32"/>
  <c r="G32" i="32"/>
  <c r="E33" i="32"/>
  <c r="E47" i="32"/>
  <c r="E50" i="32"/>
  <c r="G55" i="32"/>
  <c r="G66" i="32"/>
  <c r="E69" i="32"/>
  <c r="E76" i="32"/>
  <c r="E51" i="32"/>
  <c r="G56" i="32"/>
  <c r="E63" i="32"/>
  <c r="E68" i="32"/>
  <c r="E67" i="32"/>
  <c r="G27" i="32"/>
  <c r="E55" i="32"/>
  <c r="E16" i="32"/>
  <c r="E17" i="32"/>
  <c r="G42" i="32"/>
  <c r="G16" i="32"/>
  <c r="E21" i="32"/>
  <c r="G17" i="32"/>
  <c r="G33" i="32"/>
  <c r="E42" i="32"/>
  <c r="E52" i="32"/>
  <c r="E66" i="32"/>
  <c r="E27" i="32"/>
  <c r="G21" i="32"/>
  <c r="E64" i="32"/>
  <c r="G40" i="32"/>
  <c r="E40" i="32"/>
  <c r="K22" i="32"/>
  <c r="K23" i="32"/>
  <c r="K28" i="32"/>
  <c r="K29" i="32"/>
  <c r="K38" i="32"/>
  <c r="K43" i="32"/>
  <c r="K44" i="32"/>
  <c r="K45" i="32"/>
  <c r="K54" i="32"/>
  <c r="K61" i="32"/>
  <c r="K46" i="32"/>
  <c r="K49" i="32"/>
  <c r="K20" i="32"/>
  <c r="K26" i="32"/>
  <c r="K34" i="32"/>
  <c r="K35" i="32"/>
  <c r="K36" i="32"/>
  <c r="K37" i="32"/>
  <c r="K53" i="32"/>
  <c r="K57" i="32"/>
  <c r="K58" i="32"/>
  <c r="K59" i="32"/>
  <c r="K60" i="32"/>
  <c r="K72" i="32"/>
  <c r="K73" i="32"/>
  <c r="K74" i="32"/>
  <c r="K30" i="32"/>
  <c r="K47" i="32"/>
  <c r="K18" i="32"/>
  <c r="K19" i="32"/>
  <c r="K25" i="32"/>
  <c r="K31" i="32"/>
  <c r="K32" i="32"/>
  <c r="K52" i="32"/>
  <c r="K56" i="32"/>
  <c r="K24" i="32"/>
  <c r="K39" i="32"/>
  <c r="K48" i="32"/>
  <c r="K51" i="32"/>
  <c r="K63" i="32"/>
  <c r="K68" i="32"/>
  <c r="K69" i="32"/>
  <c r="K76" i="32"/>
  <c r="K50" i="32"/>
  <c r="K67" i="32"/>
  <c r="K55" i="32"/>
  <c r="K66" i="32"/>
  <c r="K21" i="32"/>
  <c r="K27" i="32"/>
  <c r="K17" i="32"/>
  <c r="K42" i="32"/>
  <c r="K16" i="32"/>
  <c r="K33" i="32"/>
  <c r="K64" i="32"/>
  <c r="K40" i="32"/>
  <c r="M35" i="10"/>
  <c r="K35" i="10"/>
  <c r="J63" i="10"/>
  <c r="J26" i="33"/>
  <c r="K26" i="33" s="1"/>
  <c r="H37" i="10"/>
  <c r="E35" i="10"/>
  <c r="L37" i="10"/>
  <c r="D36" i="10"/>
  <c r="M36" i="10" s="1"/>
  <c r="M37" i="10"/>
  <c r="L35" i="10"/>
  <c r="I37" i="10"/>
  <c r="E37" i="10"/>
  <c r="K28" i="33"/>
  <c r="K30" i="33"/>
  <c r="K73" i="33"/>
  <c r="K20" i="33"/>
  <c r="K48" i="33"/>
  <c r="K53" i="33"/>
  <c r="K59" i="33"/>
  <c r="K63" i="33"/>
  <c r="K68" i="33"/>
  <c r="K24" i="33"/>
  <c r="K29" i="33"/>
  <c r="K19" i="33"/>
  <c r="K23" i="33"/>
  <c r="K31" i="33"/>
  <c r="K34" i="33"/>
  <c r="K41" i="33"/>
  <c r="K52" i="33"/>
  <c r="K56" i="33"/>
  <c r="K32" i="33"/>
  <c r="G49" i="33"/>
  <c r="K18" i="33"/>
  <c r="K22" i="33"/>
  <c r="G35" i="33"/>
  <c r="G42" i="33"/>
  <c r="K47" i="33"/>
  <c r="K58" i="33"/>
  <c r="K60" i="33"/>
  <c r="G60" i="33"/>
  <c r="K40" i="33"/>
  <c r="K42" i="33"/>
  <c r="K44" i="33"/>
  <c r="K49" i="33"/>
  <c r="J69" i="10"/>
  <c r="K69" i="10" s="1"/>
  <c r="G35" i="10"/>
  <c r="D63" i="10"/>
  <c r="F63" i="10"/>
  <c r="E24" i="33"/>
  <c r="G25" i="33"/>
  <c r="E28" i="33"/>
  <c r="E29" i="33"/>
  <c r="E30" i="33"/>
  <c r="G33" i="33"/>
  <c r="G34" i="33"/>
  <c r="G41" i="33"/>
  <c r="E44" i="33"/>
  <c r="G45" i="33"/>
  <c r="E48" i="33"/>
  <c r="G50" i="33"/>
  <c r="E53" i="33"/>
  <c r="G54" i="33"/>
  <c r="G59" i="33"/>
  <c r="G63" i="33"/>
  <c r="G74" i="33"/>
  <c r="G32" i="33"/>
  <c r="G68" i="33"/>
  <c r="G31" i="33"/>
  <c r="E20" i="33"/>
  <c r="E22" i="33"/>
  <c r="G24" i="33"/>
  <c r="G27" i="33"/>
  <c r="G30" i="33"/>
  <c r="E39" i="33"/>
  <c r="G40" i="33"/>
  <c r="G44" i="33"/>
  <c r="E52" i="33"/>
  <c r="G53" i="33"/>
  <c r="G58" i="33"/>
  <c r="G62" i="33"/>
  <c r="G67" i="33"/>
  <c r="G18" i="33"/>
  <c r="G19" i="33"/>
  <c r="G20" i="33"/>
  <c r="G21" i="33"/>
  <c r="G22" i="33"/>
  <c r="G23" i="33"/>
  <c r="E35" i="33"/>
  <c r="G39" i="33"/>
  <c r="E42" i="33"/>
  <c r="G43" i="33"/>
  <c r="E46" i="33"/>
  <c r="G47" i="33"/>
  <c r="E51" i="33"/>
  <c r="G52" i="33"/>
  <c r="E56" i="33"/>
  <c r="G57" i="33"/>
  <c r="E60" i="33"/>
  <c r="G61" i="33"/>
  <c r="E69" i="33"/>
  <c r="G72" i="33"/>
  <c r="E68" i="33"/>
  <c r="I61" i="33"/>
  <c r="E63" i="33"/>
  <c r="I63" i="33"/>
  <c r="H72" i="33"/>
  <c r="E55" i="33"/>
  <c r="H19" i="33"/>
  <c r="H23" i="33"/>
  <c r="H34" i="33"/>
  <c r="I50" i="33"/>
  <c r="H54" i="33"/>
  <c r="H74" i="33"/>
  <c r="E67" i="33"/>
  <c r="H57" i="33"/>
  <c r="H44" i="33"/>
  <c r="I59" i="33"/>
  <c r="I52" i="33"/>
  <c r="M21" i="33"/>
  <c r="I29" i="33"/>
  <c r="M45" i="33"/>
  <c r="L61" i="33"/>
  <c r="I69" i="33"/>
  <c r="M72" i="33"/>
  <c r="J66" i="33"/>
  <c r="K66" i="33" s="1"/>
  <c r="I32" i="33"/>
  <c r="L25" i="33"/>
  <c r="H28" i="33"/>
  <c r="J38" i="33"/>
  <c r="M41" i="33"/>
  <c r="M43" i="33"/>
  <c r="H46" i="33"/>
  <c r="I51" i="33"/>
  <c r="I56" i="33"/>
  <c r="L57" i="33"/>
  <c r="I31" i="33"/>
  <c r="M28" i="33"/>
  <c r="M35" i="33"/>
  <c r="H40" i="33"/>
  <c r="L46" i="33"/>
  <c r="M51" i="33"/>
  <c r="L56" i="33"/>
  <c r="H58" i="33"/>
  <c r="L62" i="33"/>
  <c r="M69" i="33"/>
  <c r="M73" i="33"/>
  <c r="F66" i="33"/>
  <c r="G66" i="33" s="1"/>
  <c r="I33" i="33"/>
  <c r="K67" i="33"/>
  <c r="L28" i="33"/>
  <c r="L48" i="33"/>
  <c r="H33" i="33"/>
  <c r="I67" i="33"/>
  <c r="K46" i="33"/>
  <c r="M62" i="33"/>
  <c r="L70" i="10"/>
  <c r="E70" i="10"/>
  <c r="M33" i="33"/>
  <c r="M56" i="33"/>
  <c r="E58" i="33"/>
  <c r="L31" i="33"/>
  <c r="H29" i="33"/>
  <c r="M44" i="33"/>
  <c r="M29" i="33"/>
  <c r="K69" i="33"/>
  <c r="H25" i="33"/>
  <c r="K35" i="33"/>
  <c r="M48" i="33"/>
  <c r="E40" i="33"/>
  <c r="H63" i="33"/>
  <c r="L44" i="33"/>
  <c r="K51" i="33"/>
  <c r="L30" i="33"/>
  <c r="L29" i="33"/>
  <c r="I40" i="33"/>
  <c r="M46" i="33"/>
  <c r="L42" i="33"/>
  <c r="L58" i="33"/>
  <c r="L51" i="33"/>
  <c r="M20" i="33"/>
  <c r="D17" i="33"/>
  <c r="D16" i="33" s="1"/>
  <c r="I30" i="33"/>
  <c r="I18" i="33"/>
  <c r="F55" i="33"/>
  <c r="G55" i="33" s="1"/>
  <c r="K72" i="33"/>
  <c r="M40" i="33"/>
  <c r="I34" i="33"/>
  <c r="M30" i="33"/>
  <c r="H68" i="33"/>
  <c r="M58" i="33"/>
  <c r="L69" i="33"/>
  <c r="L53" i="33"/>
  <c r="K27" i="33"/>
  <c r="E73" i="33"/>
  <c r="M22" i="33"/>
  <c r="H30" i="33"/>
  <c r="L60" i="33"/>
  <c r="L35" i="33"/>
  <c r="M42" i="33"/>
  <c r="E62" i="33"/>
  <c r="G29" i="33"/>
  <c r="L74" i="33"/>
  <c r="H48" i="33"/>
  <c r="H73" i="33"/>
  <c r="G46" i="33"/>
  <c r="I46" i="33"/>
  <c r="L40" i="33"/>
  <c r="H59" i="33"/>
  <c r="I45" i="33"/>
  <c r="L22" i="33"/>
  <c r="M18" i="33"/>
  <c r="I54" i="33"/>
  <c r="L73" i="33"/>
  <c r="M23" i="33"/>
  <c r="M53" i="33"/>
  <c r="H21" i="33"/>
  <c r="M60" i="33"/>
  <c r="G56" i="33"/>
  <c r="E19" i="33"/>
  <c r="L24" i="33"/>
  <c r="M27" i="33"/>
  <c r="I70" i="10"/>
  <c r="H31" i="33"/>
  <c r="K61" i="33"/>
  <c r="L23" i="33"/>
  <c r="I35" i="33"/>
  <c r="E59" i="33"/>
  <c r="H50" i="33"/>
  <c r="H56" i="33"/>
  <c r="H35" i="33"/>
  <c r="H27" i="33"/>
  <c r="H22" i="33"/>
  <c r="L20" i="33"/>
  <c r="J55" i="33"/>
  <c r="E21" i="33"/>
  <c r="L19" i="33"/>
  <c r="I74" i="33"/>
  <c r="M19" i="33"/>
  <c r="H69" i="33"/>
  <c r="H42" i="33"/>
  <c r="L54" i="33"/>
  <c r="E54" i="33"/>
  <c r="E18" i="33"/>
  <c r="E45" i="33"/>
  <c r="G28" i="33"/>
  <c r="G69" i="33"/>
  <c r="L68" i="33"/>
  <c r="F26" i="33"/>
  <c r="G26" i="33" s="1"/>
  <c r="D66" i="33"/>
  <c r="E49" i="33"/>
  <c r="E74" i="33"/>
  <c r="I20" i="33"/>
  <c r="K57" i="33"/>
  <c r="H20" i="33"/>
  <c r="H45" i="33"/>
  <c r="H60" i="33"/>
  <c r="E50" i="33"/>
  <c r="I19" i="33"/>
  <c r="L21" i="33"/>
  <c r="J17" i="33"/>
  <c r="H18" i="33"/>
  <c r="H51" i="33"/>
  <c r="H41" i="33"/>
  <c r="I24" i="33"/>
  <c r="F38" i="33"/>
  <c r="I28" i="33"/>
  <c r="I41" i="33"/>
  <c r="I27" i="33"/>
  <c r="I68" i="33"/>
  <c r="M68" i="33"/>
  <c r="G51" i="33"/>
  <c r="E34" i="33"/>
  <c r="K25" i="33"/>
  <c r="L33" i="33"/>
  <c r="L34" i="33"/>
  <c r="H39" i="33"/>
  <c r="L43" i="33"/>
  <c r="L45" i="33"/>
  <c r="H47" i="33"/>
  <c r="M50" i="33"/>
  <c r="L52" i="33"/>
  <c r="M54" i="33"/>
  <c r="M57" i="33"/>
  <c r="I58" i="33"/>
  <c r="M59" i="33"/>
  <c r="M61" i="33"/>
  <c r="M74" i="33"/>
  <c r="K43" i="33"/>
  <c r="L18" i="33"/>
  <c r="I21" i="33"/>
  <c r="I23" i="33"/>
  <c r="I60" i="33"/>
  <c r="I22" i="33"/>
  <c r="I42" i="33"/>
  <c r="K39" i="33"/>
  <c r="E41" i="33"/>
  <c r="E23" i="33"/>
  <c r="M25" i="33"/>
  <c r="E31" i="33"/>
  <c r="E32" i="33"/>
  <c r="M32" i="33"/>
  <c r="K33" i="33"/>
  <c r="K54" i="33"/>
  <c r="K74" i="33"/>
  <c r="F17" i="33"/>
  <c r="E72" i="33"/>
  <c r="E61" i="33"/>
  <c r="L59" i="33"/>
  <c r="E57" i="33"/>
  <c r="H52" i="33"/>
  <c r="M39" i="33"/>
  <c r="M34" i="33"/>
  <c r="E27" i="33"/>
  <c r="E43" i="33"/>
  <c r="E47" i="33"/>
  <c r="L41" i="33"/>
  <c r="I39" i="33"/>
  <c r="I25" i="33"/>
  <c r="L72" i="33"/>
  <c r="H32" i="33"/>
  <c r="I72" i="33"/>
  <c r="H61" i="33"/>
  <c r="I53" i="33"/>
  <c r="M52" i="33"/>
  <c r="L50" i="33"/>
  <c r="I48" i="33"/>
  <c r="I47" i="33"/>
  <c r="I43" i="33"/>
  <c r="L27" i="33"/>
  <c r="L47" i="33"/>
  <c r="I73" i="33"/>
  <c r="L39" i="33"/>
  <c r="H67" i="33"/>
  <c r="H24" i="33"/>
  <c r="H62" i="33"/>
  <c r="G48" i="33"/>
  <c r="M24" i="33"/>
  <c r="M47" i="33"/>
  <c r="M67" i="33"/>
  <c r="K50" i="33"/>
  <c r="L32" i="33"/>
  <c r="M31" i="33"/>
  <c r="G73" i="33"/>
  <c r="K45" i="33"/>
  <c r="H53" i="33"/>
  <c r="I44" i="33"/>
  <c r="H43" i="33"/>
  <c r="D38" i="33"/>
  <c r="M63" i="33"/>
  <c r="L63" i="33"/>
  <c r="I35" i="10" l="1"/>
  <c r="H35" i="10"/>
  <c r="H16" i="10"/>
  <c r="I16" i="10"/>
  <c r="H49" i="33"/>
  <c r="L49" i="33"/>
  <c r="M49" i="33"/>
  <c r="D36" i="33"/>
  <c r="D64" i="33" s="1"/>
  <c r="C69" i="36"/>
  <c r="D69" i="36" s="1"/>
  <c r="C74" i="36"/>
  <c r="D68" i="36"/>
  <c r="J42" i="36"/>
  <c r="F42" i="36"/>
  <c r="G69" i="36"/>
  <c r="H68" i="36"/>
  <c r="G16" i="10"/>
  <c r="C42" i="36"/>
  <c r="D42" i="36" s="1"/>
  <c r="D41" i="36"/>
  <c r="E68" i="36"/>
  <c r="J68" i="36" s="1"/>
  <c r="F8" i="36"/>
  <c r="J8" i="36"/>
  <c r="I42" i="36"/>
  <c r="G10" i="30"/>
  <c r="E17" i="30"/>
  <c r="K63" i="10"/>
  <c r="J64" i="10"/>
  <c r="K64" i="10" s="1"/>
  <c r="E36" i="10"/>
  <c r="L36" i="10"/>
  <c r="E63" i="10"/>
  <c r="D69" i="10"/>
  <c r="H63" i="10"/>
  <c r="M63" i="10" s="1"/>
  <c r="D64" i="10"/>
  <c r="L63" i="10"/>
  <c r="I63" i="10"/>
  <c r="F69" i="10"/>
  <c r="G69" i="10" s="1"/>
  <c r="F64" i="10"/>
  <c r="G64" i="10" s="1"/>
  <c r="G63" i="10"/>
  <c r="J36" i="33"/>
  <c r="I36" i="10"/>
  <c r="H36" i="10"/>
  <c r="G36" i="10"/>
  <c r="K38" i="33"/>
  <c r="G38" i="33"/>
  <c r="F36" i="33"/>
  <c r="I55" i="33"/>
  <c r="L55" i="33"/>
  <c r="H66" i="33"/>
  <c r="I66" i="33"/>
  <c r="H17" i="33"/>
  <c r="H55" i="33"/>
  <c r="M17" i="33"/>
  <c r="E17" i="33"/>
  <c r="L66" i="33"/>
  <c r="E66" i="33"/>
  <c r="M66" i="33"/>
  <c r="K55" i="33"/>
  <c r="M55" i="33"/>
  <c r="J16" i="33"/>
  <c r="K17" i="33"/>
  <c r="L17" i="33"/>
  <c r="M26" i="33"/>
  <c r="E26" i="33"/>
  <c r="L26" i="33"/>
  <c r="H26" i="33"/>
  <c r="I26" i="33"/>
  <c r="I38" i="33"/>
  <c r="H38" i="33"/>
  <c r="L38" i="33"/>
  <c r="E38" i="33"/>
  <c r="M38" i="33"/>
  <c r="F16" i="33"/>
  <c r="G17" i="33"/>
  <c r="I17" i="33"/>
  <c r="E69" i="36" l="1"/>
  <c r="F69" i="36" s="1"/>
  <c r="F68" i="36"/>
  <c r="E74" i="36"/>
  <c r="D74" i="36"/>
  <c r="C79" i="36"/>
  <c r="J69" i="36"/>
  <c r="H69" i="36"/>
  <c r="I69" i="36"/>
  <c r="I68" i="36"/>
  <c r="E23" i="30"/>
  <c r="G23" i="30" s="1"/>
  <c r="G17" i="30"/>
  <c r="I69" i="10"/>
  <c r="H69" i="10"/>
  <c r="M69" i="10" s="1"/>
  <c r="L69" i="10"/>
  <c r="E69" i="10"/>
  <c r="H64" i="10"/>
  <c r="M64" i="10" s="1"/>
  <c r="L64" i="10"/>
  <c r="I64" i="10"/>
  <c r="E64" i="10"/>
  <c r="F37" i="33"/>
  <c r="G37" i="33" s="1"/>
  <c r="J37" i="33"/>
  <c r="K37" i="33" s="1"/>
  <c r="G36" i="33"/>
  <c r="H16" i="33"/>
  <c r="E16" i="33"/>
  <c r="L16" i="33"/>
  <c r="K36" i="33"/>
  <c r="J64" i="33"/>
  <c r="K16" i="33"/>
  <c r="M16" i="33"/>
  <c r="I16" i="33"/>
  <c r="F64" i="33"/>
  <c r="H64" i="33" s="1"/>
  <c r="G16" i="33"/>
  <c r="E36" i="33"/>
  <c r="H36" i="33"/>
  <c r="L36" i="33"/>
  <c r="M36" i="33"/>
  <c r="I36" i="33"/>
  <c r="D37" i="33"/>
  <c r="C75" i="36" l="1"/>
  <c r="D75" i="36" s="1"/>
  <c r="D79" i="36"/>
  <c r="I74" i="36"/>
  <c r="F74" i="36"/>
  <c r="J74" i="36"/>
  <c r="E79" i="36"/>
  <c r="D65" i="33"/>
  <c r="L64" i="33"/>
  <c r="D70" i="33"/>
  <c r="E64" i="33"/>
  <c r="M64" i="33"/>
  <c r="J70" i="33"/>
  <c r="J65" i="33"/>
  <c r="K65" i="33" s="1"/>
  <c r="K64" i="33"/>
  <c r="M37" i="33"/>
  <c r="L37" i="33"/>
  <c r="E37" i="33"/>
  <c r="H37" i="33"/>
  <c r="I37" i="33"/>
  <c r="F65" i="33"/>
  <c r="G65" i="33" s="1"/>
  <c r="F70" i="33"/>
  <c r="G64" i="33"/>
  <c r="I64" i="33"/>
  <c r="I79" i="36" l="1"/>
  <c r="F79" i="36"/>
  <c r="J79" i="36"/>
  <c r="E75" i="36"/>
  <c r="E65" i="33"/>
  <c r="E70" i="33"/>
  <c r="L70" i="33"/>
  <c r="M70" i="33"/>
  <c r="I70" i="33"/>
  <c r="D75" i="33"/>
  <c r="H65" i="33"/>
  <c r="I65" i="33"/>
  <c r="L65" i="33"/>
  <c r="M65" i="33"/>
  <c r="H70" i="33"/>
  <c r="J75" i="33"/>
  <c r="K70" i="33"/>
  <c r="G70" i="33"/>
  <c r="F75" i="33"/>
  <c r="F75" i="36" l="1"/>
  <c r="J75" i="36"/>
  <c r="I75" i="36"/>
  <c r="D71" i="33"/>
  <c r="E71" i="33" s="1"/>
  <c r="E75" i="33"/>
  <c r="I75" i="33"/>
  <c r="M75" i="33"/>
  <c r="L75" i="33"/>
  <c r="J71" i="33"/>
  <c r="K71" i="33" s="1"/>
  <c r="K75" i="33"/>
  <c r="G75" i="33"/>
  <c r="F71" i="33"/>
  <c r="G71" i="33" s="1"/>
  <c r="H75" i="33"/>
  <c r="I71" i="33" l="1"/>
  <c r="M71" i="33"/>
  <c r="L71" i="33"/>
  <c r="H71" i="33"/>
</calcChain>
</file>

<file path=xl/sharedStrings.xml><?xml version="1.0" encoding="utf-8"?>
<sst xmlns="http://schemas.openxmlformats.org/spreadsheetml/2006/main" count="1253" uniqueCount="472">
  <si>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</si>
  <si>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</si>
  <si>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</si>
  <si>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</si>
  <si>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</si>
  <si>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</si>
  <si>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</si>
  <si>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</si>
  <si>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</si>
  <si>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</si>
  <si>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</si>
  <si>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</si>
  <si>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</si>
  <si>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</si>
  <si>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</si>
  <si>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</si>
  <si>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</si>
  <si>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</si>
  <si>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</si>
  <si>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</si>
  <si>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</si>
  <si>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</si>
  <si>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</si>
  <si>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</si>
  <si>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</si>
  <si>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</si>
  <si>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</si>
  <si>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</si>
  <si>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</si>
  <si>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</si>
  <si>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</si>
  <si>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</si>
  <si>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</si>
  <si>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</si>
  <si>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</si>
  <si>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</si>
  <si>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</si>
  <si>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</si>
  <si>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</si>
  <si>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</si>
  <si>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</si>
  <si>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</si>
  <si>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</si>
  <si>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</si>
  <si>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</si>
  <si>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</si>
  <si>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</si>
  <si>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</si>
  <si>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</si>
  <si>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</si>
  <si>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</si>
  <si>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</si>
  <si>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</si>
  <si>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</si>
  <si>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</si>
  <si>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</si>
  <si>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</si>
  <si>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</si>
  <si>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</si>
  <si>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</si>
  <si>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</si>
  <si>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</si>
  <si>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</si>
  <si>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</si>
  <si>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</si>
  <si>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</si>
  <si>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</si>
  <si>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</si>
  <si>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</si>
  <si>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</si>
  <si>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</si>
  <si>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</si>
  <si>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</si>
  <si>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</si>
  <si>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</si>
  <si>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</si>
  <si>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</si>
  <si>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</si>
  <si>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</si>
  <si>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</si>
  <si>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</si>
  <si>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</si>
  <si>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</si>
  <si>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</si>
  <si>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</si>
  <si>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</si>
  <si>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</si>
  <si>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</si>
  <si>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</si>
  <si>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</si>
  <si>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</si>
  <si>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</si>
  <si>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</si>
  <si>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</si>
  <si>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</si>
  <si>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</si>
  <si>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</si>
  <si>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</si>
  <si>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</si>
  <si>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</si>
  <si>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</si>
  <si>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</si>
  <si>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</si>
  <si>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</si>
  <si>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</si>
  <si>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</si>
  <si>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</si>
  <si>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</si>
  <si>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</si>
  <si>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</si>
  <si>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</si>
  <si>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</si>
  <si>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</si>
  <si>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</si>
  <si>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</si>
  <si>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</si>
  <si>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</si>
  <si>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</si>
  <si>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</si>
  <si>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</si>
  <si>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</si>
  <si>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</si>
  <si>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</si>
  <si>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</si>
  <si>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</si>
  <si>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</si>
  <si>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</si>
  <si>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</si>
  <si>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</si>
  <si>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</si>
  <si>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</si>
  <si>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</si>
  <si>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</si>
  <si>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</si>
  <si>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</si>
  <si>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</si>
  <si>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</si>
  <si>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</si>
  <si>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</si>
  <si>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</si>
  <si>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</si>
  <si>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</si>
  <si>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</si>
  <si>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</si>
  <si>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</si>
  <si>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</si>
  <si>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</si>
  <si>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</si>
  <si>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</si>
  <si>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</si>
  <si>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</si>
  <si>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</si>
  <si>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</si>
  <si>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</si>
  <si>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</si>
  <si>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</si>
  <si>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</si>
  <si>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</si>
  <si>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</si>
  <si>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</si>
  <si>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</si>
  <si>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</si>
  <si>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</si>
  <si>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</si>
  <si>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</si>
  <si>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</si>
  <si>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</si>
  <si>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</si>
  <si>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</si>
  <si>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</si>
  <si>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</si>
  <si>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</si>
  <si>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</si>
  <si>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</si>
  <si>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</si>
  <si>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</si>
  <si>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</si>
  <si>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</si>
  <si>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</si>
  <si>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</si>
  <si>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</si>
  <si>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</si>
  <si>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</si>
  <si>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</si>
  <si>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</si>
  <si>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</si>
  <si>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</si>
  <si>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</si>
  <si>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</si>
  <si>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</si>
  <si>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</si>
  <si>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</si>
  <si>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</si>
  <si>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</si>
  <si>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</si>
  <si>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</si>
  <si>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</si>
  <si>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</si>
  <si>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</si>
  <si>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</si>
  <si>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</si>
  <si>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</si>
  <si>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</si>
  <si>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</si>
  <si>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</si>
  <si>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</si>
  <si>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</si>
  <si>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</si>
  <si>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</si>
  <si>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</si>
  <si>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</si>
  <si>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</si>
  <si>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</si>
  <si>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</si>
  <si>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</si>
  <si>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</si>
  <si>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</si>
  <si>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</si>
  <si>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</si>
  <si>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</si>
  <si>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</si>
  <si>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</si>
  <si>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</si>
  <si>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</si>
  <si>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</si>
  <si>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</si>
  <si>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</si>
  <si>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</si>
  <si>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</si>
  <si>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</si>
  <si>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</si>
  <si>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</si>
  <si>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</si>
  <si>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</si>
  <si>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</si>
  <si>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</si>
  <si>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</si>
  <si>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</si>
  <si>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</si>
  <si>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</si>
  <si>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</si>
  <si>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</si>
  <si>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</si>
  <si>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</si>
  <si>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</si>
  <si>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</si>
  <si>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</si>
  <si>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</si>
  <si>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</si>
  <si>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</si>
  <si>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</si>
  <si>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</si>
  <si>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</si>
  <si>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</si>
  <si>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</si>
  <si>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</si>
  <si>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</si>
  <si>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</si>
  <si>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</si>
  <si>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</si>
  <si>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</si>
  <si>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</si>
  <si>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</si>
  <si>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</si>
  <si>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</si>
  <si>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</si>
  <si>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</si>
  <si>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</si>
  <si>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</si>
  <si>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</si>
  <si>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</si>
  <si>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</si>
  <si>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</si>
  <si>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</si>
  <si>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</si>
  <si>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</si>
  <si>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</si>
  <si>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</si>
  <si>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</si>
  <si>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</si>
  <si>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</si>
  <si>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</si>
  <si>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</si>
  <si>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</si>
  <si>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</si>
  <si>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</si>
  <si>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</si>
  <si>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</si>
  <si>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</si>
  <si>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</si>
  <si>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</si>
  <si>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</si>
  <si>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</si>
  <si>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</si>
  <si>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</si>
  <si>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</si>
  <si>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</si>
  <si>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</si>
  <si>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</si>
  <si>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</si>
  <si>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</si>
  <si>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</si>
  <si>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</si>
  <si>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</si>
  <si>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</si>
  <si>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</si>
  <si>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</si>
  <si>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</si>
  <si>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</si>
  <si>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</si>
  <si>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</si>
  <si>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</si>
  <si>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</si>
  <si>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</si>
  <si>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</si>
  <si>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</si>
  <si>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</si>
  <si>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</si>
  <si>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</si>
  <si>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</si>
  <si>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</si>
  <si>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</si>
  <si>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</si>
  <si>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</si>
  <si>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</si>
  <si>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</si>
  <si>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</si>
  <si>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</si>
  <si>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</si>
  <si>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</si>
  <si>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</si>
  <si>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</si>
  <si>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</si>
  <si>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</si>
  <si>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</si>
  <si>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</si>
  <si>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</si>
  <si>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</si>
  <si>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</si>
  <si>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</si>
  <si>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</si>
  <si>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</si>
  <si>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</si>
  <si>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</si>
  <si>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</si>
  <si>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</si>
  <si>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</si>
  <si>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</si>
  <si>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</si>
  <si>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</si>
  <si>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</si>
  <si>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</si>
  <si>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</si>
  <si>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</si>
  <si>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</si>
  <si>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</si>
  <si>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</si>
  <si>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</si>
  <si>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</si>
  <si>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</si>
  <si>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</si>
  <si>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</si>
  <si>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</si>
  <si>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</si>
  <si>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</si>
  <si>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</si>
  <si>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</si>
  <si>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</si>
  <si>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</si>
  <si>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</si>
  <si>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</si>
  <si>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</si>
  <si>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</si>
  <si>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</si>
  <si>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</si>
  <si>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</si>
  <si>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</si>
  <si>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</si>
  <si>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</si>
  <si>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</si>
  <si>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</si>
  <si>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</si>
  <si>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</si>
  <si>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</si>
  <si>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</si>
  <si>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</si>
  <si>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</si>
  <si>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</si>
  <si>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</si>
  <si>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</si>
  <si>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</si>
  <si>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</si>
  <si>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</si>
  <si>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</si>
  <si>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</si>
  <si>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</si>
  <si>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</si>
  <si>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</si>
  <si>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</si>
  <si>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</si>
  <si>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</si>
  <si>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</si>
  <si>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</si>
  <si>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</si>
  <si>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</si>
  <si>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</si>
  <si>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</si>
  <si>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</si>
  <si>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</si>
  <si>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</si>
  <si>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</si>
  <si>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</si>
  <si>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</si>
  <si>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</si>
  <si>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</si>
  <si>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</si>
  <si>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</si>
  <si>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</si>
  <si>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</si>
  <si>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</si>
  <si>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</si>
  <si>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</si>
  <si>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</si>
  <si>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</si>
  <si>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</si>
  <si>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</si>
  <si>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</si>
  <si>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</si>
  <si>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</si>
  <si>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</si>
  <si>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</si>
  <si>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</si>
  <si>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</si>
  <si>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</si>
  <si>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</si>
  <si>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</si>
  <si>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</si>
  <si>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</si>
  <si>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</si>
  <si>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</si>
  <si>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</si>
  <si>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</si>
  <si>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</si>
  <si>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</si>
  <si>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</si>
  <si>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Naknada za komunalno opremanje građevinskog zemljišta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</si>
  <si>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</si>
  <si>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</si>
  <si>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</si>
  <si>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</si>
  <si>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</si>
  <si>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</si>
  <si>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</si>
  <si>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</si>
  <si>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</si>
  <si>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</si>
  <si>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</si>
  <si>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</si>
  <si>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</si>
  <si>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</si>
  <si>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</si>
  <si>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Plan 2016</t>
  </si>
  <si>
    <t>Ostali državni prihodi</t>
  </si>
  <si>
    <t>Other State revenues</t>
  </si>
  <si>
    <t>Ostali transferi</t>
  </si>
  <si>
    <t>Ostvarenje 2016</t>
  </si>
  <si>
    <t>Ostvarenje 2015</t>
  </si>
  <si>
    <t xml:space="preserve">Receipts from repayment of loans </t>
  </si>
  <si>
    <t>Receipts from repayment of loans</t>
  </si>
  <si>
    <t>Primici od otplate kredita</t>
  </si>
  <si>
    <t xml:space="preserve"> Ostvarenje 2016 </t>
  </si>
  <si>
    <t xml:space="preserve"> Ostvarenje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</si>
</sst>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0,,"/>
    <numFmt numFmtId="165" formatCode="0.0,,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  <numFmt numFmtId="174" formatCode="#,##0.0,,"/>
    <numFmt numFmtId="175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0">
    <xf numFmtId="0" fontId="0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3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45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4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4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5" fontId="27" fillId="2" borderId="0" xfId="0" applyNumberFormat="1" applyFont="1" applyFill="1" applyBorder="1" applyAlignment="1" applyProtection="1">
      <protection hidden="1"/>
    </xf>
    <xf numFmtId="165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4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4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4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5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5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5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5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4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4" fontId="29" fillId="2" borderId="30" xfId="36" applyNumberFormat="1" applyFont="1" applyFill="1" applyBorder="1" applyAlignment="1">
      <alignment vertical="center"/>
    </xf>
    <xf numFmtId="164" fontId="27" fillId="0" borderId="30" xfId="36" applyNumberFormat="1" applyFont="1" applyFill="1" applyBorder="1" applyAlignment="1">
      <alignment vertical="center"/>
    </xf>
    <xf numFmtId="164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4" fontId="29" fillId="5" borderId="5" xfId="36" applyNumberFormat="1" applyFont="1" applyFill="1" applyBorder="1" applyAlignment="1">
      <alignment vertical="center"/>
    </xf>
    <xf numFmtId="164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4" fontId="29" fillId="5" borderId="11" xfId="36" applyNumberFormat="1" applyFont="1" applyFill="1" applyBorder="1" applyAlignment="1">
      <alignment vertical="center"/>
    </xf>
    <xf numFmtId="164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4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4" fontId="29" fillId="6" borderId="11" xfId="36" applyNumberFormat="1" applyFont="1" applyFill="1" applyBorder="1" applyAlignment="1">
      <alignment vertical="center"/>
    </xf>
    <xf numFmtId="164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4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4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4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4" fontId="27" fillId="2" borderId="21" xfId="39" applyNumberFormat="1" applyFont="1" applyFill="1" applyBorder="1"/>
    <xf numFmtId="0" fontId="27" fillId="2" borderId="21" xfId="39" applyFont="1" applyFill="1" applyBorder="1"/>
    <xf numFmtId="164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5" fontId="30" fillId="2" borderId="0" xfId="0" applyNumberFormat="1" applyFont="1" applyFill="1" applyBorder="1" applyAlignment="1" applyProtection="1">
      <alignment vertical="center"/>
      <protection hidden="1"/>
    </xf>
    <xf numFmtId="164" fontId="29" fillId="14" borderId="30" xfId="22" applyNumberFormat="1" applyFont="1" applyFill="1" applyBorder="1" applyAlignment="1">
      <alignment vertical="center"/>
    </xf>
    <xf numFmtId="164" fontId="29" fillId="14" borderId="5" xfId="22" applyNumberFormat="1" applyFont="1" applyFill="1" applyBorder="1" applyAlignment="1">
      <alignment vertical="center"/>
    </xf>
    <xf numFmtId="164" fontId="29" fillId="14" borderId="30" xfId="36" applyNumberFormat="1" applyFont="1" applyFill="1" applyBorder="1" applyAlignment="1">
      <alignment vertical="center"/>
    </xf>
    <xf numFmtId="164" fontId="27" fillId="14" borderId="30" xfId="36" applyNumberFormat="1" applyFont="1" applyFill="1" applyBorder="1" applyAlignment="1">
      <alignment vertical="center"/>
    </xf>
    <xf numFmtId="164" fontId="29" fillId="14" borderId="5" xfId="36" applyNumberFormat="1" applyFont="1" applyFill="1" applyBorder="1" applyAlignment="1">
      <alignment vertical="center"/>
    </xf>
    <xf numFmtId="175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4" fontId="27" fillId="2" borderId="5" xfId="36" applyNumberFormat="1" applyFont="1" applyFill="1" applyBorder="1" applyAlignment="1">
      <alignment vertical="center"/>
    </xf>
    <xf numFmtId="164" fontId="27" fillId="14" borderId="5" xfId="36" applyNumberFormat="1" applyFont="1" applyFill="1" applyBorder="1" applyAlignment="1">
      <alignment vertical="center"/>
    </xf>
    <xf numFmtId="164" fontId="29" fillId="8" borderId="5" xfId="0" applyNumberFormat="1" applyFont="1" applyFill="1" applyBorder="1"/>
    <xf numFmtId="164" fontId="29" fillId="2" borderId="29" xfId="0" applyNumberFormat="1" applyFont="1" applyFill="1" applyBorder="1"/>
    <xf numFmtId="164" fontId="29" fillId="14" borderId="29" xfId="0" applyNumberFormat="1" applyFont="1" applyFill="1" applyBorder="1"/>
    <xf numFmtId="164" fontId="27" fillId="2" borderId="30" xfId="0" applyNumberFormat="1" applyFont="1" applyFill="1" applyBorder="1"/>
    <xf numFmtId="164" fontId="27" fillId="14" borderId="30" xfId="0" applyNumberFormat="1" applyFont="1" applyFill="1" applyBorder="1"/>
    <xf numFmtId="164" fontId="27" fillId="2" borderId="30" xfId="0" applyNumberFormat="1" applyFont="1" applyFill="1" applyBorder="1" applyAlignment="1">
      <alignment vertical="center"/>
    </xf>
    <xf numFmtId="164" fontId="27" fillId="14" borderId="30" xfId="0" applyNumberFormat="1" applyFont="1" applyFill="1" applyBorder="1" applyAlignment="1">
      <alignment vertical="center"/>
    </xf>
    <xf numFmtId="164" fontId="27" fillId="2" borderId="30" xfId="22" applyNumberFormat="1" applyFont="1" applyFill="1" applyBorder="1" applyAlignment="1">
      <alignment vertical="center"/>
    </xf>
    <xf numFmtId="164" fontId="27" fillId="14" borderId="30" xfId="22" applyNumberFormat="1" applyFont="1" applyFill="1" applyBorder="1" applyAlignment="1">
      <alignment vertical="center"/>
    </xf>
    <xf numFmtId="164" fontId="29" fillId="2" borderId="30" xfId="0" applyNumberFormat="1" applyFont="1" applyFill="1" applyBorder="1"/>
    <xf numFmtId="164" fontId="29" fillId="14" borderId="30" xfId="0" applyNumberFormat="1" applyFont="1" applyFill="1" applyBorder="1"/>
    <xf numFmtId="164" fontId="29" fillId="8" borderId="5" xfId="22" applyNumberFormat="1" applyFont="1" applyFill="1" applyBorder="1" applyAlignment="1">
      <alignment vertical="center"/>
    </xf>
    <xf numFmtId="164" fontId="29" fillId="8" borderId="5" xfId="36" applyNumberFormat="1" applyFont="1" applyFill="1" applyBorder="1" applyAlignment="1">
      <alignment vertical="center"/>
    </xf>
    <xf numFmtId="164" fontId="29" fillId="2" borderId="11" xfId="0" applyNumberFormat="1" applyFont="1" applyFill="1" applyBorder="1"/>
    <xf numFmtId="164" fontId="29" fillId="14" borderId="11" xfId="0" applyNumberFormat="1" applyFont="1" applyFill="1" applyBorder="1"/>
    <xf numFmtId="164" fontId="29" fillId="2" borderId="15" xfId="0" applyNumberFormat="1" applyFont="1" applyFill="1" applyBorder="1"/>
    <xf numFmtId="164" fontId="29" fillId="14" borderId="15" xfId="0" applyNumberFormat="1" applyFont="1" applyFill="1" applyBorder="1"/>
    <xf numFmtId="164" fontId="29" fillId="2" borderId="5" xfId="0" applyNumberFormat="1" applyFont="1" applyFill="1" applyBorder="1"/>
    <xf numFmtId="164" fontId="29" fillId="14" borderId="5" xfId="0" applyNumberFormat="1" applyFont="1" applyFill="1" applyBorder="1"/>
    <xf numFmtId="164" fontId="27" fillId="2" borderId="29" xfId="36" applyNumberFormat="1" applyFont="1" applyFill="1" applyBorder="1"/>
    <xf numFmtId="164" fontId="27" fillId="14" borderId="29" xfId="0" applyNumberFormat="1" applyFont="1" applyFill="1" applyBorder="1"/>
    <xf numFmtId="164" fontId="27" fillId="2" borderId="30" xfId="36" applyNumberFormat="1" applyFont="1" applyFill="1" applyBorder="1"/>
    <xf numFmtId="0" fontId="39" fillId="2" borderId="22" xfId="36" applyFont="1" applyFill="1" applyBorder="1" applyAlignment="1"/>
    <xf numFmtId="164" fontId="27" fillId="2" borderId="21" xfId="36" applyNumberFormat="1" applyFont="1" applyFill="1" applyBorder="1" applyAlignment="1">
      <alignment horizontal="center" wrapText="1"/>
    </xf>
    <xf numFmtId="0" fontId="16" fillId="2" borderId="0" xfId="22" applyFont="1" applyFill="1"/>
    <xf numFmtId="2" fontId="16" fillId="2" borderId="16" xfId="22" applyNumberFormat="1" applyFont="1" applyFill="1" applyBorder="1" applyAlignment="1">
      <alignment vertical="center"/>
    </xf>
    <xf numFmtId="0" fontId="42" fillId="2" borderId="0" xfId="22" applyFont="1" applyFill="1" applyBorder="1"/>
    <xf numFmtId="2" fontId="16" fillId="2" borderId="0" xfId="22" applyNumberFormat="1" applyFont="1" applyFill="1" applyBorder="1" applyAlignment="1">
      <alignment horizontal="right"/>
    </xf>
    <xf numFmtId="0" fontId="16" fillId="2" borderId="0" xfId="22" applyFont="1" applyFill="1" applyAlignment="1">
      <alignment wrapText="1"/>
    </xf>
    <xf numFmtId="166" fontId="29" fillId="5" borderId="36" xfId="22" applyNumberFormat="1" applyFont="1" applyFill="1" applyBorder="1" applyAlignment="1">
      <alignment vertical="center"/>
    </xf>
    <xf numFmtId="166" fontId="29" fillId="2" borderId="12" xfId="22" applyNumberFormat="1" applyFont="1" applyFill="1" applyBorder="1" applyAlignment="1">
      <alignment vertical="center"/>
    </xf>
    <xf numFmtId="166" fontId="27" fillId="2" borderId="12" xfId="22" applyNumberFormat="1" applyFont="1" applyFill="1" applyBorder="1" applyAlignment="1">
      <alignment vertical="center"/>
    </xf>
    <xf numFmtId="166" fontId="29" fillId="5" borderId="13" xfId="22" applyNumberFormat="1" applyFont="1" applyFill="1" applyBorder="1" applyAlignment="1">
      <alignment vertical="center"/>
    </xf>
    <xf numFmtId="166" fontId="29" fillId="2" borderId="12" xfId="36" applyNumberFormat="1" applyFont="1" applyFill="1" applyBorder="1" applyAlignment="1">
      <alignment vertical="center"/>
    </xf>
    <xf numFmtId="166" fontId="29" fillId="2" borderId="13" xfId="22" applyNumberFormat="1" applyFont="1" applyFill="1" applyBorder="1" applyAlignment="1">
      <alignment vertical="center"/>
    </xf>
    <xf numFmtId="166" fontId="27" fillId="2" borderId="13" xfId="22" applyNumberFormat="1" applyFont="1" applyFill="1" applyBorder="1" applyAlignment="1">
      <alignment vertical="center"/>
    </xf>
    <xf numFmtId="166" fontId="27" fillId="0" borderId="12" xfId="22" applyNumberFormat="1" applyFont="1" applyFill="1" applyBorder="1" applyAlignment="1">
      <alignment vertical="center"/>
    </xf>
    <xf numFmtId="166" fontId="29" fillId="5" borderId="24" xfId="36" applyNumberFormat="1" applyFont="1" applyFill="1" applyBorder="1" applyAlignment="1">
      <alignment vertical="center"/>
    </xf>
    <xf numFmtId="166" fontId="29" fillId="2" borderId="14" xfId="36" applyNumberFormat="1" applyFont="1" applyFill="1" applyBorder="1" applyAlignment="1">
      <alignment vertical="center"/>
    </xf>
    <xf numFmtId="166" fontId="27" fillId="2" borderId="14" xfId="36" applyNumberFormat="1" applyFont="1" applyFill="1" applyBorder="1" applyAlignment="1">
      <alignment vertical="center"/>
    </xf>
    <xf numFmtId="166" fontId="29" fillId="2" borderId="24" xfId="36" applyNumberFormat="1" applyFont="1" applyFill="1" applyBorder="1" applyAlignment="1">
      <alignment vertical="center"/>
    </xf>
    <xf numFmtId="166" fontId="27" fillId="2" borderId="24" xfId="36" applyNumberFormat="1" applyFont="1" applyFill="1" applyBorder="1" applyAlignment="1">
      <alignment vertical="center"/>
    </xf>
    <xf numFmtId="166" fontId="27" fillId="0" borderId="14" xfId="36" applyNumberFormat="1" applyFont="1" applyFill="1" applyBorder="1" applyAlignment="1">
      <alignment vertical="center"/>
    </xf>
    <xf numFmtId="166" fontId="29" fillId="14" borderId="12" xfId="22" applyNumberFormat="1" applyFont="1" applyFill="1" applyBorder="1" applyAlignment="1">
      <alignment vertical="center"/>
    </xf>
    <xf numFmtId="166" fontId="27" fillId="14" borderId="12" xfId="22" applyNumberFormat="1" applyFont="1" applyFill="1" applyBorder="1" applyAlignment="1">
      <alignment vertical="center"/>
    </xf>
    <xf numFmtId="166" fontId="29" fillId="14" borderId="12" xfId="36" applyNumberFormat="1" applyFont="1" applyFill="1" applyBorder="1" applyAlignment="1">
      <alignment vertical="center"/>
    </xf>
    <xf numFmtId="166" fontId="29" fillId="14" borderId="13" xfId="22" applyNumberFormat="1" applyFont="1" applyFill="1" applyBorder="1" applyAlignment="1">
      <alignment horizontal="center" vertical="center"/>
    </xf>
    <xf numFmtId="166" fontId="27" fillId="14" borderId="13" xfId="22" applyNumberFormat="1" applyFont="1" applyFill="1" applyBorder="1" applyAlignment="1">
      <alignment horizontal="center" vertical="center"/>
    </xf>
    <xf numFmtId="166" fontId="29" fillId="14" borderId="12" xfId="22" applyNumberFormat="1" applyFont="1" applyFill="1" applyBorder="1" applyAlignment="1">
      <alignment horizontal="center" vertical="center"/>
    </xf>
    <xf numFmtId="166" fontId="29" fillId="14" borderId="13" xfId="22" applyNumberFormat="1" applyFont="1" applyFill="1" applyBorder="1" applyAlignment="1">
      <alignment vertical="center"/>
    </xf>
    <xf numFmtId="166" fontId="29" fillId="8" borderId="13" xfId="0" applyNumberFormat="1" applyFont="1" applyFill="1" applyBorder="1"/>
    <xf numFmtId="166" fontId="29" fillId="2" borderId="34" xfId="0" applyNumberFormat="1" applyFont="1" applyFill="1" applyBorder="1"/>
    <xf numFmtId="166" fontId="27" fillId="2" borderId="12" xfId="0" applyNumberFormat="1" applyFont="1" applyFill="1" applyBorder="1"/>
    <xf numFmtId="166" fontId="27" fillId="2" borderId="12" xfId="0" applyNumberFormat="1" applyFont="1" applyFill="1" applyBorder="1" applyAlignment="1">
      <alignment vertical="center"/>
    </xf>
    <xf numFmtId="166" fontId="29" fillId="2" borderId="12" xfId="0" applyNumberFormat="1" applyFont="1" applyFill="1" applyBorder="1"/>
    <xf numFmtId="166" fontId="29" fillId="8" borderId="13" xfId="22" applyNumberFormat="1" applyFont="1" applyFill="1" applyBorder="1" applyAlignment="1">
      <alignment vertical="center"/>
    </xf>
    <xf numFmtId="166" fontId="29" fillId="2" borderId="36" xfId="0" applyNumberFormat="1" applyFont="1" applyFill="1" applyBorder="1"/>
    <xf numFmtId="166" fontId="29" fillId="2" borderId="53" xfId="0" applyNumberFormat="1" applyFont="1" applyFill="1" applyBorder="1"/>
    <xf numFmtId="166" fontId="29" fillId="2" borderId="13" xfId="0" applyNumberFormat="1" applyFont="1" applyFill="1" applyBorder="1"/>
    <xf numFmtId="166" fontId="27" fillId="2" borderId="34" xfId="0" applyNumberFormat="1" applyFont="1" applyFill="1" applyBorder="1"/>
    <xf numFmtId="166" fontId="29" fillId="14" borderId="34" xfId="0" applyNumberFormat="1" applyFont="1" applyFill="1" applyBorder="1"/>
    <xf numFmtId="166" fontId="27" fillId="14" borderId="12" xfId="0" applyNumberFormat="1" applyFont="1" applyFill="1" applyBorder="1"/>
    <xf numFmtId="166" fontId="27" fillId="14" borderId="12" xfId="0" applyNumberFormat="1" applyFont="1" applyFill="1" applyBorder="1" applyAlignment="1">
      <alignment vertical="center"/>
    </xf>
    <xf numFmtId="166" fontId="29" fillId="14" borderId="12" xfId="0" applyNumberFormat="1" applyFont="1" applyFill="1" applyBorder="1"/>
    <xf numFmtId="166" fontId="29" fillId="14" borderId="36" xfId="0" applyNumberFormat="1" applyFont="1" applyFill="1" applyBorder="1"/>
    <xf numFmtId="166" fontId="29" fillId="14" borderId="53" xfId="0" applyNumberFormat="1" applyFont="1" applyFill="1" applyBorder="1"/>
    <xf numFmtId="166" fontId="29" fillId="14" borderId="13" xfId="0" applyNumberFormat="1" applyFont="1" applyFill="1" applyBorder="1"/>
    <xf numFmtId="166" fontId="27" fillId="14" borderId="34" xfId="0" applyNumberFormat="1" applyFont="1" applyFill="1" applyBorder="1"/>
    <xf numFmtId="166" fontId="29" fillId="6" borderId="24" xfId="22" applyNumberFormat="1" applyFont="1" applyFill="1" applyBorder="1" applyAlignment="1">
      <alignment vertical="center"/>
    </xf>
    <xf numFmtId="166" fontId="29" fillId="2" borderId="0" xfId="22" applyNumberFormat="1" applyFont="1" applyFill="1" applyBorder="1" applyAlignment="1">
      <alignment vertical="center"/>
    </xf>
    <xf numFmtId="166" fontId="27" fillId="2" borderId="14" xfId="22" applyNumberFormat="1" applyFont="1" applyFill="1" applyBorder="1" applyAlignment="1">
      <alignment vertical="center"/>
    </xf>
    <xf numFmtId="166" fontId="29" fillId="2" borderId="14" xfId="22" applyNumberFormat="1" applyFont="1" applyFill="1" applyBorder="1" applyAlignment="1">
      <alignment vertical="center"/>
    </xf>
    <xf numFmtId="166" fontId="29" fillId="2" borderId="24" xfId="22" applyNumberFormat="1" applyFont="1" applyFill="1" applyBorder="1" applyAlignment="1">
      <alignment vertical="center"/>
    </xf>
    <xf numFmtId="166" fontId="27" fillId="2" borderId="24" xfId="22" applyNumberFormat="1" applyFont="1" applyFill="1" applyBorder="1" applyAlignment="1">
      <alignment vertical="center"/>
    </xf>
    <xf numFmtId="166" fontId="27" fillId="0" borderId="14" xfId="22" applyNumberFormat="1" applyFont="1" applyFill="1" applyBorder="1" applyAlignment="1">
      <alignment vertical="center"/>
    </xf>
    <xf numFmtId="166" fontId="29" fillId="14" borderId="0" xfId="22" applyNumberFormat="1" applyFont="1" applyFill="1" applyBorder="1" applyAlignment="1">
      <alignment vertical="center"/>
    </xf>
    <xf numFmtId="166" fontId="27" fillId="14" borderId="14" xfId="22" applyNumberFormat="1" applyFont="1" applyFill="1" applyBorder="1" applyAlignment="1">
      <alignment vertical="center"/>
    </xf>
    <xf numFmtId="166" fontId="29" fillId="14" borderId="14" xfId="22" applyNumberFormat="1" applyFont="1" applyFill="1" applyBorder="1" applyAlignment="1">
      <alignment vertical="center"/>
    </xf>
    <xf numFmtId="166" fontId="29" fillId="14" borderId="24" xfId="22" applyNumberFormat="1" applyFont="1" applyFill="1" applyBorder="1" applyAlignment="1">
      <alignment vertical="center"/>
    </xf>
    <xf numFmtId="166" fontId="27" fillId="14" borderId="24" xfId="22" applyNumberFormat="1" applyFont="1" applyFill="1" applyBorder="1" applyAlignment="1">
      <alignment vertical="center"/>
    </xf>
    <xf numFmtId="166" fontId="27" fillId="2" borderId="12" xfId="36" applyNumberFormat="1" applyFont="1" applyFill="1" applyBorder="1" applyAlignment="1">
      <alignment vertical="center"/>
    </xf>
    <xf numFmtId="166" fontId="29" fillId="8" borderId="13" xfId="36" applyNumberFormat="1" applyFont="1" applyFill="1" applyBorder="1" applyAlignment="1">
      <alignment vertical="center"/>
    </xf>
    <xf numFmtId="166" fontId="29" fillId="2" borderId="13" xfId="36" applyNumberFormat="1" applyFont="1" applyFill="1" applyBorder="1" applyAlignment="1">
      <alignment vertical="center"/>
    </xf>
    <xf numFmtId="166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164" fontId="16" fillId="2" borderId="30" xfId="36" applyNumberFormat="1" applyFont="1" applyFill="1" applyBorder="1" applyAlignment="1">
      <alignment vertical="center"/>
    </xf>
    <xf numFmtId="164" fontId="29" fillId="15" borderId="5" xfId="36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5" fontId="27" fillId="5" borderId="6" xfId="0" applyNumberFormat="1" applyFont="1" applyFill="1" applyBorder="1" applyAlignment="1" applyProtection="1">
      <alignment horizontal="center" vertical="center"/>
      <protection hidden="1"/>
    </xf>
    <xf numFmtId="165" fontId="27" fillId="5" borderId="23" xfId="0" applyNumberFormat="1" applyFont="1" applyFill="1" applyBorder="1" applyAlignment="1" applyProtection="1">
      <alignment horizontal="center" vertical="center"/>
      <protection hidden="1"/>
    </xf>
    <xf numFmtId="165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 applyProtection="1">
      <alignment horizontal="center" vertical="center"/>
      <protection hidden="1"/>
    </xf>
    <xf numFmtId="165" fontId="27" fillId="0" borderId="0" xfId="0" applyNumberFormat="1" applyFont="1" applyFill="1" applyBorder="1" applyAlignment="1" applyProtection="1">
      <alignment horizontal="center" vertical="center"/>
      <protection hidden="1"/>
    </xf>
    <xf numFmtId="165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4" fontId="38" fillId="2" borderId="22" xfId="36" applyNumberFormat="1" applyFont="1" applyFill="1" applyBorder="1" applyAlignment="1">
      <alignment horizontal="center" wrapText="1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>
      <alignment horizontal="center" vertical="center"/>
    </xf>
    <xf numFmtId="165" fontId="27" fillId="8" borderId="24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 applyProtection="1">
      <alignment horizontal="center" vertical="center"/>
      <protection hidden="1"/>
    </xf>
    <xf numFmtId="165" fontId="27" fillId="8" borderId="23" xfId="0" applyNumberFormat="1" applyFont="1" applyFill="1" applyBorder="1" applyAlignment="1" applyProtection="1">
      <alignment horizontal="center" vertical="center"/>
      <protection hidden="1"/>
    </xf>
    <xf numFmtId="165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0" fontId="36" fillId="12" borderId="54" xfId="22" applyFont="1" applyFill="1" applyBorder="1" applyAlignment="1">
      <alignment horizontal="center" vertical="center"/>
    </xf>
    <xf numFmtId="0" fontId="36" fillId="12" borderId="17" xfId="22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>
      <alignment horizontal="center" vertical="center"/>
    </xf>
    <xf numFmtId="165" fontId="27" fillId="6" borderId="24" xfId="0" applyNumberFormat="1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 applyProtection="1">
      <alignment horizontal="center" vertical="center"/>
      <protection hidden="1"/>
    </xf>
    <xf numFmtId="165" fontId="27" fillId="6" borderId="23" xfId="0" applyNumberFormat="1" applyFont="1" applyFill="1" applyBorder="1" applyAlignment="1" applyProtection="1">
      <alignment horizontal="center" vertical="center"/>
      <protection hidden="1"/>
    </xf>
    <xf numFmtId="165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6049504"/>
        <c:axId val="-1196046240"/>
      </c:lineChart>
      <c:catAx>
        <c:axId val="-119604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1196046240"/>
        <c:crosses val="autoZero"/>
        <c:auto val="1"/>
        <c:lblAlgn val="ctr"/>
        <c:lblOffset val="100"/>
        <c:noMultiLvlLbl val="0"/>
      </c:catAx>
      <c:valAx>
        <c:axId val="-1196046240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1196049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96048416"/>
        <c:axId val="-1196047872"/>
      </c:lineChart>
      <c:catAx>
        <c:axId val="-119604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-1196047872"/>
        <c:crosses val="autoZero"/>
        <c:auto val="1"/>
        <c:lblAlgn val="ctr"/>
        <c:lblOffset val="100"/>
        <c:noMultiLvlLbl val="0"/>
      </c:catAx>
      <c:valAx>
        <c:axId val="-1196047872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sr-Latn-RS"/>
          </a:p>
        </c:txPr>
        <c:crossAx val="-119604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8"/>
  <sheetViews>
    <sheetView tabSelected="1" topLeftCell="B1" zoomScaleNormal="100" workbookViewId="0">
      <selection activeCell="T20" sqref="T20"/>
    </sheetView>
  </sheetViews>
  <sheetFormatPr defaultColWidth="9.140625" defaultRowHeight="12.75"/>
  <cols>
    <col min="1" max="2" width="9.140625" style="80" customWidth="1"/>
    <col min="3" max="3" width="57.28515625" style="80" customWidth="1"/>
    <col min="4" max="13" width="7.85546875" style="80" customWidth="1"/>
    <col min="14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109"/>
      <c r="E8" s="109"/>
      <c r="F8" s="109"/>
      <c r="G8" s="125">
        <f>+J16/F16*100-100</f>
        <v>-5.0433719216204906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78" t="str">
        <f>IF(MasterSheet!$A$1=1,MasterSheet!B67,MasterSheet!B66)</f>
        <v>BDP (u mil. €)</v>
      </c>
      <c r="D11" s="301">
        <v>3762200000</v>
      </c>
      <c r="E11" s="302"/>
      <c r="F11" s="302"/>
      <c r="G11" s="303"/>
      <c r="H11" s="306"/>
      <c r="I11" s="311"/>
      <c r="J11" s="308">
        <v>3595000000</v>
      </c>
      <c r="K11" s="308">
        <v>0</v>
      </c>
      <c r="L11" s="306"/>
      <c r="M11" s="307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customHeight="1" thickTop="1">
      <c r="C12" s="81"/>
      <c r="D12" s="235"/>
      <c r="E12" s="235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Bot="1">
      <c r="B13" s="85"/>
      <c r="C13" s="86"/>
      <c r="D13" s="313"/>
      <c r="E13" s="313"/>
      <c r="F13" s="234"/>
      <c r="G13" s="234"/>
      <c r="H13" s="234"/>
      <c r="I13" s="234"/>
      <c r="J13" s="312"/>
      <c r="K13" s="312"/>
      <c r="L13" s="162"/>
      <c r="M13" s="16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04" t="str">
        <f>IF(MasterSheet!$A$1=1,MasterSheet!B71,MasterSheet!B70)</f>
        <v>Budžet Crne Gore</v>
      </c>
      <c r="D14" s="299" t="s">
        <v>465</v>
      </c>
      <c r="E14" s="300"/>
      <c r="F14" s="299" t="s">
        <v>461</v>
      </c>
      <c r="G14" s="300"/>
      <c r="H14" s="299" t="s">
        <v>447</v>
      </c>
      <c r="I14" s="300"/>
      <c r="J14" s="299" t="s">
        <v>466</v>
      </c>
      <c r="K14" s="300"/>
      <c r="L14" s="309" t="str">
        <f>+H14</f>
        <v>Odstupanje</v>
      </c>
      <c r="M14" s="31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05" t="str">
        <f>IF(MasterSheet!$A$1=1,MasterSheet!B71,MasterSheet!B70)</f>
        <v>Budžet Crne Gore</v>
      </c>
      <c r="D15" s="88" t="str">
        <f>+F15</f>
        <v>mil. €</v>
      </c>
      <c r="E15" s="200" t="str">
        <f>+G15</f>
        <v>% BDP</v>
      </c>
      <c r="F15" s="88" t="s">
        <v>262</v>
      </c>
      <c r="G15" s="89" t="s">
        <v>149</v>
      </c>
      <c r="H15" s="199" t="s">
        <v>262</v>
      </c>
      <c r="I15" s="199" t="s">
        <v>441</v>
      </c>
      <c r="J15" s="88" t="s">
        <v>262</v>
      </c>
      <c r="K15" s="89" t="s">
        <v>149</v>
      </c>
      <c r="L15" s="201" t="s">
        <v>262</v>
      </c>
      <c r="M15" s="129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163">
        <f>+D17+D25+SUM(D30:D34)</f>
        <v>284765405.27999997</v>
      </c>
      <c r="E16" s="241">
        <f>+D16/$D$11*100</f>
        <v>7.569119272765934</v>
      </c>
      <c r="F16" s="163">
        <f>+F17+F25+SUM(F30:F34)</f>
        <v>272146353.97193444</v>
      </c>
      <c r="G16" s="241">
        <f>+F16/$D$11*100</f>
        <v>7.2337024605798312</v>
      </c>
      <c r="H16" s="163">
        <f>+D16-F16</f>
        <v>12619051.308065534</v>
      </c>
      <c r="I16" s="244">
        <f>+IF(ISNUMBER(D16/F16*100-100),D16/F16*100-100,"...")</f>
        <v>4.6368621603385236</v>
      </c>
      <c r="J16" s="163">
        <f>+J17+J25+SUM(J30:J34)</f>
        <v>258421001.16999999</v>
      </c>
      <c r="K16" s="241">
        <f>+J16/$J$11*100</f>
        <v>7.1883449560500692</v>
      </c>
      <c r="L16" s="163">
        <f>+D16-J16</f>
        <v>26344404.109999985</v>
      </c>
      <c r="M16" s="241">
        <f t="shared" ref="M16:M59" si="0">+IF(ISNUMBER(D16/J16*100-100),D16/J16*100-100,"...")</f>
        <v>10.19437429261778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52">
        <f>+SUM(D18:D24)</f>
        <v>180419238.19999999</v>
      </c>
      <c r="E17" s="242">
        <f t="shared" ref="E17:E74" si="1">+D17/$D$11*100</f>
        <v>4.7955780713412359</v>
      </c>
      <c r="F17" s="152">
        <f>+SUM(F18:F24)</f>
        <v>164877629.90154579</v>
      </c>
      <c r="G17" s="242">
        <f t="shared" ref="G17:G74" si="2">+F17/$D$11*100</f>
        <v>4.3824791319320022</v>
      </c>
      <c r="H17" s="205">
        <f t="shared" ref="H17:H67" si="3">+D17-F17</f>
        <v>15541608.298454195</v>
      </c>
      <c r="I17" s="255">
        <f t="shared" ref="I17:I67" si="4">+IF(ISNUMBER(D17/F17*100-100),D17/F17*100-100,"...")</f>
        <v>9.4261473237665001</v>
      </c>
      <c r="J17" s="152">
        <f>+SUM(J18:J24)</f>
        <v>160603850.09</v>
      </c>
      <c r="K17" s="242">
        <f t="shared" ref="K17:K67" si="5">+J17/$J$11*100</f>
        <v>4.4674228119610566</v>
      </c>
      <c r="L17" s="205">
        <f t="shared" ref="L17:L35" si="6">+D17-J17</f>
        <v>19815388.109999985</v>
      </c>
      <c r="M17" s="255">
        <f t="shared" si="0"/>
        <v>12.338052978739753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153">
        <v>22269479.659999993</v>
      </c>
      <c r="E18" s="243">
        <f t="shared" si="1"/>
        <v>0.59192705491467734</v>
      </c>
      <c r="F18" s="153">
        <v>16749208.393082989</v>
      </c>
      <c r="G18" s="243">
        <f t="shared" si="2"/>
        <v>0.44519718231574579</v>
      </c>
      <c r="H18" s="206">
        <f t="shared" si="3"/>
        <v>5520271.2669170033</v>
      </c>
      <c r="I18" s="256">
        <f t="shared" si="4"/>
        <v>32.958401002382544</v>
      </c>
      <c r="J18" s="154">
        <v>17855684.559999995</v>
      </c>
      <c r="K18" s="243">
        <f t="shared" si="5"/>
        <v>0.49668107260083433</v>
      </c>
      <c r="L18" s="206">
        <f t="shared" si="6"/>
        <v>4413795.0999999978</v>
      </c>
      <c r="M18" s="256">
        <f t="shared" si="0"/>
        <v>24.719271250387706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54">
        <v>16590793.719999999</v>
      </c>
      <c r="E19" s="243">
        <f t="shared" si="1"/>
        <v>0.44098648981978628</v>
      </c>
      <c r="F19" s="154">
        <v>11423541.325949507</v>
      </c>
      <c r="G19" s="243">
        <f t="shared" si="2"/>
        <v>0.3036399267968079</v>
      </c>
      <c r="H19" s="206">
        <f t="shared" si="3"/>
        <v>5167252.394050492</v>
      </c>
      <c r="I19" s="256">
        <f t="shared" si="4"/>
        <v>45.233367189845552</v>
      </c>
      <c r="J19" s="154">
        <v>11124106.059999999</v>
      </c>
      <c r="K19" s="243">
        <f t="shared" si="5"/>
        <v>0.30943271376912374</v>
      </c>
      <c r="L19" s="206">
        <f t="shared" si="6"/>
        <v>5466687.6600000001</v>
      </c>
      <c r="M19" s="256">
        <f t="shared" si="0"/>
        <v>49.142714304541613</v>
      </c>
      <c r="N19" s="137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54">
        <v>295076.11000000004</v>
      </c>
      <c r="E20" s="243">
        <f t="shared" si="1"/>
        <v>7.8431797884216704E-3</v>
      </c>
      <c r="F20" s="154">
        <v>341800.53103833023</v>
      </c>
      <c r="G20" s="243">
        <f t="shared" si="2"/>
        <v>9.0851238912957894E-3</v>
      </c>
      <c r="H20" s="206">
        <f t="shared" si="3"/>
        <v>-46724.421038330183</v>
      </c>
      <c r="I20" s="256">
        <f t="shared" si="4"/>
        <v>-13.670084389977262</v>
      </c>
      <c r="J20" s="154">
        <v>329673.92000000004</v>
      </c>
      <c r="K20" s="243">
        <f t="shared" si="5"/>
        <v>9.170345479833102E-3</v>
      </c>
      <c r="L20" s="206">
        <f t="shared" si="6"/>
        <v>-34597.81</v>
      </c>
      <c r="M20" s="256">
        <f t="shared" si="0"/>
        <v>-10.494554740635834</v>
      </c>
      <c r="N20" s="137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153">
        <v>101136918.48</v>
      </c>
      <c r="E21" s="243">
        <f t="shared" si="1"/>
        <v>2.688238756046994</v>
      </c>
      <c r="F21" s="153">
        <v>97712242.169238597</v>
      </c>
      <c r="G21" s="243">
        <f t="shared" si="2"/>
        <v>2.5972102006602147</v>
      </c>
      <c r="H21" s="206">
        <f t="shared" si="3"/>
        <v>3424676.310761407</v>
      </c>
      <c r="I21" s="256">
        <f t="shared" si="4"/>
        <v>3.5048589969206176</v>
      </c>
      <c r="J21" s="154">
        <v>93369945.780000001</v>
      </c>
      <c r="K21" s="243">
        <f t="shared" si="5"/>
        <v>2.5972168506258693</v>
      </c>
      <c r="L21" s="206">
        <f t="shared" si="6"/>
        <v>7766972.700000003</v>
      </c>
      <c r="M21" s="256">
        <f t="shared" si="0"/>
        <v>8.3184933172186817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54">
        <v>33745496.479999989</v>
      </c>
      <c r="E22" s="243">
        <f t="shared" si="1"/>
        <v>0.8969617904417625</v>
      </c>
      <c r="F22" s="154">
        <v>32821321.139048874</v>
      </c>
      <c r="G22" s="243">
        <f t="shared" si="2"/>
        <v>0.87239703203043106</v>
      </c>
      <c r="H22" s="206">
        <f t="shared" si="3"/>
        <v>924175.34095111489</v>
      </c>
      <c r="I22" s="256">
        <f t="shared" si="4"/>
        <v>2.8157773937124801</v>
      </c>
      <c r="J22" s="154">
        <v>32084642.320000004</v>
      </c>
      <c r="K22" s="243">
        <f t="shared" si="5"/>
        <v>0.89247961947148835</v>
      </c>
      <c r="L22" s="206">
        <f t="shared" si="6"/>
        <v>1660854.1599999852</v>
      </c>
      <c r="M22" s="256">
        <f t="shared" si="0"/>
        <v>5.1764770927949115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v>4538417.9700000007</v>
      </c>
      <c r="E23" s="243">
        <f t="shared" si="1"/>
        <v>0.12063202301844667</v>
      </c>
      <c r="F23" s="154">
        <v>4316237.4999175072</v>
      </c>
      <c r="G23" s="243">
        <f t="shared" si="2"/>
        <v>0.11472642336711253</v>
      </c>
      <c r="H23" s="206">
        <f t="shared" si="3"/>
        <v>222180.4700824935</v>
      </c>
      <c r="I23" s="256">
        <f t="shared" si="4"/>
        <v>5.1475496908300187</v>
      </c>
      <c r="J23" s="154">
        <v>4590661.21</v>
      </c>
      <c r="K23" s="243">
        <f t="shared" si="5"/>
        <v>0.12769572211404728</v>
      </c>
      <c r="L23" s="206">
        <f t="shared" si="6"/>
        <v>-52243.239999999292</v>
      </c>
      <c r="M23" s="256">
        <f t="shared" si="0"/>
        <v>-1.1380330111530697</v>
      </c>
      <c r="BM23" s="138"/>
      <c r="BN23" s="138"/>
      <c r="BO23" s="81"/>
    </row>
    <row r="24" spans="2:69" ht="15" customHeight="1">
      <c r="B24" s="80">
        <v>7118</v>
      </c>
      <c r="C24" s="97" t="s">
        <v>462</v>
      </c>
      <c r="D24" s="154">
        <v>1843055.7799999993</v>
      </c>
      <c r="E24" s="243">
        <f t="shared" si="1"/>
        <v>4.8988777311147709E-2</v>
      </c>
      <c r="F24" s="154">
        <v>1513278.8432699675</v>
      </c>
      <c r="G24" s="243">
        <f t="shared" si="2"/>
        <v>4.0223242870394117E-2</v>
      </c>
      <c r="H24" s="206">
        <f t="shared" si="3"/>
        <v>329776.93673003186</v>
      </c>
      <c r="I24" s="256">
        <f t="shared" si="4"/>
        <v>21.792212201779918</v>
      </c>
      <c r="J24" s="154">
        <v>1249136.24</v>
      </c>
      <c r="K24" s="243">
        <f t="shared" si="5"/>
        <v>3.4746487899860914E-2</v>
      </c>
      <c r="L24" s="206">
        <f t="shared" si="6"/>
        <v>593919.53999999934</v>
      </c>
      <c r="M24" s="256">
        <f t="shared" si="0"/>
        <v>47.546418155316616</v>
      </c>
      <c r="BM24" s="138"/>
      <c r="BN24" s="138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52">
        <f>+SUM(D26:D29)</f>
        <v>90140128.719999999</v>
      </c>
      <c r="E25" s="242">
        <f t="shared" si="1"/>
        <v>2.3959419679974481</v>
      </c>
      <c r="F25" s="152">
        <f>+SUM(F26:F29)</f>
        <v>85858825.305152789</v>
      </c>
      <c r="G25" s="242">
        <f t="shared" si="2"/>
        <v>2.2821440993342401</v>
      </c>
      <c r="H25" s="205">
        <f t="shared" si="3"/>
        <v>4281303.41484721</v>
      </c>
      <c r="I25" s="255">
        <f t="shared" si="4"/>
        <v>4.9864453649708622</v>
      </c>
      <c r="J25" s="152">
        <f>+SUM(J26:J29)</f>
        <v>83839022.069999993</v>
      </c>
      <c r="K25" s="242">
        <f t="shared" si="5"/>
        <v>2.332100752990264</v>
      </c>
      <c r="L25" s="205">
        <f t="shared" si="6"/>
        <v>6301106.650000006</v>
      </c>
      <c r="M25" s="255">
        <f t="shared" si="0"/>
        <v>7.5157205969542389</v>
      </c>
      <c r="BM25" s="138"/>
      <c r="BN25" s="138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4">
        <v>54003599.459999993</v>
      </c>
      <c r="E26" s="243">
        <f t="shared" si="1"/>
        <v>1.4354260661315186</v>
      </c>
      <c r="F26" s="154">
        <v>51276926.051312342</v>
      </c>
      <c r="G26" s="243">
        <f t="shared" si="2"/>
        <v>1.3629505622059523</v>
      </c>
      <c r="H26" s="206">
        <f t="shared" si="3"/>
        <v>2726673.4086876512</v>
      </c>
      <c r="I26" s="256">
        <f t="shared" si="4"/>
        <v>5.3175445929794876</v>
      </c>
      <c r="J26" s="154">
        <v>50560972.180000007</v>
      </c>
      <c r="K26" s="243">
        <f t="shared" si="5"/>
        <v>1.4064248172461755</v>
      </c>
      <c r="L26" s="206">
        <f t="shared" si="6"/>
        <v>3442627.2799999863</v>
      </c>
      <c r="M26" s="256">
        <f t="shared" si="0"/>
        <v>6.808862906638808</v>
      </c>
      <c r="BM26" s="138"/>
      <c r="BN26" s="138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54">
        <v>31264327.100000001</v>
      </c>
      <c r="E27" s="243">
        <f t="shared" si="1"/>
        <v>0.83101183084365537</v>
      </c>
      <c r="F27" s="154">
        <v>29924869.910522107</v>
      </c>
      <c r="G27" s="243">
        <f t="shared" si="2"/>
        <v>0.79540880098139666</v>
      </c>
      <c r="H27" s="206">
        <f t="shared" si="3"/>
        <v>1339457.1894778945</v>
      </c>
      <c r="I27" s="256">
        <f t="shared" si="4"/>
        <v>4.4760668750874544</v>
      </c>
      <c r="J27" s="154">
        <v>28782348.929999981</v>
      </c>
      <c r="K27" s="243">
        <f t="shared" si="5"/>
        <v>0.80062166703755155</v>
      </c>
      <c r="L27" s="206">
        <f t="shared" si="6"/>
        <v>2481978.1700000204</v>
      </c>
      <c r="M27" s="256">
        <f t="shared" si="0"/>
        <v>8.6232648212149314</v>
      </c>
      <c r="BM27" s="138"/>
      <c r="BN27" s="138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54">
        <v>2530450.5399999991</v>
      </c>
      <c r="E28" s="243">
        <f t="shared" si="1"/>
        <v>6.7259862314603139E-2</v>
      </c>
      <c r="F28" s="154">
        <v>2466258.2450886806</v>
      </c>
      <c r="G28" s="243">
        <f t="shared" si="2"/>
        <v>6.5553618762656973E-2</v>
      </c>
      <c r="H28" s="206">
        <f t="shared" si="3"/>
        <v>64192.294911318459</v>
      </c>
      <c r="I28" s="256">
        <f t="shared" si="4"/>
        <v>2.6028212998031108</v>
      </c>
      <c r="J28" s="154">
        <v>2321055.3999999994</v>
      </c>
      <c r="K28" s="243">
        <f t="shared" si="5"/>
        <v>6.4563432545201652E-2</v>
      </c>
      <c r="L28" s="206">
        <f t="shared" si="6"/>
        <v>209395.13999999966</v>
      </c>
      <c r="M28" s="256">
        <f t="shared" si="0"/>
        <v>9.021548559332075</v>
      </c>
      <c r="BM28" s="138"/>
      <c r="BN28" s="138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153">
        <v>2341751.62</v>
      </c>
      <c r="E29" s="243">
        <f t="shared" si="1"/>
        <v>6.2244208707671049E-2</v>
      </c>
      <c r="F29" s="153">
        <v>2190771.0982296662</v>
      </c>
      <c r="G29" s="243">
        <f t="shared" si="2"/>
        <v>5.8231117384234393E-2</v>
      </c>
      <c r="H29" s="206">
        <f t="shared" si="3"/>
        <v>150980.52177033387</v>
      </c>
      <c r="I29" s="256">
        <f t="shared" si="4"/>
        <v>6.8916612005854603</v>
      </c>
      <c r="J29" s="154">
        <v>2174645.5600000005</v>
      </c>
      <c r="K29" s="243">
        <f t="shared" si="5"/>
        <v>6.0490836161335201E-2</v>
      </c>
      <c r="L29" s="206">
        <f t="shared" si="6"/>
        <v>167106.05999999959</v>
      </c>
      <c r="M29" s="256">
        <f t="shared" si="0"/>
        <v>7.6842894802590109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52">
        <v>2470447.08</v>
      </c>
      <c r="E30" s="242">
        <f t="shared" si="1"/>
        <v>6.5664958800701723E-2</v>
      </c>
      <c r="F30" s="152">
        <v>3184193.174638065</v>
      </c>
      <c r="G30" s="242">
        <f t="shared" si="2"/>
        <v>8.4636467349903377E-2</v>
      </c>
      <c r="H30" s="205">
        <f t="shared" si="3"/>
        <v>-713746.09463806497</v>
      </c>
      <c r="I30" s="255">
        <f t="shared" si="4"/>
        <v>-22.415288755814686</v>
      </c>
      <c r="J30" s="152">
        <v>2603169.8499999996</v>
      </c>
      <c r="K30" s="242">
        <f t="shared" si="5"/>
        <v>7.2410844228094573E-2</v>
      </c>
      <c r="L30" s="205">
        <f t="shared" si="6"/>
        <v>-132722.76999999955</v>
      </c>
      <c r="M30" s="255">
        <f t="shared" si="0"/>
        <v>-5.0985059618756594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52">
        <v>4234315.87</v>
      </c>
      <c r="E31" s="242">
        <f t="shared" si="1"/>
        <v>0.11254893067885813</v>
      </c>
      <c r="F31" s="152">
        <v>2768184.1207858515</v>
      </c>
      <c r="G31" s="242">
        <f t="shared" si="2"/>
        <v>7.3578866641482416E-2</v>
      </c>
      <c r="H31" s="205">
        <f t="shared" si="3"/>
        <v>1466131.7492141486</v>
      </c>
      <c r="I31" s="255">
        <f t="shared" si="4"/>
        <v>52.963664454441442</v>
      </c>
      <c r="J31" s="152">
        <v>3331092.1499999994</v>
      </c>
      <c r="K31" s="242">
        <f t="shared" si="5"/>
        <v>9.2659030598052833E-2</v>
      </c>
      <c r="L31" s="205">
        <f t="shared" si="6"/>
        <v>903223.72000000067</v>
      </c>
      <c r="M31" s="255">
        <f t="shared" si="0"/>
        <v>27.114942467142527</v>
      </c>
      <c r="BM31" s="138"/>
      <c r="BN31" s="138"/>
      <c r="BO31" s="138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52">
        <v>6070071.5</v>
      </c>
      <c r="E32" s="242">
        <f t="shared" si="1"/>
        <v>0.16134366859816066</v>
      </c>
      <c r="F32" s="152">
        <v>9882159.9386240989</v>
      </c>
      <c r="G32" s="242">
        <f t="shared" si="2"/>
        <v>0.26266971289734992</v>
      </c>
      <c r="H32" s="205">
        <f t="shared" si="3"/>
        <v>-3812088.4386240989</v>
      </c>
      <c r="I32" s="255">
        <f t="shared" si="4"/>
        <v>-38.575457817927791</v>
      </c>
      <c r="J32" s="152">
        <v>4420632.589999998</v>
      </c>
      <c r="K32" s="242">
        <f t="shared" si="5"/>
        <v>0.12296613602225308</v>
      </c>
      <c r="L32" s="205">
        <f t="shared" si="6"/>
        <v>1649438.910000002</v>
      </c>
      <c r="M32" s="255">
        <f t="shared" si="0"/>
        <v>37.312282267728619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52">
        <v>349880.75</v>
      </c>
      <c r="E33" s="242">
        <f t="shared" si="1"/>
        <v>9.2998976662591031E-3</v>
      </c>
      <c r="F33" s="152">
        <v>1298339.9177190731</v>
      </c>
      <c r="G33" s="242">
        <f t="shared" si="2"/>
        <v>3.4510124866276998E-2</v>
      </c>
      <c r="H33" s="205">
        <f t="shared" si="3"/>
        <v>-948459.16771907313</v>
      </c>
      <c r="I33" s="255">
        <f t="shared" si="4"/>
        <v>-73.051683521009551</v>
      </c>
      <c r="J33" s="152">
        <v>2798294.4299999997</v>
      </c>
      <c r="K33" s="242">
        <f t="shared" si="5"/>
        <v>7.7838509874826128E-2</v>
      </c>
      <c r="L33" s="205">
        <f t="shared" si="6"/>
        <v>-2448413.6799999997</v>
      </c>
      <c r="M33" s="255">
        <f t="shared" si="0"/>
        <v>-87.496642731765718</v>
      </c>
      <c r="BL33" s="100"/>
      <c r="BM33" s="100"/>
      <c r="BN33" s="99"/>
      <c r="BO33" s="143"/>
      <c r="BP33" s="143"/>
      <c r="BQ33" s="143"/>
      <c r="BR33" s="140"/>
    </row>
    <row r="34" spans="1:70" ht="13.5" customHeight="1" thickBot="1">
      <c r="B34" s="80">
        <v>74</v>
      </c>
      <c r="C34" s="93" t="s">
        <v>122</v>
      </c>
      <c r="D34" s="152">
        <v>1081323.1600000001</v>
      </c>
      <c r="E34" s="242">
        <f t="shared" si="1"/>
        <v>2.8741777683270433E-2</v>
      </c>
      <c r="F34" s="152">
        <v>4277021.6134687643</v>
      </c>
      <c r="G34" s="242">
        <f t="shared" si="2"/>
        <v>0.1136840575585765</v>
      </c>
      <c r="H34" s="205">
        <f t="shared" si="3"/>
        <v>-3195698.4534687642</v>
      </c>
      <c r="I34" s="255">
        <f t="shared" si="4"/>
        <v>-74.717846723177487</v>
      </c>
      <c r="J34" s="152">
        <v>824939.99000000011</v>
      </c>
      <c r="K34" s="242">
        <f t="shared" si="5"/>
        <v>2.2946870375521559E-2</v>
      </c>
      <c r="L34" s="205">
        <f t="shared" si="6"/>
        <v>256383.17000000004</v>
      </c>
      <c r="M34" s="255">
        <f t="shared" si="0"/>
        <v>31.079008547033823</v>
      </c>
      <c r="BM34" s="159"/>
      <c r="BN34" s="159"/>
      <c r="BO34" s="143"/>
      <c r="BP34" s="143"/>
      <c r="BQ34" s="143"/>
      <c r="BR34" s="140"/>
    </row>
    <row r="35" spans="1:70" ht="15" customHeight="1" thickTop="1" thickBot="1">
      <c r="B35" s="102"/>
      <c r="C35" s="90" t="s">
        <v>460</v>
      </c>
      <c r="D35" s="91">
        <f>+D37+D48+D54+SUM(D57:D62)</f>
        <v>353312521.39999998</v>
      </c>
      <c r="E35" s="244">
        <f t="shared" si="1"/>
        <v>9.3911148104832272</v>
      </c>
      <c r="F35" s="91">
        <f>+F37+F48+SUM(F54:F62)</f>
        <v>442941812.17249995</v>
      </c>
      <c r="G35" s="249">
        <f t="shared" si="2"/>
        <v>11.773478607530167</v>
      </c>
      <c r="H35" s="91">
        <f t="shared" si="3"/>
        <v>-89629290.772499979</v>
      </c>
      <c r="I35" s="244">
        <f t="shared" si="4"/>
        <v>-20.235003404373714</v>
      </c>
      <c r="J35" s="91">
        <f>+J37+J48+SUM(J54:J61)</f>
        <v>316909306.06000006</v>
      </c>
      <c r="K35" s="244">
        <f t="shared" si="5"/>
        <v>8.8152797235048688</v>
      </c>
      <c r="L35" s="91">
        <f t="shared" si="6"/>
        <v>36403215.339999914</v>
      </c>
      <c r="M35" s="244">
        <f t="shared" si="0"/>
        <v>11.486950570365309</v>
      </c>
      <c r="BM35" s="81"/>
      <c r="BN35" s="81"/>
      <c r="BO35" s="143"/>
      <c r="BP35" s="143"/>
      <c r="BQ35" s="143"/>
      <c r="BR35" s="140"/>
    </row>
    <row r="36" spans="1:70" ht="13.5" customHeight="1" thickTop="1" thickBot="1">
      <c r="C36" s="296" t="s">
        <v>448</v>
      </c>
      <c r="D36" s="91">
        <f>+D35-D57</f>
        <v>350874596.45999998</v>
      </c>
      <c r="E36" s="244">
        <f t="shared" si="1"/>
        <v>9.3263142964223054</v>
      </c>
      <c r="F36" s="91">
        <f>+F35-F57</f>
        <v>359227362.17249995</v>
      </c>
      <c r="G36" s="249">
        <f t="shared" si="2"/>
        <v>9.5483324164717445</v>
      </c>
      <c r="H36" s="91">
        <f t="shared" si="3"/>
        <v>-8352765.7124999762</v>
      </c>
      <c r="I36" s="244">
        <f t="shared" si="4"/>
        <v>-2.3252030864199611</v>
      </c>
      <c r="J36" s="160">
        <f>+J35-J57</f>
        <v>300584222.49000007</v>
      </c>
      <c r="K36" s="244">
        <f t="shared" si="5"/>
        <v>8.3611744781641182</v>
      </c>
      <c r="L36" s="91">
        <f t="shared" ref="L36:L74" si="7">+D36-J36</f>
        <v>50290373.969999909</v>
      </c>
      <c r="M36" s="244">
        <f t="shared" si="0"/>
        <v>16.730876142932942</v>
      </c>
      <c r="BM36" s="159"/>
      <c r="BN36" s="159"/>
      <c r="BO36" s="143"/>
      <c r="BP36" s="143"/>
      <c r="BQ36" s="143"/>
      <c r="BR36" s="140"/>
    </row>
    <row r="37" spans="1:70" ht="13.5" customHeight="1" thickTop="1">
      <c r="A37" s="80">
        <v>41</v>
      </c>
      <c r="C37" s="93" t="s">
        <v>62</v>
      </c>
      <c r="D37" s="94">
        <f>+SUM(D38:D47)</f>
        <v>164660097</v>
      </c>
      <c r="E37" s="242">
        <f t="shared" si="1"/>
        <v>4.3766970655467548</v>
      </c>
      <c r="F37" s="94">
        <f>+SUM(F38:F47)</f>
        <v>175500913.75999999</v>
      </c>
      <c r="G37" s="250">
        <f t="shared" si="2"/>
        <v>4.6648480612407628</v>
      </c>
      <c r="H37" s="203">
        <f t="shared" si="3"/>
        <v>-10840816.75999999</v>
      </c>
      <c r="I37" s="255">
        <f t="shared" si="4"/>
        <v>-6.1770714053517537</v>
      </c>
      <c r="J37" s="94">
        <f>+SUM(J38:J47)</f>
        <v>143619479.85000002</v>
      </c>
      <c r="K37" s="242">
        <f t="shared" si="5"/>
        <v>3.9949785771905431</v>
      </c>
      <c r="L37" s="203">
        <f t="shared" si="7"/>
        <v>21040617.149999976</v>
      </c>
      <c r="M37" s="255">
        <f t="shared" si="0"/>
        <v>14.650252996303408</v>
      </c>
      <c r="BM37" s="159"/>
      <c r="BN37" s="159"/>
      <c r="BO37" s="143"/>
      <c r="BP37" s="143"/>
      <c r="BQ37" s="143"/>
      <c r="BR37" s="140"/>
    </row>
    <row r="38" spans="1:70" ht="13.5" customHeight="1">
      <c r="B38" s="80">
        <v>411</v>
      </c>
      <c r="C38" s="93" t="s">
        <v>63</v>
      </c>
      <c r="D38" s="164">
        <v>97503883.709999993</v>
      </c>
      <c r="E38" s="242">
        <f t="shared" si="1"/>
        <v>2.5916719927170271</v>
      </c>
      <c r="F38" s="152">
        <v>103958698.75999999</v>
      </c>
      <c r="G38" s="250">
        <f t="shared" si="2"/>
        <v>2.7632422189144648</v>
      </c>
      <c r="H38" s="205">
        <f t="shared" si="3"/>
        <v>-6454815.049999997</v>
      </c>
      <c r="I38" s="255">
        <f t="shared" si="4"/>
        <v>-6.209018703573463</v>
      </c>
      <c r="J38" s="152">
        <v>94227900.730000019</v>
      </c>
      <c r="K38" s="242">
        <f t="shared" si="5"/>
        <v>2.6210820787204456</v>
      </c>
      <c r="L38" s="205">
        <f t="shared" si="7"/>
        <v>3275982.9799999744</v>
      </c>
      <c r="M38" s="255">
        <f t="shared" si="0"/>
        <v>3.4766592003221604</v>
      </c>
      <c r="BM38" s="159"/>
      <c r="BN38" s="159"/>
      <c r="BO38" s="143"/>
      <c r="BP38" s="143"/>
      <c r="BQ38" s="143"/>
      <c r="BR38" s="140"/>
    </row>
    <row r="39" spans="1:70" ht="13.5" customHeight="1">
      <c r="B39" s="80">
        <v>412</v>
      </c>
      <c r="C39" s="93" t="s">
        <v>74</v>
      </c>
      <c r="D39" s="152">
        <v>2950991.69</v>
      </c>
      <c r="E39" s="242">
        <f t="shared" si="1"/>
        <v>7.8437927010791567E-2</v>
      </c>
      <c r="F39" s="152">
        <v>2497973.5649999999</v>
      </c>
      <c r="G39" s="250">
        <f t="shared" si="2"/>
        <v>6.6396618069214819E-2</v>
      </c>
      <c r="H39" s="205">
        <f t="shared" si="3"/>
        <v>453018.125</v>
      </c>
      <c r="I39" s="255">
        <f t="shared" si="4"/>
        <v>18.135425104068318</v>
      </c>
      <c r="J39" s="152">
        <v>2580545.6599999983</v>
      </c>
      <c r="K39" s="242">
        <f t="shared" si="5"/>
        <v>7.1781520445062544E-2</v>
      </c>
      <c r="L39" s="205">
        <f t="shared" si="7"/>
        <v>370446.03000000166</v>
      </c>
      <c r="M39" s="255">
        <f t="shared" si="0"/>
        <v>14.355337157646034</v>
      </c>
      <c r="BM39" s="159"/>
      <c r="BN39" s="159"/>
      <c r="BO39" s="143"/>
      <c r="BP39" s="143"/>
      <c r="BQ39" s="143"/>
      <c r="BR39" s="140"/>
    </row>
    <row r="40" spans="1:70" ht="13.5" customHeight="1">
      <c r="B40" s="80">
        <v>413</v>
      </c>
      <c r="C40" s="93" t="s">
        <v>428</v>
      </c>
      <c r="D40" s="152">
        <v>5637436.790000001</v>
      </c>
      <c r="E40" s="242">
        <f t="shared" si="1"/>
        <v>0.14984415474988041</v>
      </c>
      <c r="F40" s="152">
        <v>7657265.9675000003</v>
      </c>
      <c r="G40" s="250">
        <f t="shared" si="2"/>
        <v>0.20353160298495562</v>
      </c>
      <c r="H40" s="205">
        <f t="shared" si="3"/>
        <v>-2019829.1774999993</v>
      </c>
      <c r="I40" s="255">
        <f t="shared" si="4"/>
        <v>-26.377942023599942</v>
      </c>
      <c r="J40" s="152">
        <v>5417896.7899999991</v>
      </c>
      <c r="K40" s="242">
        <f t="shared" si="5"/>
        <v>0.15070644756606397</v>
      </c>
      <c r="L40" s="205">
        <f t="shared" si="7"/>
        <v>219540.00000000186</v>
      </c>
      <c r="M40" s="255">
        <f t="shared" si="0"/>
        <v>4.0521259172971753</v>
      </c>
      <c r="BM40" s="159"/>
      <c r="BN40" s="159"/>
      <c r="BO40" s="143"/>
      <c r="BP40" s="143"/>
      <c r="BQ40" s="143"/>
      <c r="BR40" s="140"/>
    </row>
    <row r="41" spans="1:70" ht="13.5" customHeight="1">
      <c r="B41" s="80">
        <v>414</v>
      </c>
      <c r="C41" s="93" t="s">
        <v>429</v>
      </c>
      <c r="D41" s="152">
        <v>10826583.08</v>
      </c>
      <c r="E41" s="242">
        <f t="shared" si="1"/>
        <v>0.287772661740471</v>
      </c>
      <c r="F41" s="152">
        <v>11342804.409999998</v>
      </c>
      <c r="G41" s="250">
        <f t="shared" si="2"/>
        <v>0.30149392403380998</v>
      </c>
      <c r="H41" s="205">
        <f t="shared" si="3"/>
        <v>-516221.32999999821</v>
      </c>
      <c r="I41" s="255">
        <f t="shared" si="4"/>
        <v>-4.5510908179364264</v>
      </c>
      <c r="J41" s="152">
        <v>8493589.0800000001</v>
      </c>
      <c r="K41" s="242">
        <f t="shared" si="5"/>
        <v>0.23626117051460363</v>
      </c>
      <c r="L41" s="205">
        <f t="shared" si="7"/>
        <v>2332994</v>
      </c>
      <c r="M41" s="255">
        <f t="shared" si="0"/>
        <v>27.467705089401377</v>
      </c>
      <c r="BM41" s="159"/>
      <c r="BN41" s="159"/>
      <c r="BO41" s="143"/>
      <c r="BP41" s="143"/>
      <c r="BQ41" s="143"/>
      <c r="BR41" s="140"/>
    </row>
    <row r="42" spans="1:70" ht="13.5" customHeight="1">
      <c r="B42" s="80">
        <v>415</v>
      </c>
      <c r="C42" s="93" t="s">
        <v>430</v>
      </c>
      <c r="D42" s="152">
        <v>2322441.83</v>
      </c>
      <c r="E42" s="242">
        <f t="shared" si="1"/>
        <v>6.1730950773483596E-2</v>
      </c>
      <c r="F42" s="152">
        <v>5334070.2299999995</v>
      </c>
      <c r="G42" s="250">
        <f t="shared" si="2"/>
        <v>0.1417806132050396</v>
      </c>
      <c r="H42" s="205">
        <f t="shared" si="3"/>
        <v>-3011628.3999999994</v>
      </c>
      <c r="I42" s="255">
        <f t="shared" si="4"/>
        <v>-56.460231495677171</v>
      </c>
      <c r="J42" s="152">
        <v>3577680.6699999995</v>
      </c>
      <c r="K42" s="242">
        <f t="shared" si="5"/>
        <v>9.9518238386648097E-2</v>
      </c>
      <c r="L42" s="205">
        <f t="shared" si="7"/>
        <v>-1255238.8399999994</v>
      </c>
      <c r="M42" s="255">
        <f t="shared" si="0"/>
        <v>-35.085267685447164</v>
      </c>
      <c r="BM42" s="159"/>
      <c r="BN42" s="159"/>
      <c r="BO42" s="143"/>
      <c r="BP42" s="143"/>
      <c r="BQ42" s="143"/>
      <c r="BR42" s="140"/>
    </row>
    <row r="43" spans="1:70" ht="13.5" customHeight="1">
      <c r="B43" s="80">
        <v>416</v>
      </c>
      <c r="C43" s="93" t="s">
        <v>79</v>
      </c>
      <c r="D43" s="152">
        <v>27884156.670000002</v>
      </c>
      <c r="E43" s="242">
        <f t="shared" si="1"/>
        <v>0.74116625033225247</v>
      </c>
      <c r="F43" s="152">
        <v>19122089.050000001</v>
      </c>
      <c r="G43" s="250">
        <f t="shared" si="2"/>
        <v>0.5082688068151614</v>
      </c>
      <c r="H43" s="205">
        <f t="shared" si="3"/>
        <v>8762067.620000001</v>
      </c>
      <c r="I43" s="255">
        <f t="shared" si="4"/>
        <v>45.821707016891025</v>
      </c>
      <c r="J43" s="152">
        <v>14063813.190000001</v>
      </c>
      <c r="K43" s="242">
        <f t="shared" si="5"/>
        <v>0.39120481752433939</v>
      </c>
      <c r="L43" s="205">
        <f t="shared" si="7"/>
        <v>13820343.48</v>
      </c>
      <c r="M43" s="255">
        <f t="shared" si="0"/>
        <v>98.268821501603014</v>
      </c>
      <c r="BM43" s="159"/>
      <c r="BN43" s="159"/>
      <c r="BO43" s="143"/>
      <c r="BP43" s="143"/>
      <c r="BQ43" s="143"/>
      <c r="BR43" s="140"/>
    </row>
    <row r="44" spans="1:70" ht="13.5" customHeight="1">
      <c r="B44" s="80">
        <v>417</v>
      </c>
      <c r="C44" s="93" t="s">
        <v>81</v>
      </c>
      <c r="D44" s="152">
        <v>2505470.4899999998</v>
      </c>
      <c r="E44" s="242">
        <f t="shared" si="1"/>
        <v>6.6595887778427509E-2</v>
      </c>
      <c r="F44" s="152">
        <v>2031114.6324999998</v>
      </c>
      <c r="G44" s="250">
        <f t="shared" si="2"/>
        <v>5.3987417800754875E-2</v>
      </c>
      <c r="H44" s="205">
        <f t="shared" si="3"/>
        <v>474355.85749999993</v>
      </c>
      <c r="I44" s="255">
        <f t="shared" si="4"/>
        <v>23.354460152558616</v>
      </c>
      <c r="J44" s="152">
        <v>2458431.9300000002</v>
      </c>
      <c r="K44" s="242">
        <f t="shared" si="5"/>
        <v>6.8384754659248953E-2</v>
      </c>
      <c r="L44" s="205">
        <f t="shared" si="7"/>
        <v>47038.55999999959</v>
      </c>
      <c r="M44" s="255">
        <f t="shared" si="0"/>
        <v>1.9133562099480201</v>
      </c>
      <c r="BM44" s="159"/>
      <c r="BN44" s="159"/>
      <c r="BO44" s="143"/>
      <c r="BP44" s="143"/>
      <c r="BQ44" s="143"/>
      <c r="BR44" s="140"/>
    </row>
    <row r="45" spans="1:70" ht="13.5" customHeight="1">
      <c r="B45" s="80">
        <v>418</v>
      </c>
      <c r="C45" s="93" t="s">
        <v>83</v>
      </c>
      <c r="D45" s="152">
        <v>3010942.39</v>
      </c>
      <c r="E45" s="242">
        <f t="shared" si="1"/>
        <v>8.0031428153739828E-2</v>
      </c>
      <c r="F45" s="152">
        <v>5123450</v>
      </c>
      <c r="G45" s="250">
        <f t="shared" si="2"/>
        <v>0.13618228695975759</v>
      </c>
      <c r="H45" s="205">
        <f t="shared" si="3"/>
        <v>-2112507.61</v>
      </c>
      <c r="I45" s="255">
        <f t="shared" si="4"/>
        <v>-41.232130888366235</v>
      </c>
      <c r="J45" s="152">
        <v>4797293.7699999996</v>
      </c>
      <c r="K45" s="242">
        <f t="shared" si="5"/>
        <v>0.13344349847009734</v>
      </c>
      <c r="L45" s="205">
        <f t="shared" si="7"/>
        <v>-1786351.3799999994</v>
      </c>
      <c r="M45" s="255">
        <f t="shared" si="0"/>
        <v>-37.236647694393746</v>
      </c>
      <c r="BM45" s="159"/>
      <c r="BN45" s="159"/>
      <c r="BO45" s="143"/>
      <c r="BP45" s="143"/>
      <c r="BQ45" s="143"/>
      <c r="BR45" s="140"/>
    </row>
    <row r="46" spans="1:70" ht="13.5" customHeight="1">
      <c r="B46" s="80">
        <v>419</v>
      </c>
      <c r="C46" s="93" t="s">
        <v>85</v>
      </c>
      <c r="D46" s="152">
        <v>7349969.2699999996</v>
      </c>
      <c r="E46" s="242">
        <f t="shared" si="1"/>
        <v>0.19536359762904681</v>
      </c>
      <c r="F46" s="152">
        <v>8325369.5199999996</v>
      </c>
      <c r="G46" s="250">
        <f t="shared" si="2"/>
        <v>0.22128992398064962</v>
      </c>
      <c r="H46" s="205">
        <f t="shared" si="3"/>
        <v>-975400.25</v>
      </c>
      <c r="I46" s="255">
        <f t="shared" si="4"/>
        <v>-11.715999483948437</v>
      </c>
      <c r="J46" s="152">
        <v>5331095.7299999986</v>
      </c>
      <c r="K46" s="242">
        <f>+J45/$J$11*100</f>
        <v>0.13344349847009734</v>
      </c>
      <c r="L46" s="205">
        <f t="shared" si="7"/>
        <v>2018873.540000001</v>
      </c>
      <c r="M46" s="255">
        <f t="shared" si="0"/>
        <v>37.869767159480375</v>
      </c>
      <c r="BM46" s="159"/>
      <c r="BN46" s="159"/>
      <c r="BO46" s="143"/>
      <c r="BP46" s="143"/>
      <c r="BQ46" s="143"/>
      <c r="BR46" s="140"/>
    </row>
    <row r="47" spans="1:70" ht="13.5" customHeight="1">
      <c r="B47" s="80">
        <v>441</v>
      </c>
      <c r="C47" s="93" t="s">
        <v>129</v>
      </c>
      <c r="D47" s="164">
        <v>4668221.08</v>
      </c>
      <c r="E47" s="245">
        <f t="shared" si="1"/>
        <v>0.12408221466163416</v>
      </c>
      <c r="F47" s="152">
        <v>10108077.625</v>
      </c>
      <c r="G47" s="250">
        <f t="shared" si="2"/>
        <v>0.26867464847695499</v>
      </c>
      <c r="H47" s="205">
        <f t="shared" si="3"/>
        <v>-5439856.5449999999</v>
      </c>
      <c r="I47" s="257">
        <f t="shared" si="4"/>
        <v>-53.816924907123479</v>
      </c>
      <c r="J47" s="152">
        <v>2671232.3000000026</v>
      </c>
      <c r="K47" s="245">
        <f>+J46/$J$11*100</f>
        <v>0.14829195354659244</v>
      </c>
      <c r="L47" s="205">
        <f t="shared" si="7"/>
        <v>1996988.7799999975</v>
      </c>
      <c r="M47" s="257">
        <f t="shared" si="0"/>
        <v>74.759083289012182</v>
      </c>
      <c r="BM47" s="159"/>
      <c r="BN47" s="159"/>
      <c r="BO47" s="143"/>
      <c r="BP47" s="143"/>
      <c r="BQ47" s="143"/>
      <c r="BR47" s="140"/>
    </row>
    <row r="48" spans="1:70" ht="13.5" customHeight="1">
      <c r="A48" s="80">
        <v>42</v>
      </c>
      <c r="B48" s="80" t="s">
        <v>427</v>
      </c>
      <c r="C48" s="93" t="s">
        <v>86</v>
      </c>
      <c r="D48" s="152">
        <f>+SUM(D49:D53)</f>
        <v>129274370.81999999</v>
      </c>
      <c r="E48" s="242">
        <f t="shared" si="1"/>
        <v>3.4361376540322146</v>
      </c>
      <c r="F48" s="152">
        <f>+SUM(F49:F53)</f>
        <v>133098055.0925</v>
      </c>
      <c r="G48" s="250">
        <f t="shared" si="2"/>
        <v>3.5377719178273348</v>
      </c>
      <c r="H48" s="203">
        <f t="shared" si="3"/>
        <v>-3823684.2725000083</v>
      </c>
      <c r="I48" s="255">
        <f t="shared" si="4"/>
        <v>-2.8728325668189854</v>
      </c>
      <c r="J48" s="152">
        <f>+SUM(J49:J53)</f>
        <v>120719934.25000001</v>
      </c>
      <c r="K48" s="242">
        <f t="shared" si="5"/>
        <v>3.3579953894297638</v>
      </c>
      <c r="L48" s="203">
        <f t="shared" si="7"/>
        <v>8554436.5699999779</v>
      </c>
      <c r="M48" s="255">
        <f t="shared" si="0"/>
        <v>7.0861839207802433</v>
      </c>
      <c r="BM48" s="159"/>
      <c r="BN48" s="159"/>
      <c r="BO48" s="143"/>
      <c r="BP48" s="143"/>
      <c r="BQ48" s="143"/>
      <c r="BR48" s="140"/>
    </row>
    <row r="49" spans="1:70" ht="13.5" customHeight="1">
      <c r="B49" s="80">
        <v>421</v>
      </c>
      <c r="C49" s="97" t="s">
        <v>88</v>
      </c>
      <c r="D49" s="154">
        <v>20392437.75</v>
      </c>
      <c r="E49" s="243">
        <f t="shared" si="1"/>
        <v>0.54203491972781881</v>
      </c>
      <c r="F49" s="154">
        <v>18151406.25</v>
      </c>
      <c r="G49" s="251">
        <f t="shared" si="2"/>
        <v>0.48246787119238749</v>
      </c>
      <c r="H49" s="206">
        <f t="shared" si="3"/>
        <v>2241031.5</v>
      </c>
      <c r="I49" s="256">
        <f t="shared" si="4"/>
        <v>12.346324406683379</v>
      </c>
      <c r="J49" s="154">
        <v>15108426.169999998</v>
      </c>
      <c r="K49" s="243">
        <f t="shared" si="5"/>
        <v>0.42026220222531285</v>
      </c>
      <c r="L49" s="206">
        <f t="shared" si="7"/>
        <v>5284011.5800000019</v>
      </c>
      <c r="M49" s="256">
        <f t="shared" si="0"/>
        <v>34.973937857883442</v>
      </c>
      <c r="BM49" s="159"/>
      <c r="BN49" s="159"/>
      <c r="BO49" s="143"/>
      <c r="BP49" s="143"/>
      <c r="BQ49" s="143"/>
      <c r="BR49" s="140"/>
    </row>
    <row r="50" spans="1:70" ht="13.5" customHeight="1">
      <c r="B50" s="80">
        <v>422</v>
      </c>
      <c r="C50" s="97" t="s">
        <v>90</v>
      </c>
      <c r="D50" s="154">
        <v>5960124.3599999994</v>
      </c>
      <c r="E50" s="243">
        <f t="shared" si="1"/>
        <v>0.15842125245866778</v>
      </c>
      <c r="F50" s="154">
        <v>5702525</v>
      </c>
      <c r="G50" s="251">
        <f t="shared" si="2"/>
        <v>0.15157421189729414</v>
      </c>
      <c r="H50" s="206">
        <f t="shared" si="3"/>
        <v>257599.3599999994</v>
      </c>
      <c r="I50" s="256">
        <f t="shared" si="4"/>
        <v>4.5172859391234397</v>
      </c>
      <c r="J50" s="154">
        <v>2934225.42</v>
      </c>
      <c r="K50" s="243">
        <f t="shared" si="5"/>
        <v>8.161962225312934E-2</v>
      </c>
      <c r="L50" s="206">
        <f t="shared" si="7"/>
        <v>3025898.9399999995</v>
      </c>
      <c r="M50" s="256">
        <f t="shared" si="0"/>
        <v>103.1242834778522</v>
      </c>
      <c r="BM50" s="159"/>
      <c r="BN50" s="159"/>
      <c r="BO50" s="143"/>
      <c r="BP50" s="143"/>
      <c r="BQ50" s="143"/>
      <c r="BR50" s="140"/>
    </row>
    <row r="51" spans="1:70" ht="13.5" customHeight="1">
      <c r="B51" s="80">
        <v>423</v>
      </c>
      <c r="C51" s="97" t="s">
        <v>92</v>
      </c>
      <c r="D51" s="154">
        <v>97277018.590000004</v>
      </c>
      <c r="E51" s="243">
        <f t="shared" si="1"/>
        <v>2.5856418741693692</v>
      </c>
      <c r="F51" s="154">
        <v>103502258.8425</v>
      </c>
      <c r="G51" s="251">
        <f t="shared" si="2"/>
        <v>2.7511099580697462</v>
      </c>
      <c r="H51" s="206">
        <f t="shared" si="3"/>
        <v>-6225240.2524999976</v>
      </c>
      <c r="I51" s="256">
        <f t="shared" si="4"/>
        <v>-6.0145936157518776</v>
      </c>
      <c r="J51" s="154">
        <v>96402848.26000002</v>
      </c>
      <c r="K51" s="243">
        <f t="shared" si="5"/>
        <v>2.6815813146036165</v>
      </c>
      <c r="L51" s="206">
        <f t="shared" si="7"/>
        <v>874170.32999998331</v>
      </c>
      <c r="M51" s="256">
        <f t="shared" si="0"/>
        <v>0.90678890279501445</v>
      </c>
      <c r="BM51" s="159"/>
      <c r="BN51" s="159"/>
      <c r="BO51" s="143"/>
      <c r="BP51" s="143"/>
      <c r="BQ51" s="143"/>
      <c r="BR51" s="140"/>
    </row>
    <row r="52" spans="1:70" ht="13.5" customHeight="1">
      <c r="B52" s="80">
        <v>424</v>
      </c>
      <c r="C52" s="97" t="s">
        <v>94</v>
      </c>
      <c r="D52" s="154">
        <v>3553912.0699999989</v>
      </c>
      <c r="E52" s="243">
        <f t="shared" si="1"/>
        <v>9.446366673754715E-2</v>
      </c>
      <c r="F52" s="154">
        <v>3750250</v>
      </c>
      <c r="G52" s="251">
        <f t="shared" si="2"/>
        <v>9.9682366700334896E-2</v>
      </c>
      <c r="H52" s="206">
        <f t="shared" si="3"/>
        <v>-196337.9300000011</v>
      </c>
      <c r="I52" s="256">
        <f t="shared" si="4"/>
        <v>-5.2353291113926019</v>
      </c>
      <c r="J52" s="154">
        <v>4373243.58</v>
      </c>
      <c r="K52" s="243">
        <f t="shared" si="5"/>
        <v>0.12164794381084841</v>
      </c>
      <c r="L52" s="206">
        <f t="shared" si="7"/>
        <v>-819331.51000000117</v>
      </c>
      <c r="M52" s="256">
        <f t="shared" si="0"/>
        <v>-18.73509890340938</v>
      </c>
      <c r="BM52" s="159"/>
      <c r="BN52" s="159"/>
      <c r="BO52" s="143"/>
      <c r="BP52" s="143"/>
      <c r="BQ52" s="143"/>
      <c r="BR52" s="140"/>
    </row>
    <row r="53" spans="1:70" ht="13.5" customHeight="1">
      <c r="B53" s="80">
        <v>425</v>
      </c>
      <c r="C53" s="97" t="s">
        <v>431</v>
      </c>
      <c r="D53" s="154">
        <v>2090878.0499999998</v>
      </c>
      <c r="E53" s="243">
        <f t="shared" si="1"/>
        <v>5.5575940938812393E-2</v>
      </c>
      <c r="F53" s="154">
        <v>1991615</v>
      </c>
      <c r="G53" s="251">
        <f t="shared" si="2"/>
        <v>5.2937509967572169E-2</v>
      </c>
      <c r="H53" s="206">
        <f t="shared" si="3"/>
        <v>99263.049999999814</v>
      </c>
      <c r="I53" s="256">
        <f t="shared" si="4"/>
        <v>4.9840481217504333</v>
      </c>
      <c r="J53" s="154">
        <v>1901190.8199999998</v>
      </c>
      <c r="K53" s="243">
        <f t="shared" si="5"/>
        <v>5.2884306536856739E-2</v>
      </c>
      <c r="L53" s="206">
        <f t="shared" si="7"/>
        <v>189687.22999999998</v>
      </c>
      <c r="M53" s="256">
        <f t="shared" si="0"/>
        <v>9.9772851838196885</v>
      </c>
      <c r="BM53" s="159"/>
      <c r="BN53" s="159"/>
      <c r="BO53" s="143"/>
      <c r="BP53" s="143"/>
      <c r="BQ53" s="143"/>
      <c r="BR53" s="140"/>
    </row>
    <row r="54" spans="1:70" ht="13.5" customHeight="1" thickBot="1">
      <c r="A54" s="80">
        <v>43</v>
      </c>
      <c r="B54" s="80">
        <v>431</v>
      </c>
      <c r="C54" s="93" t="s">
        <v>432</v>
      </c>
      <c r="D54" s="152">
        <f>SUM(D55:D56)</f>
        <v>34732245.769999996</v>
      </c>
      <c r="E54" s="242">
        <f t="shared" si="1"/>
        <v>0.92318977646058153</v>
      </c>
      <c r="F54" s="152">
        <v>36589885.012500003</v>
      </c>
      <c r="G54" s="250">
        <f t="shared" si="2"/>
        <v>0.97256618501142955</v>
      </c>
      <c r="H54" s="203">
        <f t="shared" si="3"/>
        <v>-1857639.2425000072</v>
      </c>
      <c r="I54" s="255">
        <f t="shared" si="4"/>
        <v>-5.0769201429996116</v>
      </c>
      <c r="J54" s="152">
        <v>29630726.720000021</v>
      </c>
      <c r="K54" s="242">
        <f t="shared" si="5"/>
        <v>0.82422049290681554</v>
      </c>
      <c r="L54" s="203">
        <f t="shared" si="7"/>
        <v>5101519.0499999747</v>
      </c>
      <c r="M54" s="255">
        <f t="shared" si="0"/>
        <v>17.216989303730344</v>
      </c>
      <c r="BM54" s="159"/>
      <c r="BN54" s="159"/>
      <c r="BO54" s="143"/>
      <c r="BP54" s="143"/>
      <c r="BQ54" s="143"/>
      <c r="BR54" s="140"/>
    </row>
    <row r="55" spans="1:70" ht="13.5" hidden="1" customHeight="1">
      <c r="C55" s="237" t="s">
        <v>432</v>
      </c>
      <c r="D55" s="297">
        <v>34429646.549999997</v>
      </c>
      <c r="E55" s="242">
        <f t="shared" si="1"/>
        <v>0.91514663096060811</v>
      </c>
      <c r="F55" s="152"/>
      <c r="G55" s="250"/>
      <c r="H55" s="203"/>
      <c r="I55" s="255"/>
      <c r="J55" s="152"/>
      <c r="K55" s="242"/>
      <c r="L55" s="203"/>
      <c r="M55" s="255"/>
      <c r="BM55" s="159"/>
      <c r="BN55" s="159"/>
      <c r="BO55" s="143"/>
      <c r="BP55" s="143"/>
      <c r="BQ55" s="143"/>
      <c r="BR55" s="140"/>
    </row>
    <row r="56" spans="1:70" ht="13.5" hidden="1" customHeight="1" thickBot="1">
      <c r="C56" s="237" t="s">
        <v>464</v>
      </c>
      <c r="D56" s="297">
        <v>302599.21999999997</v>
      </c>
      <c r="E56" s="242">
        <f t="shared" si="1"/>
        <v>8.0431454999734201E-3</v>
      </c>
      <c r="F56" s="152"/>
      <c r="G56" s="250"/>
      <c r="H56" s="203"/>
      <c r="I56" s="255"/>
      <c r="J56" s="152"/>
      <c r="K56" s="242"/>
      <c r="L56" s="203"/>
      <c r="M56" s="255"/>
      <c r="BM56" s="159"/>
      <c r="BN56" s="159"/>
      <c r="BO56" s="143"/>
      <c r="BP56" s="143"/>
      <c r="BQ56" s="143"/>
      <c r="BR56" s="140"/>
    </row>
    <row r="57" spans="1:70" ht="13.5" customHeight="1" thickTop="1" thickBot="1">
      <c r="B57" s="80">
        <v>44</v>
      </c>
      <c r="C57" s="90" t="s">
        <v>130</v>
      </c>
      <c r="D57" s="298">
        <v>2437924.94</v>
      </c>
      <c r="E57" s="244">
        <f t="shared" si="1"/>
        <v>6.4800514060921799E-2</v>
      </c>
      <c r="F57" s="160">
        <v>83714450</v>
      </c>
      <c r="G57" s="249">
        <f t="shared" si="2"/>
        <v>2.2251461910584234</v>
      </c>
      <c r="H57" s="160">
        <f t="shared" si="3"/>
        <v>-81276525.060000002</v>
      </c>
      <c r="I57" s="244">
        <f t="shared" si="4"/>
        <v>-97.087808687747454</v>
      </c>
      <c r="J57" s="160">
        <v>16325083.57</v>
      </c>
      <c r="K57" s="244">
        <f t="shared" si="5"/>
        <v>0.45410524534075108</v>
      </c>
      <c r="L57" s="160">
        <f>+D57-J57</f>
        <v>-13887158.630000001</v>
      </c>
      <c r="M57" s="244">
        <f t="shared" si="0"/>
        <v>-85.066386156331333</v>
      </c>
      <c r="BM57" s="159"/>
      <c r="BN57" s="159"/>
      <c r="BO57" s="143"/>
      <c r="BP57" s="143"/>
      <c r="BQ57" s="143"/>
      <c r="BR57" s="140"/>
    </row>
    <row r="58" spans="1:70" ht="13.5" customHeight="1" thickTop="1">
      <c r="B58" s="80">
        <v>451</v>
      </c>
      <c r="C58" s="93" t="s">
        <v>110</v>
      </c>
      <c r="D58" s="152">
        <v>591126.66999999993</v>
      </c>
      <c r="E58" s="242">
        <f t="shared" si="1"/>
        <v>1.5712260645367071E-2</v>
      </c>
      <c r="F58" s="152">
        <v>587500</v>
      </c>
      <c r="G58" s="250">
        <f t="shared" si="2"/>
        <v>1.5615863058848546E-2</v>
      </c>
      <c r="H58" s="205">
        <f t="shared" si="3"/>
        <v>3626.6699999999255</v>
      </c>
      <c r="I58" s="255">
        <f t="shared" si="4"/>
        <v>0.61730553191488013</v>
      </c>
      <c r="J58" s="152">
        <v>316631.12</v>
      </c>
      <c r="K58" s="242">
        <f t="shared" si="5"/>
        <v>8.8075415855354659E-3</v>
      </c>
      <c r="L58" s="152">
        <f t="shared" si="7"/>
        <v>274495.54999999993</v>
      </c>
      <c r="M58" s="255">
        <f t="shared" si="0"/>
        <v>86.692536728543899</v>
      </c>
      <c r="BM58" s="159"/>
      <c r="BN58" s="159"/>
      <c r="BO58" s="143"/>
      <c r="BP58" s="143"/>
      <c r="BQ58" s="143"/>
      <c r="BR58" s="140"/>
    </row>
    <row r="59" spans="1:70" ht="13.5" customHeight="1" thickBot="1">
      <c r="B59" s="80">
        <v>47</v>
      </c>
      <c r="C59" s="93" t="s">
        <v>117</v>
      </c>
      <c r="D59" s="152">
        <v>4525914.18</v>
      </c>
      <c r="E59" s="242">
        <f t="shared" si="1"/>
        <v>0.12029966987400988</v>
      </c>
      <c r="F59" s="152">
        <v>3607319.4649999999</v>
      </c>
      <c r="G59" s="250">
        <f t="shared" si="2"/>
        <v>9.5883245574397952E-2</v>
      </c>
      <c r="H59" s="205">
        <f t="shared" si="3"/>
        <v>918594.71499999985</v>
      </c>
      <c r="I59" s="255">
        <f t="shared" si="4"/>
        <v>25.464745329950972</v>
      </c>
      <c r="J59" s="152">
        <v>851526.67</v>
      </c>
      <c r="K59" s="242">
        <f t="shared" si="5"/>
        <v>2.3686416411682894E-2</v>
      </c>
      <c r="L59" s="152">
        <f t="shared" si="7"/>
        <v>3674387.51</v>
      </c>
      <c r="M59" s="255">
        <f t="shared" si="0"/>
        <v>431.50586346285547</v>
      </c>
      <c r="BM59" s="159"/>
      <c r="BN59" s="159"/>
      <c r="BO59" s="143"/>
      <c r="BP59" s="143"/>
      <c r="BQ59" s="143"/>
      <c r="BR59" s="140"/>
    </row>
    <row r="60" spans="1:70" ht="13.5" customHeight="1" thickTop="1" thickBot="1">
      <c r="B60" s="80">
        <v>462</v>
      </c>
      <c r="C60" s="146" t="s">
        <v>112</v>
      </c>
      <c r="D60" s="161">
        <v>0</v>
      </c>
      <c r="E60" s="246">
        <f t="shared" si="1"/>
        <v>0</v>
      </c>
      <c r="F60" s="161">
        <v>0</v>
      </c>
      <c r="G60" s="252">
        <f t="shared" si="2"/>
        <v>0</v>
      </c>
      <c r="H60" s="207">
        <f t="shared" si="3"/>
        <v>0</v>
      </c>
      <c r="I60" s="258" t="str">
        <f t="shared" si="4"/>
        <v>...</v>
      </c>
      <c r="J60" s="161">
        <v>0</v>
      </c>
      <c r="K60" s="246">
        <f t="shared" si="5"/>
        <v>0</v>
      </c>
      <c r="L60" s="161">
        <f t="shared" si="7"/>
        <v>0</v>
      </c>
      <c r="M60" s="258" t="str">
        <f>+IF(ISNUMBER(D60/J60*100-100),D60/J60*100-100,"...")</f>
        <v>...</v>
      </c>
      <c r="BM60" s="159"/>
      <c r="BN60" s="159"/>
      <c r="BO60" s="143"/>
      <c r="BP60" s="143"/>
      <c r="BQ60" s="143"/>
      <c r="BR60" s="140"/>
    </row>
    <row r="61" spans="1:70" ht="13.5" customHeight="1" thickTop="1" thickBot="1">
      <c r="B61" s="80" t="s">
        <v>450</v>
      </c>
      <c r="C61" s="209" t="s">
        <v>449</v>
      </c>
      <c r="D61" s="210">
        <v>17090842.02</v>
      </c>
      <c r="E61" s="247">
        <f t="shared" si="1"/>
        <v>0.45427786986337781</v>
      </c>
      <c r="F61" s="210">
        <v>9843688.8424999993</v>
      </c>
      <c r="G61" s="253">
        <f t="shared" si="2"/>
        <v>0.2616471437589708</v>
      </c>
      <c r="H61" s="211">
        <f>+D61-F61</f>
        <v>7247153.1775000002</v>
      </c>
      <c r="I61" s="259">
        <f>+IF(ISNUMBER(D61/F61*100-100),D61/F61*100-100,"...")</f>
        <v>73.622330951893872</v>
      </c>
      <c r="J61" s="210">
        <v>5445923.8799999999</v>
      </c>
      <c r="K61" s="247">
        <f>+J61/$J$11*100</f>
        <v>0.15148606063977746</v>
      </c>
      <c r="L61" s="211">
        <f>+D61-J61</f>
        <v>11644918.140000001</v>
      </c>
      <c r="M61" s="258">
        <f t="shared" ref="M61:M74" si="8">+IF(ISNUMBER(H61/J61*100-100),H61/J61*100-100,"...")</f>
        <v>33.074815902494777</v>
      </c>
      <c r="BM61" s="159"/>
      <c r="BN61" s="159"/>
      <c r="BO61" s="143"/>
      <c r="BP61" s="143"/>
      <c r="BQ61" s="143"/>
      <c r="BR61" s="140"/>
    </row>
    <row r="62" spans="1:70" ht="13.5" customHeight="1" thickTop="1" thickBot="1">
      <c r="B62" s="80">
        <v>990</v>
      </c>
      <c r="C62" s="198" t="s">
        <v>151</v>
      </c>
      <c r="D62" s="152">
        <v>0</v>
      </c>
      <c r="E62" s="242">
        <f t="shared" si="1"/>
        <v>0</v>
      </c>
      <c r="F62" s="152">
        <v>0</v>
      </c>
      <c r="G62" s="250">
        <f t="shared" si="2"/>
        <v>0</v>
      </c>
      <c r="H62" s="205">
        <f t="shared" si="3"/>
        <v>0</v>
      </c>
      <c r="I62" s="260" t="str">
        <f t="shared" si="4"/>
        <v>...</v>
      </c>
      <c r="J62" s="152">
        <v>0</v>
      </c>
      <c r="K62" s="242">
        <f t="shared" si="5"/>
        <v>0</v>
      </c>
      <c r="L62" s="152">
        <f t="shared" si="7"/>
        <v>0</v>
      </c>
      <c r="M62" s="258" t="str">
        <f t="shared" si="8"/>
        <v>...</v>
      </c>
      <c r="BM62" s="159"/>
      <c r="BN62" s="159"/>
      <c r="BO62" s="143"/>
      <c r="BP62" s="143"/>
      <c r="BQ62" s="143"/>
      <c r="BR62" s="140"/>
    </row>
    <row r="63" spans="1:70" ht="13.5" customHeight="1" thickTop="1" thickBot="1">
      <c r="C63" s="90" t="s">
        <v>446</v>
      </c>
      <c r="D63" s="91">
        <f>+D16-D35</f>
        <v>-68547116.120000005</v>
      </c>
      <c r="E63" s="244">
        <f>+D63/$D$11*100</f>
        <v>-1.8219955377172932</v>
      </c>
      <c r="F63" s="91">
        <f>+F16-F35</f>
        <v>-170795458.20056552</v>
      </c>
      <c r="G63" s="249">
        <f t="shared" si="2"/>
        <v>-4.5397761469503353</v>
      </c>
      <c r="H63" s="91">
        <f t="shared" si="3"/>
        <v>102248342.08056551</v>
      </c>
      <c r="I63" s="244">
        <f t="shared" si="4"/>
        <v>-59.865960815243128</v>
      </c>
      <c r="J63" s="91">
        <f>+J16-J35-J62</f>
        <v>-58488304.890000075</v>
      </c>
      <c r="K63" s="244">
        <f t="shared" si="5"/>
        <v>-1.6269347674548005</v>
      </c>
      <c r="L63" s="91">
        <f t="shared" si="7"/>
        <v>-10058811.22999993</v>
      </c>
      <c r="M63" s="244">
        <f t="shared" si="8"/>
        <v>-274.81843981094283</v>
      </c>
      <c r="BM63" s="159"/>
      <c r="BN63" s="159"/>
      <c r="BO63" s="143"/>
      <c r="BP63" s="143"/>
      <c r="BQ63" s="143"/>
      <c r="BR63" s="140"/>
    </row>
    <row r="64" spans="1:70" ht="13.5" customHeight="1" thickTop="1" thickBot="1">
      <c r="C64" s="90" t="s">
        <v>452</v>
      </c>
      <c r="D64" s="91">
        <f>+D63+D43</f>
        <v>-40662959.450000003</v>
      </c>
      <c r="E64" s="244">
        <f t="shared" si="1"/>
        <v>-1.0808292873850407</v>
      </c>
      <c r="F64" s="91">
        <f>+F63+F43</f>
        <v>-151673369.15056551</v>
      </c>
      <c r="G64" s="249">
        <f t="shared" si="2"/>
        <v>-4.0315073401351738</v>
      </c>
      <c r="H64" s="91">
        <f t="shared" si="3"/>
        <v>111010409.7005655</v>
      </c>
      <c r="I64" s="244">
        <f t="shared" si="4"/>
        <v>-73.190442278872268</v>
      </c>
      <c r="J64" s="91">
        <f>+J63+J43</f>
        <v>-44424491.700000077</v>
      </c>
      <c r="K64" s="244">
        <f t="shared" si="5"/>
        <v>-1.2357299499304613</v>
      </c>
      <c r="L64" s="91">
        <f t="shared" si="7"/>
        <v>3761532.2500000745</v>
      </c>
      <c r="M64" s="244">
        <f t="shared" si="8"/>
        <v>-349.88560465749867</v>
      </c>
      <c r="BM64" s="159"/>
      <c r="BN64" s="159"/>
      <c r="BO64" s="143"/>
      <c r="BP64" s="143"/>
      <c r="BQ64" s="143"/>
      <c r="BR64" s="140"/>
    </row>
    <row r="65" spans="2:70" ht="13.5" customHeight="1" thickTop="1" thickBot="1">
      <c r="C65" s="90" t="s">
        <v>453</v>
      </c>
      <c r="D65" s="91">
        <f>+SUM(D66:D67)</f>
        <v>43148016.259999998</v>
      </c>
      <c r="E65" s="244">
        <f t="shared" si="1"/>
        <v>1.1468825756206473</v>
      </c>
      <c r="F65" s="91">
        <f>+SUM(F66:F67)</f>
        <v>88462157.034999996</v>
      </c>
      <c r="G65" s="249">
        <f t="shared" si="2"/>
        <v>2.3513411577002814</v>
      </c>
      <c r="H65" s="91">
        <f t="shared" si="3"/>
        <v>-45314140.774999999</v>
      </c>
      <c r="I65" s="244">
        <f t="shared" si="4"/>
        <v>-51.224322686447145</v>
      </c>
      <c r="J65" s="91">
        <f>+SUM(J66:J67)</f>
        <v>133222620.61000001</v>
      </c>
      <c r="K65" s="244">
        <f t="shared" si="5"/>
        <v>3.7057752603616136</v>
      </c>
      <c r="L65" s="91">
        <f t="shared" si="7"/>
        <v>-90074604.350000024</v>
      </c>
      <c r="M65" s="244">
        <f t="shared" si="8"/>
        <v>-134.01384882500849</v>
      </c>
      <c r="BM65" s="159"/>
      <c r="BN65" s="159"/>
      <c r="BO65" s="143"/>
      <c r="BP65" s="143"/>
      <c r="BQ65" s="143"/>
      <c r="BR65" s="140"/>
    </row>
    <row r="66" spans="2:70" ht="13.5" customHeight="1" thickTop="1">
      <c r="B66" s="80">
        <v>4611</v>
      </c>
      <c r="C66" s="97" t="s">
        <v>454</v>
      </c>
      <c r="D66" s="154">
        <v>13213039.59</v>
      </c>
      <c r="E66" s="243">
        <f t="shared" si="1"/>
        <v>0.3512051350273776</v>
      </c>
      <c r="F66" s="154">
        <v>11168795.66</v>
      </c>
      <c r="G66" s="251">
        <f t="shared" si="2"/>
        <v>0.29686873797246294</v>
      </c>
      <c r="H66" s="206">
        <f t="shared" si="3"/>
        <v>2044243.9299999997</v>
      </c>
      <c r="I66" s="256">
        <f t="shared" si="4"/>
        <v>18.303172447869812</v>
      </c>
      <c r="J66" s="154">
        <v>103660236.12</v>
      </c>
      <c r="K66" s="243">
        <f t="shared" si="5"/>
        <v>2.8834558030598054</v>
      </c>
      <c r="L66" s="206">
        <f t="shared" si="7"/>
        <v>-90447196.530000001</v>
      </c>
      <c r="M66" s="256">
        <f t="shared" si="8"/>
        <v>-98.027938188725017</v>
      </c>
      <c r="BM66" s="159"/>
      <c r="BN66" s="159"/>
      <c r="BO66" s="143"/>
      <c r="BP66" s="143"/>
      <c r="BQ66" s="143"/>
      <c r="BR66" s="140"/>
    </row>
    <row r="67" spans="2:70" ht="13.5" customHeight="1" thickBot="1">
      <c r="B67" s="80">
        <v>4612</v>
      </c>
      <c r="C67" s="97" t="s">
        <v>455</v>
      </c>
      <c r="D67" s="154">
        <v>29934976.669999998</v>
      </c>
      <c r="E67" s="243">
        <f t="shared" si="1"/>
        <v>0.79567744059326984</v>
      </c>
      <c r="F67" s="154">
        <v>77293361.375</v>
      </c>
      <c r="G67" s="251">
        <f t="shared" si="2"/>
        <v>2.0544724197278188</v>
      </c>
      <c r="H67" s="206">
        <f t="shared" si="3"/>
        <v>-47358384.704999998</v>
      </c>
      <c r="I67" s="256">
        <f t="shared" si="4"/>
        <v>-61.270960225463476</v>
      </c>
      <c r="J67" s="154">
        <v>29562384.490000002</v>
      </c>
      <c r="K67" s="243">
        <f t="shared" si="5"/>
        <v>0.822319457301808</v>
      </c>
      <c r="L67" s="206">
        <f t="shared" si="7"/>
        <v>372592.17999999598</v>
      </c>
      <c r="M67" s="256">
        <f t="shared" si="8"/>
        <v>-260.19812177539268</v>
      </c>
      <c r="BM67" s="159"/>
      <c r="BN67" s="159"/>
      <c r="BO67" s="143"/>
      <c r="BP67" s="143"/>
      <c r="BQ67" s="143"/>
      <c r="BR67" s="140"/>
    </row>
    <row r="68" spans="2:70" ht="13.5" hidden="1" customHeight="1" thickBot="1">
      <c r="B68" s="80" t="s">
        <v>451</v>
      </c>
      <c r="C68" s="97" t="s">
        <v>449</v>
      </c>
      <c r="D68" s="154">
        <v>0</v>
      </c>
      <c r="E68" s="243">
        <f t="shared" si="1"/>
        <v>0</v>
      </c>
      <c r="F68" s="154">
        <v>0</v>
      </c>
      <c r="G68" s="251">
        <f t="shared" si="2"/>
        <v>0</v>
      </c>
      <c r="H68" s="206"/>
      <c r="I68" s="256"/>
      <c r="J68" s="154">
        <v>0</v>
      </c>
      <c r="K68" s="243"/>
      <c r="L68" s="206"/>
      <c r="M68" s="256" t="str">
        <f t="shared" si="8"/>
        <v>...</v>
      </c>
      <c r="BM68" s="159"/>
      <c r="BN68" s="159"/>
      <c r="BO68" s="143"/>
      <c r="BP68" s="143"/>
      <c r="BQ68" s="143"/>
      <c r="BR68" s="140"/>
    </row>
    <row r="69" spans="2:70" ht="13.5" customHeight="1" thickTop="1" thickBot="1">
      <c r="C69" s="90" t="s">
        <v>140</v>
      </c>
      <c r="D69" s="91">
        <f>+D63-D65</f>
        <v>-111695132.38</v>
      </c>
      <c r="E69" s="244">
        <f t="shared" si="1"/>
        <v>-2.9688781133379405</v>
      </c>
      <c r="F69" s="91">
        <f>+F63-F65</f>
        <v>-259257615.23556551</v>
      </c>
      <c r="G69" s="249">
        <f t="shared" si="2"/>
        <v>-6.8911173046506162</v>
      </c>
      <c r="H69" s="91">
        <f t="shared" ref="H69:H74" si="9">+D69-F69</f>
        <v>147562482.85556552</v>
      </c>
      <c r="I69" s="244">
        <f t="shared" ref="I69:I74" si="10">+IF(ISNUMBER(D69/F69*100-100),D69/F69*100-100,"...")</f>
        <v>-56.917318598910946</v>
      </c>
      <c r="J69" s="91">
        <f>+J63-J65</f>
        <v>-191710925.50000009</v>
      </c>
      <c r="K69" s="244">
        <f t="shared" ref="K69:K74" si="11">+J69/$J$11*100</f>
        <v>-5.3327100278164137</v>
      </c>
      <c r="L69" s="91">
        <f t="shared" si="7"/>
        <v>80015793.120000094</v>
      </c>
      <c r="M69" s="244">
        <f t="shared" si="8"/>
        <v>-176.97134760093024</v>
      </c>
      <c r="BM69" s="159"/>
      <c r="BN69" s="159"/>
      <c r="BO69" s="143"/>
      <c r="BP69" s="143"/>
      <c r="BQ69" s="143"/>
      <c r="BR69" s="140"/>
    </row>
    <row r="70" spans="2:70" ht="13.5" customHeight="1" thickTop="1" thickBot="1">
      <c r="C70" s="90" t="s">
        <v>120</v>
      </c>
      <c r="D70" s="91">
        <f>+SUM(D71:D74)</f>
        <v>111695132.38</v>
      </c>
      <c r="E70" s="244">
        <f t="shared" si="1"/>
        <v>2.9688781133379405</v>
      </c>
      <c r="F70" s="91">
        <f>+SUM(F71:F74)</f>
        <v>259257615.23556557</v>
      </c>
      <c r="G70" s="249">
        <f t="shared" si="2"/>
        <v>6.891117304650618</v>
      </c>
      <c r="H70" s="91">
        <f t="shared" si="9"/>
        <v>-147562482.85556558</v>
      </c>
      <c r="I70" s="244">
        <f t="shared" si="10"/>
        <v>-56.91731859891096</v>
      </c>
      <c r="J70" s="91">
        <f>+SUM(J71:J74)</f>
        <v>191710925.50000024</v>
      </c>
      <c r="K70" s="244">
        <f t="shared" si="11"/>
        <v>5.3327100278164181</v>
      </c>
      <c r="L70" s="91">
        <f>+SUM(L71:L74)</f>
        <v>-80015793.120000184</v>
      </c>
      <c r="M70" s="244">
        <f t="shared" si="8"/>
        <v>-176.97134760093024</v>
      </c>
      <c r="BM70" s="159"/>
      <c r="BN70" s="159"/>
      <c r="BO70" s="143"/>
      <c r="BP70" s="143"/>
      <c r="BQ70" s="143"/>
      <c r="BR70" s="140"/>
    </row>
    <row r="71" spans="2:70" ht="13.5" customHeight="1" thickTop="1">
      <c r="B71" s="80">
        <v>7511</v>
      </c>
      <c r="C71" s="97" t="s">
        <v>456</v>
      </c>
      <c r="D71" s="154">
        <v>15740000</v>
      </c>
      <c r="E71" s="243">
        <f t="shared" si="1"/>
        <v>0.41837222901493809</v>
      </c>
      <c r="F71" s="154">
        <v>2500000</v>
      </c>
      <c r="G71" s="251">
        <f t="shared" si="2"/>
        <v>6.6450481101483175E-2</v>
      </c>
      <c r="H71" s="206">
        <f t="shared" si="9"/>
        <v>13240000</v>
      </c>
      <c r="I71" s="256">
        <f t="shared" si="10"/>
        <v>529.6</v>
      </c>
      <c r="J71" s="154">
        <v>97533903.140000001</v>
      </c>
      <c r="K71" s="243">
        <f t="shared" si="11"/>
        <v>2.7130432027816411</v>
      </c>
      <c r="L71" s="206">
        <f t="shared" si="7"/>
        <v>-81793903.140000001</v>
      </c>
      <c r="M71" s="256">
        <f t="shared" si="8"/>
        <v>-86.425233099719875</v>
      </c>
      <c r="BM71" s="159"/>
      <c r="BN71" s="159"/>
      <c r="BO71" s="143"/>
      <c r="BP71" s="143"/>
      <c r="BQ71" s="143"/>
      <c r="BR71" s="140"/>
    </row>
    <row r="72" spans="2:70" ht="13.5" customHeight="1">
      <c r="B72" s="80">
        <v>7512</v>
      </c>
      <c r="C72" s="97" t="s">
        <v>457</v>
      </c>
      <c r="D72" s="154">
        <v>303370604.96000004</v>
      </c>
      <c r="E72" s="243">
        <f t="shared" si="1"/>
        <v>8.063649060656001</v>
      </c>
      <c r="F72" s="154">
        <v>164287268.26414001</v>
      </c>
      <c r="G72" s="251">
        <f t="shared" si="2"/>
        <v>4.3667872060002129</v>
      </c>
      <c r="H72" s="206">
        <f t="shared" si="9"/>
        <v>139083336.69586003</v>
      </c>
      <c r="I72" s="256">
        <f t="shared" si="10"/>
        <v>84.658621550784289</v>
      </c>
      <c r="J72" s="154">
        <v>501471146.82999998</v>
      </c>
      <c r="K72" s="243">
        <f t="shared" si="11"/>
        <v>13.949127867315717</v>
      </c>
      <c r="L72" s="206">
        <f t="shared" si="7"/>
        <v>-198100541.86999995</v>
      </c>
      <c r="M72" s="256">
        <f t="shared" si="8"/>
        <v>-72.264937359793976</v>
      </c>
      <c r="BM72" s="159"/>
      <c r="BN72" s="159"/>
      <c r="BO72" s="143"/>
      <c r="BP72" s="143"/>
      <c r="BQ72" s="143"/>
      <c r="BR72" s="140"/>
    </row>
    <row r="73" spans="2:70" ht="13.5" customHeight="1" thickBot="1">
      <c r="B73" s="80">
        <v>72</v>
      </c>
      <c r="C73" s="103" t="s">
        <v>401</v>
      </c>
      <c r="D73" s="154">
        <v>748711.19000000006</v>
      </c>
      <c r="E73" s="248">
        <f t="shared" si="1"/>
        <v>1.9900887512625594E-2</v>
      </c>
      <c r="F73" s="154">
        <v>0</v>
      </c>
      <c r="G73" s="254">
        <f t="shared" si="2"/>
        <v>0</v>
      </c>
      <c r="H73" s="206">
        <f t="shared" si="9"/>
        <v>748711.19000000006</v>
      </c>
      <c r="I73" s="256" t="str">
        <f t="shared" si="10"/>
        <v>...</v>
      </c>
      <c r="J73" s="154">
        <v>1178228.27</v>
      </c>
      <c r="K73" s="248">
        <f t="shared" si="11"/>
        <v>3.2774082614742697E-2</v>
      </c>
      <c r="L73" s="206">
        <f t="shared" si="7"/>
        <v>-429517.07999999996</v>
      </c>
      <c r="M73" s="256">
        <f t="shared" si="8"/>
        <v>-36.454487719939024</v>
      </c>
      <c r="BM73" s="159"/>
      <c r="BN73" s="159"/>
      <c r="BO73" s="143"/>
      <c r="BP73" s="143"/>
      <c r="BQ73" s="143"/>
      <c r="BR73" s="140"/>
    </row>
    <row r="74" spans="2:70" ht="13.5" customHeight="1" thickTop="1" thickBot="1">
      <c r="C74" s="146" t="s">
        <v>458</v>
      </c>
      <c r="D74" s="161">
        <v>-208164183.77000004</v>
      </c>
      <c r="E74" s="246">
        <f t="shared" si="1"/>
        <v>-5.5330440638456233</v>
      </c>
      <c r="F74" s="161">
        <v>92470346.971425563</v>
      </c>
      <c r="G74" s="252">
        <f t="shared" si="2"/>
        <v>2.4578796175489224</v>
      </c>
      <c r="H74" s="204">
        <f t="shared" si="9"/>
        <v>-300634530.74142563</v>
      </c>
      <c r="I74" s="261">
        <f t="shared" si="10"/>
        <v>-325.11452653500396</v>
      </c>
      <c r="J74" s="161">
        <v>-408472352.73999977</v>
      </c>
      <c r="K74" s="246">
        <f t="shared" si="11"/>
        <v>-11.362235124895683</v>
      </c>
      <c r="L74" s="211">
        <f t="shared" si="7"/>
        <v>200308168.96999973</v>
      </c>
      <c r="M74" s="261">
        <f t="shared" si="8"/>
        <v>-26.400274406629151</v>
      </c>
      <c r="BM74" s="159"/>
      <c r="BN74" s="159"/>
      <c r="BO74" s="143"/>
      <c r="BP74" s="143"/>
      <c r="BQ74" s="143"/>
      <c r="BR74" s="140"/>
    </row>
    <row r="75" spans="2:70" s="187" customFormat="1" ht="13.5" thickTop="1">
      <c r="C75" s="188" t="str">
        <f>IF([1]MasterSheet!$A$1=1,[1]MasterSheet!C151,[1]MasterSheet!B151)</f>
        <v>Izvor: Ministarstvo finansija Crne Gore</v>
      </c>
      <c r="D75" s="193"/>
      <c r="E75" s="193"/>
      <c r="F75" s="192"/>
      <c r="G75" s="193"/>
      <c r="H75" s="193"/>
      <c r="I75" s="193"/>
      <c r="J75" s="192"/>
      <c r="K75" s="193"/>
      <c r="L75" s="193"/>
      <c r="M75" s="193"/>
    </row>
    <row r="76" spans="2:70" s="187" customFormat="1">
      <c r="C76" s="190"/>
      <c r="D76" s="189"/>
      <c r="E76" s="189"/>
      <c r="F76" s="194"/>
      <c r="G76" s="189"/>
      <c r="H76" s="189"/>
      <c r="I76" s="189"/>
      <c r="J76" s="194"/>
      <c r="K76" s="197"/>
      <c r="L76" s="189"/>
      <c r="M76" s="189"/>
    </row>
    <row r="77" spans="2:70" s="187" customFormat="1">
      <c r="F77" s="189"/>
      <c r="G77" s="189"/>
      <c r="H77" s="189"/>
      <c r="I77" s="189"/>
      <c r="J77" s="189"/>
      <c r="K77" s="189"/>
      <c r="L77" s="189"/>
      <c r="M77" s="189"/>
    </row>
    <row r="78" spans="2:70" s="187" customFormat="1">
      <c r="C78" s="191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93"/>
  <sheetViews>
    <sheetView topLeftCell="B1" zoomScaleNormal="100" workbookViewId="0">
      <selection activeCell="J15" sqref="J15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9" t="str">
        <f>+'Cental Budget'!C11</f>
        <v>BDP (u mil. €)</v>
      </c>
      <c r="D11" s="321">
        <f>+'Cental Budget'!D11:G11</f>
        <v>3762200000</v>
      </c>
      <c r="E11" s="322"/>
      <c r="F11" s="322"/>
      <c r="G11" s="323"/>
      <c r="H11" s="316"/>
      <c r="I11" s="317"/>
      <c r="J11" s="318">
        <f>+'Cental Budget'!J11:K11</f>
        <v>3595000000</v>
      </c>
      <c r="K11" s="319" t="e">
        <f>+'Cental Budget'!#REF!</f>
        <v>#REF!</v>
      </c>
      <c r="L11" s="316"/>
      <c r="M11" s="320"/>
      <c r="N11" s="202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24"/>
      <c r="E13" s="324"/>
      <c r="F13" s="86"/>
      <c r="G13" s="86"/>
      <c r="H13" s="86"/>
      <c r="I13" s="86"/>
      <c r="J13" s="324"/>
      <c r="K13" s="324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25" t="s">
        <v>258</v>
      </c>
      <c r="D14" s="314" t="s">
        <v>470</v>
      </c>
      <c r="E14" s="315"/>
      <c r="F14" s="314" t="s">
        <v>461</v>
      </c>
      <c r="G14" s="315"/>
      <c r="H14" s="314" t="str">
        <f>+'Cental Budget'!H14:I14</f>
        <v>Odstupanje</v>
      </c>
      <c r="I14" s="315"/>
      <c r="J14" s="314" t="s">
        <v>471</v>
      </c>
      <c r="K14" s="315"/>
      <c r="L14" s="314" t="str">
        <f>+H14</f>
        <v>Odstupanje</v>
      </c>
      <c r="M14" s="315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26"/>
      <c r="D15" s="150" t="str">
        <f>IF(MasterSheet!$A$1=1,MasterSheet!C71,MasterSheet!C70)</f>
        <v>mil. €</v>
      </c>
      <c r="E15" s="157" t="str">
        <f>IF(MasterSheet!$A$1=1,MasterSheet!D71,MasterSheet!D70)</f>
        <v>% BDP</v>
      </c>
      <c r="F15" s="150" t="str">
        <f>IF(MasterSheet!$A$1=1,MasterSheet!E71,MasterSheet!E70)</f>
        <v>mil. €</v>
      </c>
      <c r="G15" s="157" t="str">
        <f>IF(MasterSheet!$A$1=1,MasterSheet!F71,MasterSheet!F70)</f>
        <v>% BDP</v>
      </c>
      <c r="H15" s="150" t="str">
        <f>IF(MasterSheet!$A$1=1,MasterSheet!G71,MasterSheet!G70)</f>
        <v>mil. €</v>
      </c>
      <c r="I15" s="157" t="s">
        <v>441</v>
      </c>
      <c r="J15" s="150" t="str">
        <f>IF(MasterSheet!$A$1=1,MasterSheet!I71,MasterSheet!I70)</f>
        <v>mil. €</v>
      </c>
      <c r="K15" s="157" t="str">
        <f>IF(MasterSheet!$A$1=1,MasterSheet!J71,MasterSheet!J70)</f>
        <v>% BDP</v>
      </c>
      <c r="L15" s="150" t="str">
        <f>IF(MasterSheet!$A$1=1,MasterSheet!K71,MasterSheet!K70)</f>
        <v>mil. €</v>
      </c>
      <c r="M15" s="15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51" t="str">
        <f>IF(MasterSheet!$A$1=1,MasterSheet!C72,MasterSheet!B72)</f>
        <v>Izvorni prihodi</v>
      </c>
      <c r="D16" s="212">
        <f>+D17+D21+D27+D33+D38+D39</f>
        <v>33640531.060000002</v>
      </c>
      <c r="E16" s="262">
        <f>+D16/$D$11*100</f>
        <v>0.89417178937855513</v>
      </c>
      <c r="F16" s="212">
        <f>+F17+F21+F27+F33+F38+F39</f>
        <v>29919245.9362</v>
      </c>
      <c r="G16" s="262">
        <f t="shared" ref="G16:G76" si="0">+F16/$D$11*100</f>
        <v>0.79525931466163413</v>
      </c>
      <c r="H16" s="212">
        <f>+D16-F16</f>
        <v>3721285.123800002</v>
      </c>
      <c r="I16" s="262">
        <f>+D16/F16*100-100</f>
        <v>12.437763744899513</v>
      </c>
      <c r="J16" s="212">
        <f>+J17+J21+J27+J33+J38+J39</f>
        <v>34039785.309999995</v>
      </c>
      <c r="K16" s="262">
        <f>+J16/$J$11*100</f>
        <v>0.94686468178025018</v>
      </c>
      <c r="L16" s="212">
        <f>+D16-J16</f>
        <v>-399254.24999999255</v>
      </c>
      <c r="M16" s="262">
        <f>+D16/J16*100-100</f>
        <v>-1.1729047241749271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2:81" ht="15" customHeight="1" thickTop="1">
      <c r="B17" s="80">
        <v>711</v>
      </c>
      <c r="C17" s="93" t="str">
        <f>IF(MasterSheet!$A$1=1,MasterSheet!C73,MasterSheet!B73)</f>
        <v>Porezi</v>
      </c>
      <c r="D17" s="213">
        <f>+SUM(D18:D20)</f>
        <v>20334096.740000002</v>
      </c>
      <c r="E17" s="263">
        <f t="shared" ref="E17:E76" si="1">+D17/$D$11*100</f>
        <v>0.54048420445484036</v>
      </c>
      <c r="F17" s="213">
        <f>+SUM(F18:F20)</f>
        <v>17516757.330400001</v>
      </c>
      <c r="G17" s="263">
        <f t="shared" si="0"/>
        <v>0.46559878077720485</v>
      </c>
      <c r="H17" s="214">
        <f t="shared" ref="H17:J76" si="2">+D17-F17</f>
        <v>2817339.4096000008</v>
      </c>
      <c r="I17" s="272">
        <f t="shared" ref="I17:I76" si="3">+D17/F17*100-100</f>
        <v>16.083681222840028</v>
      </c>
      <c r="J17" s="213">
        <f>+J18+J19+J20</f>
        <v>18590613.34</v>
      </c>
      <c r="K17" s="263">
        <f t="shared" ref="K17:K76" si="4">+J17/$J$11*100</f>
        <v>0.51712415410292079</v>
      </c>
      <c r="L17" s="214">
        <f t="shared" ref="L17:L76" si="5">+D17-J17</f>
        <v>1743483.4000000022</v>
      </c>
      <c r="M17" s="272">
        <f t="shared" ref="M17:M76" si="6">+D17/J17*100-100</f>
        <v>9.3782995112306651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2:81" ht="15" customHeight="1">
      <c r="B18" s="80">
        <v>7111</v>
      </c>
      <c r="C18" s="97" t="str">
        <f>IF(MasterSheet!$A$1=1,MasterSheet!C74,MasterSheet!B74)</f>
        <v>Porez na dohodak fizičkih lica</v>
      </c>
      <c r="D18" s="215">
        <v>7321053.9800000004</v>
      </c>
      <c r="E18" s="264">
        <f t="shared" si="1"/>
        <v>0.19459502365637127</v>
      </c>
      <c r="F18" s="215">
        <v>5596167.5307999998</v>
      </c>
      <c r="G18" s="264">
        <f t="shared" si="0"/>
        <v>0.14874720989846366</v>
      </c>
      <c r="H18" s="216">
        <f>+D18-F18</f>
        <v>1724886.4492000006</v>
      </c>
      <c r="I18" s="273">
        <f>+D18/F18*100-100</f>
        <v>30.822637808940271</v>
      </c>
      <c r="J18" s="215">
        <v>5433172.3600000003</v>
      </c>
      <c r="K18" s="264">
        <f t="shared" si="4"/>
        <v>0.15113135910987482</v>
      </c>
      <c r="L18" s="216">
        <f>+D18-J18</f>
        <v>1887881.62</v>
      </c>
      <c r="M18" s="273">
        <f>+D18/J18*100-100</f>
        <v>34.74731694320846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2:81" ht="15" customHeight="1">
      <c r="B19" s="80">
        <v>7113</v>
      </c>
      <c r="C19" s="97" t="str">
        <f>IF(MasterSheet!$A$1=1,MasterSheet!C76,MasterSheet!B76)</f>
        <v>Porez na promet nepokretnosti</v>
      </c>
      <c r="D19" s="215">
        <v>2420328.44</v>
      </c>
      <c r="E19" s="264">
        <f t="shared" si="1"/>
        <v>6.4332795704640899E-2</v>
      </c>
      <c r="F19" s="215">
        <v>2594518.7889999999</v>
      </c>
      <c r="G19" s="264">
        <f t="shared" si="0"/>
        <v>6.8962808702354994E-2</v>
      </c>
      <c r="H19" s="216">
        <f>+D19-F19</f>
        <v>-174190.34899999993</v>
      </c>
      <c r="I19" s="273">
        <f>+D19/F19*100-100</f>
        <v>-6.7137825225439087</v>
      </c>
      <c r="J19" s="215">
        <v>3033841.95</v>
      </c>
      <c r="K19" s="264">
        <f t="shared" si="4"/>
        <v>8.4390596662030595E-2</v>
      </c>
      <c r="L19" s="216">
        <f>+D19-J19</f>
        <v>-613513.51000000024</v>
      </c>
      <c r="M19" s="273">
        <f>+D19/J19*100-100</f>
        <v>-20.222329314155601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2:81" ht="15" customHeight="1">
      <c r="B20" s="80">
        <v>7117</v>
      </c>
      <c r="C20" s="97" t="s">
        <v>11</v>
      </c>
      <c r="D20" s="215">
        <v>10592714.32</v>
      </c>
      <c r="E20" s="264">
        <f t="shared" si="1"/>
        <v>0.28155638509382808</v>
      </c>
      <c r="F20" s="215">
        <v>9326071.0106000006</v>
      </c>
      <c r="G20" s="264">
        <f t="shared" si="0"/>
        <v>0.24788876217638617</v>
      </c>
      <c r="H20" s="216">
        <f>+D20-F20</f>
        <v>1266643.3093999997</v>
      </c>
      <c r="I20" s="273">
        <f>+D20/F20*100-100</f>
        <v>13.581746353425089</v>
      </c>
      <c r="J20" s="215">
        <v>10123599.029999999</v>
      </c>
      <c r="K20" s="264">
        <f t="shared" si="4"/>
        <v>0.28160219833101524</v>
      </c>
      <c r="L20" s="216">
        <f>+D20-J20</f>
        <v>469115.29000000097</v>
      </c>
      <c r="M20" s="273">
        <f>+D20/J20*100-100</f>
        <v>4.6338786098682618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2:81" ht="15" customHeight="1">
      <c r="B21" s="80">
        <v>713</v>
      </c>
      <c r="C21" s="93" t="str">
        <f>IF(MasterSheet!$A$1=1,MasterSheet!C86,MasterSheet!B86)</f>
        <v>Takse</v>
      </c>
      <c r="D21" s="94">
        <f>+D22+D25+D26</f>
        <v>1330062.43</v>
      </c>
      <c r="E21" s="242">
        <f t="shared" si="1"/>
        <v>3.5353315347403109E-2</v>
      </c>
      <c r="F21" s="94">
        <f>+F22+F25+F26</f>
        <v>1113525.9726000002</v>
      </c>
      <c r="G21" s="242">
        <f t="shared" si="0"/>
        <v>2.9597734639306792E-2</v>
      </c>
      <c r="H21" s="203">
        <f t="shared" si="2"/>
        <v>216536.45739999972</v>
      </c>
      <c r="I21" s="255">
        <f t="shared" si="3"/>
        <v>19.446017670733198</v>
      </c>
      <c r="J21" s="94">
        <f>+J22+J25+J26</f>
        <v>1091692.1300000001</v>
      </c>
      <c r="K21" s="245">
        <f t="shared" si="4"/>
        <v>3.0366957719054243E-2</v>
      </c>
      <c r="L21" s="203">
        <f t="shared" si="5"/>
        <v>238370.29999999981</v>
      </c>
      <c r="M21" s="255">
        <f t="shared" si="6"/>
        <v>21.83493802414786</v>
      </c>
      <c r="BY21" s="81"/>
      <c r="BZ21" s="81"/>
      <c r="CA21" s="81"/>
    </row>
    <row r="22" spans="2:81" ht="15" customHeight="1">
      <c r="B22" s="80">
        <v>7131</v>
      </c>
      <c r="C22" s="97" t="str">
        <f>IF(MasterSheet!$A$1=1,MasterSheet!C87,MasterSheet!B87)</f>
        <v>Administrativne takse</v>
      </c>
      <c r="D22" s="215">
        <v>235234.17</v>
      </c>
      <c r="E22" s="264">
        <f t="shared" si="1"/>
        <v>6.252569507203232E-3</v>
      </c>
      <c r="F22" s="215">
        <v>266246.14260000002</v>
      </c>
      <c r="G22" s="264">
        <f t="shared" si="0"/>
        <v>7.0768737068736378E-3</v>
      </c>
      <c r="H22" s="216">
        <f t="shared" si="2"/>
        <v>-31011.972600000008</v>
      </c>
      <c r="I22" s="273">
        <f t="shared" si="3"/>
        <v>-11.647857992290781</v>
      </c>
      <c r="J22" s="215">
        <v>261025.63</v>
      </c>
      <c r="K22" s="264">
        <f t="shared" si="4"/>
        <v>7.2607963838664811E-3</v>
      </c>
      <c r="L22" s="216">
        <f t="shared" si="5"/>
        <v>-25791.459999999992</v>
      </c>
      <c r="M22" s="273">
        <f t="shared" si="6"/>
        <v>-9.8808151521365915</v>
      </c>
      <c r="BY22" s="81"/>
      <c r="BZ22" s="81"/>
      <c r="CA22" s="81"/>
    </row>
    <row r="23" spans="2:81" ht="15" hidden="1" customHeight="1">
      <c r="B23" s="80">
        <v>7133</v>
      </c>
      <c r="C23" s="97" t="str">
        <f>IF(MasterSheet!$A$1=1,MasterSheet!C89,MasterSheet!B89)</f>
        <v>Boravišne takse</v>
      </c>
      <c r="D23" s="215">
        <v>261025.63</v>
      </c>
      <c r="E23" s="264">
        <f t="shared" si="1"/>
        <v>6.9381114773270957E-3</v>
      </c>
      <c r="F23" s="215">
        <v>820220.70900000003</v>
      </c>
      <c r="G23" s="264">
        <f t="shared" si="0"/>
        <v>2.1801624288979853E-2</v>
      </c>
      <c r="H23" s="216">
        <f t="shared" si="2"/>
        <v>-559195.07900000003</v>
      </c>
      <c r="I23" s="273">
        <f t="shared" si="3"/>
        <v>-68.176171713801494</v>
      </c>
      <c r="J23" s="215"/>
      <c r="K23" s="264">
        <f t="shared" si="4"/>
        <v>0</v>
      </c>
      <c r="L23" s="216">
        <f t="shared" si="5"/>
        <v>261025.63</v>
      </c>
      <c r="M23" s="273" t="e">
        <f t="shared" si="6"/>
        <v>#DIV/0!</v>
      </c>
      <c r="BY23" s="138"/>
      <c r="BZ23" s="138"/>
      <c r="CA23" s="138"/>
    </row>
    <row r="24" spans="2:81" ht="15" hidden="1" customHeight="1">
      <c r="B24" s="80">
        <v>7134</v>
      </c>
      <c r="C24" s="97" t="s">
        <v>434</v>
      </c>
      <c r="D24" s="215">
        <v>261025.63</v>
      </c>
      <c r="E24" s="264">
        <f t="shared" si="1"/>
        <v>6.9381114773270957E-3</v>
      </c>
      <c r="F24" s="215">
        <v>27059.120999999999</v>
      </c>
      <c r="G24" s="264">
        <f t="shared" si="0"/>
        <v>7.1923664345329861E-4</v>
      </c>
      <c r="H24" s="216">
        <f t="shared" si="2"/>
        <v>233966.50900000002</v>
      </c>
      <c r="I24" s="273">
        <f t="shared" si="3"/>
        <v>864.6493321050599</v>
      </c>
      <c r="J24" s="215"/>
      <c r="K24" s="264">
        <f t="shared" si="4"/>
        <v>0</v>
      </c>
      <c r="L24" s="216">
        <f t="shared" si="5"/>
        <v>261025.63</v>
      </c>
      <c r="M24" s="273" t="e">
        <f t="shared" si="6"/>
        <v>#DIV/0!</v>
      </c>
      <c r="BY24" s="138"/>
      <c r="BZ24" s="138"/>
      <c r="CA24" s="138"/>
    </row>
    <row r="25" spans="2:81" ht="15" customHeight="1">
      <c r="B25" s="80">
        <v>7135</v>
      </c>
      <c r="C25" s="97" t="s">
        <v>36</v>
      </c>
      <c r="D25" s="215">
        <v>1070918.67</v>
      </c>
      <c r="E25" s="264">
        <f t="shared" si="1"/>
        <v>2.8465224336824198E-2</v>
      </c>
      <c r="F25" s="215">
        <v>820220.70900000003</v>
      </c>
      <c r="G25" s="264">
        <f t="shared" si="0"/>
        <v>2.1801624288979853E-2</v>
      </c>
      <c r="H25" s="216">
        <f t="shared" si="2"/>
        <v>250697.96099999989</v>
      </c>
      <c r="I25" s="273">
        <f t="shared" si="3"/>
        <v>30.564695361769964</v>
      </c>
      <c r="J25" s="215">
        <v>804137.95</v>
      </c>
      <c r="K25" s="264">
        <f t="shared" si="4"/>
        <v>2.236823226703755E-2</v>
      </c>
      <c r="L25" s="216">
        <f t="shared" si="5"/>
        <v>266780.71999999997</v>
      </c>
      <c r="M25" s="273">
        <f t="shared" si="6"/>
        <v>33.175989269005413</v>
      </c>
      <c r="BY25" s="138"/>
      <c r="BZ25" s="138"/>
      <c r="CA25" s="138"/>
    </row>
    <row r="26" spans="2:81" ht="15" customHeight="1">
      <c r="B26" s="80">
        <v>7136</v>
      </c>
      <c r="C26" s="97" t="s">
        <v>37</v>
      </c>
      <c r="D26" s="215">
        <v>23909.59</v>
      </c>
      <c r="E26" s="264">
        <f t="shared" si="1"/>
        <v>6.3552150337568445E-4</v>
      </c>
      <c r="F26" s="215">
        <v>27059.120999999999</v>
      </c>
      <c r="G26" s="264">
        <f t="shared" si="0"/>
        <v>7.1923664345329861E-4</v>
      </c>
      <c r="H26" s="216">
        <f t="shared" si="2"/>
        <v>-3149.530999999999</v>
      </c>
      <c r="I26" s="273">
        <f t="shared" si="3"/>
        <v>-11.639443128991516</v>
      </c>
      <c r="J26" s="215">
        <v>26528.55</v>
      </c>
      <c r="K26" s="264">
        <f t="shared" si="4"/>
        <v>7.3792906815020858E-4</v>
      </c>
      <c r="L26" s="216">
        <f t="shared" si="5"/>
        <v>-2618.9599999999991</v>
      </c>
      <c r="M26" s="273">
        <f t="shared" si="6"/>
        <v>-9.8722319915713399</v>
      </c>
      <c r="BY26" s="138"/>
      <c r="BZ26" s="138"/>
      <c r="CA26" s="138"/>
    </row>
    <row r="27" spans="2:81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8581113.2199999988</v>
      </c>
      <c r="E27" s="242">
        <f t="shared" si="1"/>
        <v>0.22808764074211896</v>
      </c>
      <c r="F27" s="94">
        <f>+SUM(F28:F32)</f>
        <v>8503357.0421999991</v>
      </c>
      <c r="G27" s="242">
        <f t="shared" si="0"/>
        <v>0.22602086657274997</v>
      </c>
      <c r="H27" s="203">
        <f t="shared" si="2"/>
        <v>77756.177799999714</v>
      </c>
      <c r="I27" s="255">
        <f t="shared" si="3"/>
        <v>0.91441741672278454</v>
      </c>
      <c r="J27" s="94">
        <f>+SUM(J28:J32)</f>
        <v>11080423.16</v>
      </c>
      <c r="K27" s="245">
        <f t="shared" si="4"/>
        <v>0.30821761223922117</v>
      </c>
      <c r="L27" s="203">
        <f t="shared" si="5"/>
        <v>-2499309.9400000013</v>
      </c>
      <c r="M27" s="255">
        <f t="shared" si="6"/>
        <v>-22.556087469857971</v>
      </c>
      <c r="BY27" s="138"/>
      <c r="BZ27" s="138"/>
      <c r="CA27" s="138"/>
    </row>
    <row r="28" spans="2:81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17">
        <v>178155.49</v>
      </c>
      <c r="E28" s="265">
        <f t="shared" si="1"/>
        <v>4.7354072085481896E-3</v>
      </c>
      <c r="F28" s="217">
        <v>164193.10260000004</v>
      </c>
      <c r="G28" s="265">
        <f t="shared" si="0"/>
        <v>4.3642842645260768E-3</v>
      </c>
      <c r="H28" s="218">
        <f t="shared" si="2"/>
        <v>13962.387399999949</v>
      </c>
      <c r="I28" s="274">
        <f t="shared" si="3"/>
        <v>8.5036382033747913</v>
      </c>
      <c r="J28" s="217">
        <v>160973.63</v>
      </c>
      <c r="K28" s="265">
        <f t="shared" si="4"/>
        <v>4.4777087621696802E-3</v>
      </c>
      <c r="L28" s="218">
        <f t="shared" si="5"/>
        <v>17181.859999999986</v>
      </c>
      <c r="M28" s="274">
        <f t="shared" si="6"/>
        <v>10.67371096744229</v>
      </c>
      <c r="BY28" s="138"/>
      <c r="BZ28" s="138"/>
      <c r="CA28" s="138"/>
    </row>
    <row r="29" spans="2:81" ht="15" customHeight="1">
      <c r="B29" s="80">
        <v>7142</v>
      </c>
      <c r="C29" s="97" t="str">
        <f>IF(MasterSheet!$A$1=1,MasterSheet!C93,MasterSheet!B93)</f>
        <v>Naknade za korišćenje prirodnih dobara</v>
      </c>
      <c r="D29" s="219">
        <v>1460291.26</v>
      </c>
      <c r="E29" s="243">
        <f t="shared" si="1"/>
        <v>3.8814822710116423E-2</v>
      </c>
      <c r="F29" s="154">
        <v>1249942.9452</v>
      </c>
      <c r="G29" s="243">
        <f t="shared" si="0"/>
        <v>3.3223724023177928E-2</v>
      </c>
      <c r="H29" s="220">
        <f t="shared" si="2"/>
        <v>210348.31480000005</v>
      </c>
      <c r="I29" s="256">
        <f t="shared" si="3"/>
        <v>16.828633307446111</v>
      </c>
      <c r="J29" s="154">
        <v>1225434.26</v>
      </c>
      <c r="K29" s="292">
        <f t="shared" si="4"/>
        <v>3.4087183866481227E-2</v>
      </c>
      <c r="L29" s="220">
        <f t="shared" si="5"/>
        <v>234857</v>
      </c>
      <c r="M29" s="256">
        <f t="shared" si="6"/>
        <v>19.165205973595036</v>
      </c>
      <c r="BY29" s="138"/>
      <c r="BZ29" s="138"/>
      <c r="CA29" s="138"/>
    </row>
    <row r="30" spans="2:81" ht="15" customHeight="1">
      <c r="B30" s="80">
        <v>7146</v>
      </c>
      <c r="C30" s="97" t="s">
        <v>445</v>
      </c>
      <c r="D30" s="217">
        <v>6029935.3499999996</v>
      </c>
      <c r="E30" s="243">
        <f t="shared" si="1"/>
        <v>0.16027684200733611</v>
      </c>
      <c r="F30" s="217">
        <v>6000000</v>
      </c>
      <c r="G30" s="243">
        <f t="shared" si="0"/>
        <v>0.15948115464355961</v>
      </c>
      <c r="H30" s="218">
        <f t="shared" si="2"/>
        <v>29935.349999999627</v>
      </c>
      <c r="I30" s="256">
        <f t="shared" si="3"/>
        <v>0.49892249999999194</v>
      </c>
      <c r="J30" s="217">
        <v>8626151.5500000007</v>
      </c>
      <c r="K30" s="292">
        <f t="shared" si="4"/>
        <v>0.23994858275382477</v>
      </c>
      <c r="L30" s="218">
        <f t="shared" si="5"/>
        <v>-2596216.2000000011</v>
      </c>
      <c r="M30" s="256">
        <f t="shared" si="6"/>
        <v>-30.097039044021912</v>
      </c>
      <c r="BY30" s="138"/>
      <c r="BZ30" s="138"/>
      <c r="CA30" s="138"/>
    </row>
    <row r="31" spans="2:81" ht="25.5">
      <c r="B31" s="156">
        <v>7147</v>
      </c>
      <c r="C31" s="155" t="s">
        <v>435</v>
      </c>
      <c r="D31" s="217">
        <v>556579.93000000005</v>
      </c>
      <c r="E31" s="243">
        <f t="shared" si="1"/>
        <v>1.4794001647971934E-2</v>
      </c>
      <c r="F31" s="217">
        <v>442751.7672</v>
      </c>
      <c r="G31" s="243">
        <f t="shared" si="0"/>
        <v>1.1768427175588752E-2</v>
      </c>
      <c r="H31" s="218">
        <f t="shared" si="2"/>
        <v>113828.16280000005</v>
      </c>
      <c r="I31" s="256">
        <f t="shared" si="3"/>
        <v>25.709250924024346</v>
      </c>
      <c r="J31" s="217">
        <v>434070.36</v>
      </c>
      <c r="K31" s="292">
        <f t="shared" si="4"/>
        <v>1.2074279833101529E-2</v>
      </c>
      <c r="L31" s="220">
        <f t="shared" si="5"/>
        <v>122509.57000000007</v>
      </c>
      <c r="M31" s="256">
        <f t="shared" si="6"/>
        <v>28.223435942504835</v>
      </c>
      <c r="BY31" s="138"/>
      <c r="BZ31" s="138"/>
      <c r="CA31" s="138"/>
    </row>
    <row r="32" spans="2:81" ht="15" customHeight="1">
      <c r="B32" s="80">
        <v>7149</v>
      </c>
      <c r="C32" s="97" t="str">
        <f>IF(MasterSheet!$A$1=1,MasterSheet!C97,MasterSheet!B97)</f>
        <v>Ostale naknade</v>
      </c>
      <c r="D32" s="215">
        <v>356151.19</v>
      </c>
      <c r="E32" s="264">
        <f t="shared" si="1"/>
        <v>9.4665671681462976E-3</v>
      </c>
      <c r="F32" s="215">
        <v>646469.22720000008</v>
      </c>
      <c r="G32" s="264">
        <f t="shared" si="0"/>
        <v>1.7183276465897616E-2</v>
      </c>
      <c r="H32" s="216">
        <f t="shared" si="2"/>
        <v>-290318.03720000008</v>
      </c>
      <c r="I32" s="273">
        <f t="shared" si="3"/>
        <v>-44.908253167352008</v>
      </c>
      <c r="J32" s="215">
        <v>633793.3600000001</v>
      </c>
      <c r="K32" s="264">
        <f t="shared" si="4"/>
        <v>1.7629857023643954E-2</v>
      </c>
      <c r="L32" s="216">
        <f t="shared" si="5"/>
        <v>-277642.1700000001</v>
      </c>
      <c r="M32" s="273">
        <f t="shared" si="6"/>
        <v>-43.806418230699052</v>
      </c>
      <c r="BY32" s="81"/>
      <c r="BZ32" s="81"/>
      <c r="CA32" s="81"/>
      <c r="CB32" s="81"/>
      <c r="CC32" s="81"/>
    </row>
    <row r="33" spans="1:82" ht="15" customHeight="1">
      <c r="B33" s="80">
        <v>715</v>
      </c>
      <c r="C33" s="93" t="str">
        <f>IF(MasterSheet!$A$1=1,MasterSheet!C98,MasterSheet!B98)</f>
        <v>Ostali prihodi</v>
      </c>
      <c r="D33" s="221">
        <f>+SUM(D34:D37)</f>
        <v>1731202.6199999999</v>
      </c>
      <c r="E33" s="266">
        <f t="shared" si="1"/>
        <v>4.6015698793259258E-2</v>
      </c>
      <c r="F33" s="221">
        <f>+SUM(F34:F37)</f>
        <v>2120350.9456000002</v>
      </c>
      <c r="G33" s="266">
        <f t="shared" si="0"/>
        <v>5.6359336175641914E-2</v>
      </c>
      <c r="H33" s="222">
        <f t="shared" si="2"/>
        <v>-389148.32560000033</v>
      </c>
      <c r="I33" s="275">
        <f t="shared" si="3"/>
        <v>-18.353014929322569</v>
      </c>
      <c r="J33" s="221">
        <f>+SUM(J34:J37)</f>
        <v>2603283.91</v>
      </c>
      <c r="K33" s="266">
        <f t="shared" si="4"/>
        <v>7.2414016968011127E-2</v>
      </c>
      <c r="L33" s="222">
        <f t="shared" si="5"/>
        <v>-872081.29000000027</v>
      </c>
      <c r="M33" s="275">
        <f t="shared" si="6"/>
        <v>-33.499277072703165</v>
      </c>
      <c r="BY33" s="81"/>
      <c r="BZ33" s="81"/>
      <c r="CA33" s="81"/>
      <c r="CB33" s="81"/>
      <c r="CC33" s="81"/>
    </row>
    <row r="34" spans="1:82" ht="15" customHeight="1">
      <c r="B34" s="80">
        <v>7151</v>
      </c>
      <c r="C34" s="97" t="str">
        <f>IF(MasterSheet!$A$1=1,MasterSheet!C99,MasterSheet!B99)</f>
        <v>Prihodi od kapitala</v>
      </c>
      <c r="D34" s="215">
        <v>423681.05</v>
      </c>
      <c r="E34" s="264">
        <f t="shared" si="1"/>
        <v>1.1261523842432619E-2</v>
      </c>
      <c r="F34" s="215">
        <v>463619.46780000004</v>
      </c>
      <c r="G34" s="264">
        <f t="shared" si="0"/>
        <v>1.2323094673329435E-2</v>
      </c>
      <c r="H34" s="216">
        <f t="shared" si="2"/>
        <v>-39938.417800000054</v>
      </c>
      <c r="I34" s="273">
        <f t="shared" si="3"/>
        <v>-8.6144824740683816</v>
      </c>
      <c r="J34" s="215">
        <v>454528.89</v>
      </c>
      <c r="K34" s="264">
        <f t="shared" si="4"/>
        <v>1.2643362726008345E-2</v>
      </c>
      <c r="L34" s="216">
        <f t="shared" si="5"/>
        <v>-30847.840000000026</v>
      </c>
      <c r="M34" s="273">
        <f t="shared" si="6"/>
        <v>-6.7867721235497385</v>
      </c>
      <c r="BY34" s="139"/>
      <c r="BZ34" s="139"/>
      <c r="CA34" s="139"/>
      <c r="CB34" s="139"/>
      <c r="CC34" s="139"/>
      <c r="CD34" s="140"/>
    </row>
    <row r="35" spans="1:82" ht="15" customHeight="1">
      <c r="B35" s="80">
        <v>7152</v>
      </c>
      <c r="C35" s="97" t="str">
        <f>IF(MasterSheet!$A$1=1,MasterSheet!C100,MasterSheet!B100)</f>
        <v>Novčane kazne i oduzete imovinske koristi</v>
      </c>
      <c r="D35" s="215">
        <v>77335.66</v>
      </c>
      <c r="E35" s="264">
        <f t="shared" si="1"/>
        <v>2.0555967253202911E-3</v>
      </c>
      <c r="F35" s="215">
        <v>115152.23699999999</v>
      </c>
      <c r="G35" s="264">
        <f t="shared" si="0"/>
        <v>3.0607686194248042E-3</v>
      </c>
      <c r="H35" s="216">
        <f t="shared" si="2"/>
        <v>-37816.57699999999</v>
      </c>
      <c r="I35" s="273">
        <f t="shared" si="3"/>
        <v>-32.840505738503367</v>
      </c>
      <c r="J35" s="215">
        <v>112894.34999999999</v>
      </c>
      <c r="K35" s="264">
        <f t="shared" si="4"/>
        <v>3.1403157162726006E-3</v>
      </c>
      <c r="L35" s="216">
        <f t="shared" si="5"/>
        <v>-35558.689999999988</v>
      </c>
      <c r="M35" s="273">
        <f t="shared" si="6"/>
        <v>-31.497315853273435</v>
      </c>
      <c r="BY35" s="139"/>
      <c r="BZ35" s="139"/>
      <c r="CA35" s="141"/>
      <c r="CB35" s="141"/>
      <c r="CC35" s="142"/>
      <c r="CD35" s="140"/>
    </row>
    <row r="36" spans="1:82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15">
        <v>369042.66</v>
      </c>
      <c r="E36" s="264">
        <f t="shared" si="1"/>
        <v>9.8092249215884324E-3</v>
      </c>
      <c r="F36" s="215">
        <v>541579.24079999991</v>
      </c>
      <c r="G36" s="264">
        <f t="shared" si="0"/>
        <v>1.4395280442294401E-2</v>
      </c>
      <c r="H36" s="216">
        <f t="shared" si="2"/>
        <v>-172536.58079999994</v>
      </c>
      <c r="I36" s="273">
        <f t="shared" si="3"/>
        <v>-31.85804916472344</v>
      </c>
      <c r="J36" s="215">
        <v>530960.03999999992</v>
      </c>
      <c r="K36" s="264">
        <f t="shared" si="4"/>
        <v>1.4769403059805283E-2</v>
      </c>
      <c r="L36" s="216">
        <f t="shared" si="5"/>
        <v>-161917.37999999995</v>
      </c>
      <c r="M36" s="273">
        <f t="shared" si="6"/>
        <v>-30.495210148017918</v>
      </c>
      <c r="BY36" s="81"/>
      <c r="BZ36" s="81"/>
      <c r="CA36" s="143"/>
      <c r="CB36" s="143"/>
      <c r="CC36" s="143"/>
      <c r="CD36" s="140"/>
    </row>
    <row r="37" spans="1:82" ht="15" customHeight="1">
      <c r="B37" s="80">
        <v>7154</v>
      </c>
      <c r="C37" s="97" t="str">
        <f>IF(MasterSheet!$A$1=1,MasterSheet!C102,MasterSheet!B102)</f>
        <v>Ostali prihodi</v>
      </c>
      <c r="D37" s="215">
        <v>861143.25</v>
      </c>
      <c r="E37" s="264">
        <f t="shared" si="1"/>
        <v>2.288935330391792E-2</v>
      </c>
      <c r="F37" s="215">
        <v>1000000</v>
      </c>
      <c r="G37" s="264">
        <f t="shared" si="0"/>
        <v>2.6580192440593269E-2</v>
      </c>
      <c r="H37" s="216">
        <f t="shared" si="2"/>
        <v>-138856.75</v>
      </c>
      <c r="I37" s="273">
        <f t="shared" si="3"/>
        <v>-13.885674999999992</v>
      </c>
      <c r="J37" s="215">
        <v>1504900.6300000006</v>
      </c>
      <c r="K37" s="264">
        <f t="shared" si="4"/>
        <v>4.1860935465924912E-2</v>
      </c>
      <c r="L37" s="216">
        <f t="shared" si="5"/>
        <v>-643757.38000000059</v>
      </c>
      <c r="M37" s="273">
        <f t="shared" si="6"/>
        <v>-42.777401189605477</v>
      </c>
      <c r="BX37" s="100"/>
      <c r="BY37" s="100"/>
      <c r="BZ37" s="99"/>
      <c r="CA37" s="143"/>
      <c r="CB37" s="143"/>
      <c r="CC37" s="143"/>
      <c r="CD37" s="140"/>
    </row>
    <row r="38" spans="1:82">
      <c r="B38" s="80">
        <v>73</v>
      </c>
      <c r="C38" s="101" t="str">
        <f>IF(MasterSheet!$A$1=1,MasterSheet!C103,MasterSheet!B103)</f>
        <v xml:space="preserve">Primici od otplate kredita </v>
      </c>
      <c r="D38" s="221">
        <v>46059.5</v>
      </c>
      <c r="E38" s="266">
        <f t="shared" si="1"/>
        <v>1.2242703737175057E-3</v>
      </c>
      <c r="F38" s="221">
        <v>0</v>
      </c>
      <c r="G38" s="266">
        <f t="shared" si="0"/>
        <v>0</v>
      </c>
      <c r="H38" s="222">
        <f t="shared" si="2"/>
        <v>46059.5</v>
      </c>
      <c r="I38" s="273" t="e">
        <f t="shared" si="3"/>
        <v>#DIV/0!</v>
      </c>
      <c r="J38" s="221">
        <v>21562.33</v>
      </c>
      <c r="K38" s="266">
        <f t="shared" si="4"/>
        <v>5.9978664812239228E-4</v>
      </c>
      <c r="L38" s="222">
        <f t="shared" si="5"/>
        <v>24497.17</v>
      </c>
      <c r="M38" s="275">
        <f t="shared" si="6"/>
        <v>113.61095948350663</v>
      </c>
      <c r="BX38" s="100"/>
      <c r="BY38" s="100"/>
      <c r="BZ38" s="99"/>
      <c r="CA38" s="143"/>
      <c r="CB38" s="143"/>
      <c r="CC38" s="143"/>
      <c r="CD38" s="140"/>
    </row>
    <row r="39" spans="1:82" ht="13.5" customHeight="1" thickBot="1">
      <c r="B39" s="80">
        <v>74</v>
      </c>
      <c r="C39" s="93" t="s">
        <v>122</v>
      </c>
      <c r="D39" s="221">
        <f>1419034.5+198962.05</f>
        <v>1617996.55</v>
      </c>
      <c r="E39" s="266">
        <f t="shared" si="1"/>
        <v>4.3006659667215993E-2</v>
      </c>
      <c r="F39" s="221">
        <f>479996.9754+185257.67</f>
        <v>665254.64540000004</v>
      </c>
      <c r="G39" s="266">
        <f t="shared" si="0"/>
        <v>1.7682596496730638E-2</v>
      </c>
      <c r="H39" s="222">
        <f t="shared" si="2"/>
        <v>952741.90460000001</v>
      </c>
      <c r="I39" s="275">
        <f t="shared" si="3"/>
        <v>143.21461882120965</v>
      </c>
      <c r="J39" s="221">
        <f>470585.27+181625.17</f>
        <v>652210.44000000006</v>
      </c>
      <c r="K39" s="266">
        <f t="shared" si="4"/>
        <v>1.8142154102920725E-2</v>
      </c>
      <c r="L39" s="222">
        <f t="shared" si="5"/>
        <v>965786.11</v>
      </c>
      <c r="M39" s="275">
        <f t="shared" si="6"/>
        <v>148.07890992974598</v>
      </c>
      <c r="BY39" s="144"/>
      <c r="BZ39" s="144"/>
      <c r="CA39" s="143"/>
      <c r="CB39" s="143"/>
      <c r="CC39" s="143"/>
      <c r="CD39" s="140"/>
    </row>
    <row r="40" spans="1:82" ht="15" customHeight="1" thickTop="1" thickBot="1">
      <c r="B40" s="102"/>
      <c r="C40" s="151" t="str">
        <f>IF(MasterSheet!$A$1=1,MasterSheet!C104,MasterSheet!B104)</f>
        <v>Izdaci</v>
      </c>
      <c r="D40" s="223">
        <f>+D42+D52+D55+D58+D59+D60+D61+D62+D63</f>
        <v>41854469.130000003</v>
      </c>
      <c r="E40" s="267">
        <f t="shared" si="1"/>
        <v>1.1124998439742704</v>
      </c>
      <c r="F40" s="223">
        <f>+F42+F52+F55+F58+F59+F60+F61+F62+F63</f>
        <v>36114212.103</v>
      </c>
      <c r="G40" s="267">
        <f t="shared" si="0"/>
        <v>0.95992270753814246</v>
      </c>
      <c r="H40" s="223">
        <f t="shared" si="2"/>
        <v>5740257.0270000026</v>
      </c>
      <c r="I40" s="267">
        <f t="shared" si="3"/>
        <v>15.894731444309045</v>
      </c>
      <c r="J40" s="223">
        <f>+J42+J52+J55+J58+J59+J60+J61+J62+J63</f>
        <v>34695684.790000007</v>
      </c>
      <c r="K40" s="293">
        <f t="shared" si="4"/>
        <v>0.96510945173852591</v>
      </c>
      <c r="L40" s="223">
        <f t="shared" si="5"/>
        <v>7158784.3399999961</v>
      </c>
      <c r="M40" s="267">
        <f t="shared" si="6"/>
        <v>20.63306830036484</v>
      </c>
      <c r="BY40" s="81"/>
      <c r="BZ40" s="81"/>
      <c r="CA40" s="143"/>
      <c r="CB40" s="143"/>
      <c r="CC40" s="143"/>
      <c r="CD40" s="140"/>
    </row>
    <row r="41" spans="1:82" ht="13.5" customHeight="1" thickTop="1" thickBot="1">
      <c r="C41" s="151" t="str">
        <f>IF(MasterSheet!$A$1=1,MasterSheet!C105,MasterSheet!B105)</f>
        <v>Tekuća budžetska potrošnja</v>
      </c>
      <c r="D41" s="223">
        <f>+D40-D58</f>
        <v>36305701.75</v>
      </c>
      <c r="E41" s="267">
        <f t="shared" si="1"/>
        <v>0.96501253920578378</v>
      </c>
      <c r="F41" s="223">
        <f>+F40-F58</f>
        <v>29796535.2564</v>
      </c>
      <c r="G41" s="267">
        <f t="shared" si="0"/>
        <v>0.79199764117803406</v>
      </c>
      <c r="H41" s="223">
        <f t="shared" si="2"/>
        <v>6509166.4935999997</v>
      </c>
      <c r="I41" s="267">
        <f t="shared" si="3"/>
        <v>21.845380469871571</v>
      </c>
      <c r="J41" s="223">
        <f>+J40-J58</f>
        <v>28501883.960000008</v>
      </c>
      <c r="K41" s="293">
        <f t="shared" si="4"/>
        <v>0.79282013796940221</v>
      </c>
      <c r="L41" s="223">
        <f t="shared" si="5"/>
        <v>7803817.7899999917</v>
      </c>
      <c r="M41" s="267">
        <f t="shared" si="6"/>
        <v>27.38000688288534</v>
      </c>
      <c r="BY41" s="144"/>
      <c r="BZ41" s="144"/>
      <c r="CA41" s="143"/>
      <c r="CB41" s="143"/>
      <c r="CC41" s="143"/>
      <c r="CD41" s="140"/>
    </row>
    <row r="42" spans="1:82" ht="13.5" customHeight="1" thickTop="1">
      <c r="A42" s="80">
        <v>41</v>
      </c>
      <c r="C42" s="93" t="str">
        <f>+'Cental Budget'!C37</f>
        <v>Tekući izdaci</v>
      </c>
      <c r="D42" s="94">
        <f>+SUM(D43:D51)</f>
        <v>13497671.569999998</v>
      </c>
      <c r="E42" s="242">
        <f t="shared" si="1"/>
        <v>0.35877070783052467</v>
      </c>
      <c r="F42" s="94">
        <f>+SUM(F43:F51)</f>
        <v>11383300.476600002</v>
      </c>
      <c r="G42" s="242">
        <f t="shared" si="0"/>
        <v>0.30257031727712513</v>
      </c>
      <c r="H42" s="203">
        <f t="shared" si="2"/>
        <v>2114371.0933999959</v>
      </c>
      <c r="I42" s="255">
        <f t="shared" si="3"/>
        <v>18.574323832937438</v>
      </c>
      <c r="J42" s="94">
        <f>+SUM(J43:J51)</f>
        <v>10446229.980000002</v>
      </c>
      <c r="K42" s="245">
        <f t="shared" si="4"/>
        <v>0.29057663365785819</v>
      </c>
      <c r="L42" s="203">
        <f t="shared" si="5"/>
        <v>3051441.5899999961</v>
      </c>
      <c r="M42" s="255">
        <f t="shared" si="6"/>
        <v>29.210936345860489</v>
      </c>
      <c r="BY42" s="144"/>
      <c r="BZ42" s="144"/>
      <c r="CA42" s="143"/>
      <c r="CB42" s="143"/>
      <c r="CC42" s="143"/>
      <c r="CD42" s="140"/>
    </row>
    <row r="43" spans="1:82" ht="13.5" customHeight="1">
      <c r="B43" s="80">
        <v>411</v>
      </c>
      <c r="C43" s="93" t="str">
        <f>+'Cental Budget'!C38</f>
        <v>Bruto zarade i doprinosi na teret poslodavca</v>
      </c>
      <c r="D43" s="221">
        <v>7018408.5099999998</v>
      </c>
      <c r="E43" s="266">
        <f t="shared" si="1"/>
        <v>0.18655064882249747</v>
      </c>
      <c r="F43" s="221">
        <v>6204487.5499999998</v>
      </c>
      <c r="G43" s="266">
        <f t="shared" si="0"/>
        <v>0.16491647307426505</v>
      </c>
      <c r="H43" s="222">
        <f t="shared" si="2"/>
        <v>813920.96</v>
      </c>
      <c r="I43" s="275">
        <f t="shared" si="3"/>
        <v>13.1182624421577</v>
      </c>
      <c r="J43" s="221">
        <v>5886752.5</v>
      </c>
      <c r="K43" s="266">
        <f t="shared" si="4"/>
        <v>0.16374833101529901</v>
      </c>
      <c r="L43" s="222">
        <f t="shared" si="5"/>
        <v>1131656.0099999998</v>
      </c>
      <c r="M43" s="275">
        <f t="shared" si="6"/>
        <v>19.22377422866002</v>
      </c>
      <c r="BY43" s="144"/>
      <c r="BZ43" s="144"/>
      <c r="CA43" s="143"/>
      <c r="CB43" s="143"/>
      <c r="CC43" s="143"/>
      <c r="CD43" s="140"/>
    </row>
    <row r="44" spans="1:82" ht="13.5" customHeight="1">
      <c r="B44" s="80">
        <v>412</v>
      </c>
      <c r="C44" s="93" t="str">
        <f>+'Cental Budget'!C39</f>
        <v>Ostala lična primanja</v>
      </c>
      <c r="D44" s="221">
        <v>1640216.72</v>
      </c>
      <c r="E44" s="266">
        <f t="shared" si="1"/>
        <v>4.3597276061878687E-2</v>
      </c>
      <c r="F44" s="221">
        <v>1200000</v>
      </c>
      <c r="G44" s="266">
        <f t="shared" si="0"/>
        <v>3.1896230928711924E-2</v>
      </c>
      <c r="H44" s="222">
        <f t="shared" si="2"/>
        <v>440216.72</v>
      </c>
      <c r="I44" s="275">
        <f t="shared" si="3"/>
        <v>36.684726666666677</v>
      </c>
      <c r="J44" s="221">
        <v>344078.69</v>
      </c>
      <c r="K44" s="266">
        <f t="shared" si="4"/>
        <v>9.5710344923504876E-3</v>
      </c>
      <c r="L44" s="222">
        <f t="shared" si="5"/>
        <v>1296138.03</v>
      </c>
      <c r="M44" s="275">
        <f t="shared" si="6"/>
        <v>376.69814134667854</v>
      </c>
      <c r="BY44" s="144"/>
      <c r="BZ44" s="144"/>
      <c r="CA44" s="143"/>
      <c r="CB44" s="143"/>
      <c r="CC44" s="143"/>
      <c r="CD44" s="140"/>
    </row>
    <row r="45" spans="1:82" ht="13.5" customHeight="1">
      <c r="B45" s="80">
        <v>413</v>
      </c>
      <c r="C45" s="93" t="str">
        <f>+'Cental Budget'!C40</f>
        <v>Rashodi za materijal</v>
      </c>
      <c r="D45" s="221">
        <v>1399387.53</v>
      </c>
      <c r="E45" s="266">
        <f t="shared" si="1"/>
        <v>3.719598984636649E-2</v>
      </c>
      <c r="F45" s="221">
        <v>1000000</v>
      </c>
      <c r="G45" s="266">
        <f t="shared" si="0"/>
        <v>2.6580192440593269E-2</v>
      </c>
      <c r="H45" s="222">
        <f t="shared" si="2"/>
        <v>399387.53</v>
      </c>
      <c r="I45" s="275">
        <f t="shared" si="3"/>
        <v>39.938752999999991</v>
      </c>
      <c r="J45" s="221">
        <v>1294993.9600000002</v>
      </c>
      <c r="K45" s="266">
        <f t="shared" si="4"/>
        <v>3.6022085118219756E-2</v>
      </c>
      <c r="L45" s="222">
        <f t="shared" si="5"/>
        <v>104393.56999999983</v>
      </c>
      <c r="M45" s="275">
        <f t="shared" si="6"/>
        <v>8.0613171354096238</v>
      </c>
      <c r="BY45" s="144"/>
      <c r="BZ45" s="144"/>
      <c r="CA45" s="143"/>
      <c r="CB45" s="143"/>
      <c r="CC45" s="143"/>
      <c r="CD45" s="140"/>
    </row>
    <row r="46" spans="1:82" ht="13.5" customHeight="1">
      <c r="B46" s="80">
        <v>414</v>
      </c>
      <c r="C46" s="93" t="str">
        <f>+'Cental Budget'!C41</f>
        <v>Rashodi za usluge</v>
      </c>
      <c r="D46" s="94">
        <v>1257860.7</v>
      </c>
      <c r="E46" s="242">
        <f t="shared" si="1"/>
        <v>3.3434179469459362E-2</v>
      </c>
      <c r="F46" s="152">
        <v>1167694.4598000003</v>
      </c>
      <c r="G46" s="242">
        <f t="shared" si="0"/>
        <v>3.1037543453298608E-2</v>
      </c>
      <c r="H46" s="203">
        <f t="shared" si="2"/>
        <v>90166.240199999651</v>
      </c>
      <c r="I46" s="275">
        <f t="shared" si="3"/>
        <v>7.7217322942033206</v>
      </c>
      <c r="J46" s="152">
        <v>1144798.4900000002</v>
      </c>
      <c r="K46" s="245">
        <f t="shared" si="4"/>
        <v>3.1844186091794166E-2</v>
      </c>
      <c r="L46" s="203">
        <f t="shared" si="5"/>
        <v>113062.20999999973</v>
      </c>
      <c r="M46" s="255">
        <f t="shared" si="6"/>
        <v>9.876166940087387</v>
      </c>
      <c r="BY46" s="144"/>
      <c r="BZ46" s="144"/>
      <c r="CA46" s="143"/>
      <c r="CB46" s="143"/>
      <c r="CC46" s="143"/>
      <c r="CD46" s="140"/>
    </row>
    <row r="47" spans="1:82" ht="13.5" customHeight="1">
      <c r="B47" s="80">
        <v>415</v>
      </c>
      <c r="C47" s="93" t="str">
        <f>+'Cental Budget'!C42</f>
        <v>Rashodi za tekuće održavanje</v>
      </c>
      <c r="D47" s="221">
        <v>575173.76</v>
      </c>
      <c r="E47" s="266">
        <f t="shared" si="1"/>
        <v>1.5288229227579608E-2</v>
      </c>
      <c r="F47" s="221">
        <v>610241.93820000009</v>
      </c>
      <c r="G47" s="266">
        <f t="shared" si="0"/>
        <v>1.6220348152676627E-2</v>
      </c>
      <c r="H47" s="222">
        <f t="shared" si="2"/>
        <v>-35068.178200000082</v>
      </c>
      <c r="I47" s="275">
        <f t="shared" si="3"/>
        <v>-5.7466024546655916</v>
      </c>
      <c r="J47" s="221">
        <v>598276.41</v>
      </c>
      <c r="K47" s="266">
        <f t="shared" si="4"/>
        <v>1.664190292072323E-2</v>
      </c>
      <c r="L47" s="222">
        <f t="shared" si="5"/>
        <v>-23102.650000000023</v>
      </c>
      <c r="M47" s="275">
        <f t="shared" si="6"/>
        <v>-3.8615345037588895</v>
      </c>
      <c r="BY47" s="144"/>
      <c r="BZ47" s="144"/>
      <c r="CA47" s="143"/>
      <c r="CB47" s="143"/>
      <c r="CC47" s="143"/>
      <c r="CD47" s="140"/>
    </row>
    <row r="48" spans="1:82" ht="13.5" customHeight="1">
      <c r="B48" s="80">
        <v>416</v>
      </c>
      <c r="C48" s="93" t="str">
        <f>+'Cental Budget'!C43</f>
        <v>Kamate</v>
      </c>
      <c r="D48" s="221">
        <v>852271.99</v>
      </c>
      <c r="E48" s="266">
        <f t="shared" si="1"/>
        <v>2.2653553505927383E-2</v>
      </c>
      <c r="F48" s="221">
        <v>797320.70939999993</v>
      </c>
      <c r="G48" s="266">
        <f t="shared" si="0"/>
        <v>2.1192937892722342E-2</v>
      </c>
      <c r="H48" s="222">
        <f t="shared" si="2"/>
        <v>54951.280600000056</v>
      </c>
      <c r="I48" s="275">
        <f t="shared" si="3"/>
        <v>6.8919921371855395</v>
      </c>
      <c r="J48" s="221">
        <v>781686.97</v>
      </c>
      <c r="K48" s="266">
        <f t="shared" si="4"/>
        <v>2.1743726564673157E-2</v>
      </c>
      <c r="L48" s="222">
        <f t="shared" si="5"/>
        <v>70585.020000000019</v>
      </c>
      <c r="M48" s="275">
        <f t="shared" si="6"/>
        <v>9.0298319799292557</v>
      </c>
      <c r="BY48" s="144"/>
      <c r="BZ48" s="144"/>
      <c r="CA48" s="143"/>
      <c r="CB48" s="143"/>
      <c r="CC48" s="143"/>
      <c r="CD48" s="140"/>
    </row>
    <row r="49" spans="1:82" ht="13.5" customHeight="1">
      <c r="B49" s="80">
        <v>417</v>
      </c>
      <c r="C49" s="93" t="str">
        <f>+'Cental Budget'!C44</f>
        <v>Renta</v>
      </c>
      <c r="D49" s="221">
        <v>78210.11</v>
      </c>
      <c r="E49" s="266">
        <f t="shared" si="1"/>
        <v>2.0788397745999682E-3</v>
      </c>
      <c r="F49" s="221">
        <v>61257.334199999998</v>
      </c>
      <c r="G49" s="266">
        <f t="shared" si="0"/>
        <v>1.6282317314337354E-3</v>
      </c>
      <c r="H49" s="222">
        <f t="shared" si="2"/>
        <v>16952.775800000003</v>
      </c>
      <c r="I49" s="275">
        <f t="shared" si="3"/>
        <v>27.674687482564337</v>
      </c>
      <c r="J49" s="221">
        <v>60056.21</v>
      </c>
      <c r="K49" s="266">
        <f t="shared" si="4"/>
        <v>1.6705482614742698E-3</v>
      </c>
      <c r="L49" s="222">
        <f t="shared" si="5"/>
        <v>18153.900000000001</v>
      </c>
      <c r="M49" s="275">
        <f t="shared" si="6"/>
        <v>30.228181232215633</v>
      </c>
      <c r="BY49" s="144"/>
      <c r="BZ49" s="144"/>
      <c r="CA49" s="143"/>
      <c r="CB49" s="143"/>
      <c r="CC49" s="143"/>
      <c r="CD49" s="140"/>
    </row>
    <row r="50" spans="1:82" ht="13.5" customHeight="1">
      <c r="B50" s="80">
        <v>418</v>
      </c>
      <c r="C50" s="93" t="str">
        <f>+'Cental Budget'!C45</f>
        <v>Subvencije</v>
      </c>
      <c r="D50" s="221">
        <v>224144.1</v>
      </c>
      <c r="E50" s="266">
        <f t="shared" si="1"/>
        <v>5.9577933124235821E-3</v>
      </c>
      <c r="F50" s="221">
        <v>58291.684200000003</v>
      </c>
      <c r="G50" s="266">
        <f t="shared" si="0"/>
        <v>1.5494041837222903E-3</v>
      </c>
      <c r="H50" s="222">
        <f t="shared" si="2"/>
        <v>165852.41580000002</v>
      </c>
      <c r="I50" s="275">
        <f t="shared" si="3"/>
        <v>284.52157126041658</v>
      </c>
      <c r="J50" s="221">
        <v>57148.71</v>
      </c>
      <c r="K50" s="266">
        <f t="shared" si="4"/>
        <v>1.5896720445062588E-3</v>
      </c>
      <c r="L50" s="222">
        <f t="shared" si="5"/>
        <v>166995.39000000001</v>
      </c>
      <c r="M50" s="275">
        <f t="shared" si="6"/>
        <v>292.21200268562495</v>
      </c>
      <c r="BY50" s="144"/>
      <c r="BZ50" s="144"/>
      <c r="CA50" s="143"/>
      <c r="CB50" s="143"/>
      <c r="CC50" s="143"/>
      <c r="CD50" s="140"/>
    </row>
    <row r="51" spans="1:82" ht="13.5" customHeight="1">
      <c r="B51" s="80">
        <v>419</v>
      </c>
      <c r="C51" s="93" t="str">
        <f>+'Cental Budget'!C46</f>
        <v>Ostali izdaci</v>
      </c>
      <c r="D51" s="221">
        <v>451998.15</v>
      </c>
      <c r="E51" s="266">
        <f t="shared" si="1"/>
        <v>1.2014197809792144E-2</v>
      </c>
      <c r="F51" s="221">
        <v>284006.80079999997</v>
      </c>
      <c r="G51" s="266">
        <f t="shared" si="0"/>
        <v>7.5489554197012369E-3</v>
      </c>
      <c r="H51" s="222">
        <f t="shared" si="2"/>
        <v>167991.34920000006</v>
      </c>
      <c r="I51" s="275">
        <f t="shared" si="3"/>
        <v>59.15046707571662</v>
      </c>
      <c r="J51" s="221">
        <v>278438.03999999998</v>
      </c>
      <c r="K51" s="266">
        <f t="shared" si="4"/>
        <v>7.7451471488178027E-3</v>
      </c>
      <c r="L51" s="222">
        <f t="shared" si="5"/>
        <v>173560.11000000004</v>
      </c>
      <c r="M51" s="275">
        <f t="shared" si="6"/>
        <v>62.333476417230941</v>
      </c>
      <c r="BY51" s="144"/>
      <c r="BZ51" s="144"/>
      <c r="CA51" s="143"/>
      <c r="CB51" s="143"/>
      <c r="CC51" s="143"/>
      <c r="CD51" s="140"/>
    </row>
    <row r="52" spans="1:82" ht="13.5" customHeight="1">
      <c r="A52" s="80">
        <v>42</v>
      </c>
      <c r="B52" s="80" t="s">
        <v>427</v>
      </c>
      <c r="C52" s="93" t="str">
        <f>+'Cental Budget'!C48</f>
        <v>Transferi za socijalnu zaštitu</v>
      </c>
      <c r="D52" s="221">
        <f>+D53</f>
        <v>451589.07</v>
      </c>
      <c r="E52" s="266">
        <f t="shared" si="1"/>
        <v>1.2003324384668545E-2</v>
      </c>
      <c r="F52" s="221">
        <f>+F53</f>
        <v>32465.804400000001</v>
      </c>
      <c r="G52" s="266">
        <f t="shared" si="0"/>
        <v>8.6294732869065974E-4</v>
      </c>
      <c r="H52" s="222">
        <f t="shared" si="2"/>
        <v>419123.26559999998</v>
      </c>
      <c r="I52" s="275">
        <f t="shared" si="3"/>
        <v>1290.9683691681455</v>
      </c>
      <c r="J52" s="221">
        <f>+J53</f>
        <v>31829.22</v>
      </c>
      <c r="K52" s="266">
        <f t="shared" si="4"/>
        <v>8.8537468706536865E-4</v>
      </c>
      <c r="L52" s="222">
        <f t="shared" si="5"/>
        <v>419759.85</v>
      </c>
      <c r="M52" s="275">
        <f t="shared" si="6"/>
        <v>1318.7877365515083</v>
      </c>
      <c r="BY52" s="144"/>
      <c r="BZ52" s="144"/>
      <c r="CA52" s="143"/>
      <c r="CB52" s="143"/>
      <c r="CC52" s="143"/>
      <c r="CD52" s="140"/>
    </row>
    <row r="53" spans="1:82" ht="13.5" customHeight="1">
      <c r="B53" s="80">
        <v>421</v>
      </c>
      <c r="C53" s="97" t="s">
        <v>88</v>
      </c>
      <c r="D53" s="215">
        <v>451589.07</v>
      </c>
      <c r="E53" s="264">
        <f>+D53/$D$11*100</f>
        <v>1.2003324384668545E-2</v>
      </c>
      <c r="F53" s="215">
        <v>32465.804400000001</v>
      </c>
      <c r="G53" s="264">
        <f t="shared" si="0"/>
        <v>8.6294732869065974E-4</v>
      </c>
      <c r="H53" s="216">
        <f>+D53-F53</f>
        <v>419123.26559999998</v>
      </c>
      <c r="I53" s="273">
        <f>+D53/F53*100-100</f>
        <v>1290.9683691681455</v>
      </c>
      <c r="J53" s="215">
        <v>31829.22</v>
      </c>
      <c r="K53" s="264">
        <f t="shared" si="4"/>
        <v>8.8537468706536865E-4</v>
      </c>
      <c r="L53" s="216">
        <f>+D53-J53</f>
        <v>419759.85</v>
      </c>
      <c r="M53" s="273">
        <f>+D53/J53*100-100</f>
        <v>1318.7877365515083</v>
      </c>
      <c r="BY53" s="144"/>
      <c r="BZ53" s="144"/>
      <c r="CA53" s="143"/>
      <c r="CB53" s="143"/>
      <c r="CC53" s="143"/>
      <c r="CD53" s="140"/>
    </row>
    <row r="54" spans="1:82" ht="13.5" hidden="1" customHeight="1">
      <c r="B54" s="80">
        <v>422</v>
      </c>
      <c r="C54" s="97" t="s">
        <v>90</v>
      </c>
      <c r="D54" s="215"/>
      <c r="E54" s="264">
        <f t="shared" si="1"/>
        <v>0</v>
      </c>
      <c r="F54" s="215">
        <v>0</v>
      </c>
      <c r="G54" s="264">
        <f t="shared" si="0"/>
        <v>0</v>
      </c>
      <c r="H54" s="216">
        <f t="shared" si="2"/>
        <v>0</v>
      </c>
      <c r="I54" s="273" t="e">
        <f t="shared" si="3"/>
        <v>#DIV/0!</v>
      </c>
      <c r="J54" s="215"/>
      <c r="K54" s="264">
        <f t="shared" si="4"/>
        <v>0</v>
      </c>
      <c r="L54" s="216">
        <f t="shared" si="5"/>
        <v>0</v>
      </c>
      <c r="M54" s="273" t="e">
        <f t="shared" si="6"/>
        <v>#DIV/0!</v>
      </c>
      <c r="BY54" s="144"/>
      <c r="BZ54" s="144"/>
      <c r="CA54" s="143"/>
      <c r="CB54" s="143"/>
      <c r="CC54" s="143"/>
      <c r="CD54" s="140"/>
    </row>
    <row r="55" spans="1:82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7427516.6200000001</v>
      </c>
      <c r="E55" s="242">
        <f t="shared" si="1"/>
        <v>0.19742482111530488</v>
      </c>
      <c r="F55" s="94">
        <f>+SUM(F56:F57)</f>
        <v>6157462.6217999998</v>
      </c>
      <c r="G55" s="242">
        <f t="shared" si="0"/>
        <v>0.16366654143320397</v>
      </c>
      <c r="H55" s="203">
        <f t="shared" si="2"/>
        <v>1270053.9982000003</v>
      </c>
      <c r="I55" s="255">
        <f t="shared" si="3"/>
        <v>20.626255914302689</v>
      </c>
      <c r="J55" s="152">
        <f>+J56+J57</f>
        <v>5975191.0800000001</v>
      </c>
      <c r="K55" s="245">
        <f t="shared" si="4"/>
        <v>0.16620837496522947</v>
      </c>
      <c r="L55" s="203">
        <f t="shared" si="5"/>
        <v>1452325.54</v>
      </c>
      <c r="M55" s="255">
        <f t="shared" si="6"/>
        <v>24.30592629683737</v>
      </c>
      <c r="BY55" s="144"/>
      <c r="BZ55" s="144"/>
      <c r="CA55" s="143"/>
      <c r="CB55" s="143"/>
      <c r="CC55" s="143"/>
      <c r="CD55" s="140"/>
    </row>
    <row r="56" spans="1:82" ht="13.5" customHeight="1">
      <c r="A56" s="80" t="s">
        <v>427</v>
      </c>
      <c r="B56" s="80">
        <v>431</v>
      </c>
      <c r="C56" s="97" t="s">
        <v>432</v>
      </c>
      <c r="D56" s="215">
        <v>3597947.94</v>
      </c>
      <c r="E56" s="264">
        <f t="shared" si="1"/>
        <v>9.5634148636436128E-2</v>
      </c>
      <c r="F56" s="215">
        <v>3263921.4504000004</v>
      </c>
      <c r="G56" s="264">
        <f t="shared" si="0"/>
        <v>8.6755660262612319E-2</v>
      </c>
      <c r="H56" s="215">
        <f t="shared" si="2"/>
        <v>334026.48959999951</v>
      </c>
      <c r="I56" s="264">
        <f t="shared" si="3"/>
        <v>10.233900989224608</v>
      </c>
      <c r="J56" s="215">
        <v>3138386.01</v>
      </c>
      <c r="K56" s="264">
        <f t="shared" si="4"/>
        <v>8.7298637273991647E-2</v>
      </c>
      <c r="L56" s="215">
        <f t="shared" si="5"/>
        <v>459561.93000000017</v>
      </c>
      <c r="M56" s="264">
        <f t="shared" si="6"/>
        <v>14.643257028793613</v>
      </c>
      <c r="BY56" s="144"/>
      <c r="BZ56" s="144"/>
      <c r="CA56" s="143"/>
      <c r="CB56" s="143"/>
      <c r="CC56" s="143"/>
      <c r="CD56" s="140"/>
    </row>
    <row r="57" spans="1:82" s="236" customFormat="1" ht="13.5" customHeight="1" thickBot="1">
      <c r="A57" s="236" t="s">
        <v>427</v>
      </c>
      <c r="B57" s="236">
        <v>432</v>
      </c>
      <c r="C57" s="237" t="s">
        <v>433</v>
      </c>
      <c r="D57" s="219">
        <v>3829568.68</v>
      </c>
      <c r="E57" s="243">
        <f t="shared" si="1"/>
        <v>0.10179067247886875</v>
      </c>
      <c r="F57" s="154">
        <v>2893541.1713999994</v>
      </c>
      <c r="G57" s="243">
        <f t="shared" si="0"/>
        <v>7.6910881170591652E-2</v>
      </c>
      <c r="H57" s="219">
        <f t="shared" si="2"/>
        <v>936027.50860000076</v>
      </c>
      <c r="I57" s="243">
        <f t="shared" si="3"/>
        <v>32.348857443321492</v>
      </c>
      <c r="J57" s="154">
        <v>2836805.07</v>
      </c>
      <c r="K57" s="292">
        <f t="shared" si="4"/>
        <v>7.8909737691237825E-2</v>
      </c>
      <c r="L57" s="219">
        <f t="shared" si="5"/>
        <v>992763.61000000034</v>
      </c>
      <c r="M57" s="243">
        <f t="shared" si="6"/>
        <v>34.995834592187919</v>
      </c>
      <c r="BY57" s="238"/>
      <c r="BZ57" s="238"/>
      <c r="CA57" s="239"/>
      <c r="CB57" s="239"/>
      <c r="CC57" s="239"/>
      <c r="CD57" s="240"/>
    </row>
    <row r="58" spans="1:82" ht="13.5" customHeight="1" thickTop="1" thickBot="1">
      <c r="B58" s="80">
        <v>44</v>
      </c>
      <c r="C58" s="151" t="str">
        <f>+'Cental Budget'!C57</f>
        <v>Kapitalni budžet</v>
      </c>
      <c r="D58" s="223">
        <v>5548767.3799999999</v>
      </c>
      <c r="E58" s="267">
        <f t="shared" si="1"/>
        <v>0.14748730476848651</v>
      </c>
      <c r="F58" s="224">
        <v>6317676.8465999989</v>
      </c>
      <c r="G58" s="267">
        <f t="shared" si="0"/>
        <v>0.16792506636010843</v>
      </c>
      <c r="H58" s="223">
        <f t="shared" si="2"/>
        <v>-768909.466599999</v>
      </c>
      <c r="I58" s="267">
        <f t="shared" si="3"/>
        <v>-12.170762849540253</v>
      </c>
      <c r="J58" s="224">
        <v>6193800.8299999991</v>
      </c>
      <c r="K58" s="293">
        <f t="shared" si="4"/>
        <v>0.17228931376912376</v>
      </c>
      <c r="L58" s="223">
        <f t="shared" si="5"/>
        <v>-645033.44999999925</v>
      </c>
      <c r="M58" s="267">
        <f t="shared" si="6"/>
        <v>-10.414178106531068</v>
      </c>
      <c r="BY58" s="144"/>
      <c r="BZ58" s="144"/>
      <c r="CA58" s="143"/>
      <c r="CB58" s="143"/>
      <c r="CC58" s="143"/>
      <c r="CD58" s="140"/>
    </row>
    <row r="59" spans="1:82" ht="13.5" customHeight="1" thickTop="1">
      <c r="B59" s="80">
        <v>451</v>
      </c>
      <c r="C59" s="93" t="str">
        <f>+'Cental Budget'!C58</f>
        <v>Pozajmice i krediti</v>
      </c>
      <c r="D59" s="221">
        <v>90770.92</v>
      </c>
      <c r="E59" s="266">
        <f t="shared" si="1"/>
        <v>2.4127085216096964E-3</v>
      </c>
      <c r="F59" s="221">
        <v>250882.9638</v>
      </c>
      <c r="G59" s="266">
        <f t="shared" si="0"/>
        <v>6.6685174578703949E-3</v>
      </c>
      <c r="H59" s="222">
        <f t="shared" si="2"/>
        <v>-160112.04379999998</v>
      </c>
      <c r="I59" s="275">
        <f t="shared" si="3"/>
        <v>-63.819416581685012</v>
      </c>
      <c r="J59" s="221">
        <v>245963.69</v>
      </c>
      <c r="K59" s="266">
        <f t="shared" si="4"/>
        <v>6.8418272600834495E-3</v>
      </c>
      <c r="L59" s="222">
        <f t="shared" si="5"/>
        <v>-155192.77000000002</v>
      </c>
      <c r="M59" s="275">
        <f t="shared" si="6"/>
        <v>-63.095804913318709</v>
      </c>
      <c r="BY59" s="144"/>
      <c r="BZ59" s="144"/>
      <c r="CA59" s="143"/>
      <c r="CB59" s="143"/>
      <c r="CC59" s="143"/>
      <c r="CD59" s="140"/>
    </row>
    <row r="60" spans="1:82" ht="13.5" customHeight="1" thickBot="1">
      <c r="B60" s="80">
        <v>47</v>
      </c>
      <c r="C60" s="93" t="str">
        <f>+'Cental Budget'!C59</f>
        <v>Rezerve</v>
      </c>
      <c r="D60" s="225">
        <v>440327.23</v>
      </c>
      <c r="E60" s="268">
        <f t="shared" si="1"/>
        <v>1.1703982510233373E-2</v>
      </c>
      <c r="F60" s="225">
        <v>336454.31339999998</v>
      </c>
      <c r="G60" s="268">
        <f t="shared" si="0"/>
        <v>8.9430203976396776E-3</v>
      </c>
      <c r="H60" s="226">
        <f t="shared" si="2"/>
        <v>103872.9166</v>
      </c>
      <c r="I60" s="276">
        <f t="shared" si="3"/>
        <v>30.872814662509228</v>
      </c>
      <c r="J60" s="225">
        <v>329857.17</v>
      </c>
      <c r="K60" s="268">
        <f t="shared" si="4"/>
        <v>9.1754428372739904E-3</v>
      </c>
      <c r="L60" s="226">
        <f t="shared" si="5"/>
        <v>110470.06</v>
      </c>
      <c r="M60" s="276">
        <f t="shared" si="6"/>
        <v>33.490270955759428</v>
      </c>
      <c r="BY60" s="144"/>
      <c r="BZ60" s="144"/>
      <c r="CA60" s="143"/>
      <c r="CB60" s="143"/>
      <c r="CC60" s="143"/>
      <c r="CD60" s="140"/>
    </row>
    <row r="61" spans="1:82" ht="13.5" customHeight="1" thickTop="1" thickBot="1">
      <c r="B61" s="80">
        <v>462</v>
      </c>
      <c r="C61" s="195" t="s">
        <v>112</v>
      </c>
      <c r="D61" s="227">
        <v>876429.53</v>
      </c>
      <c r="E61" s="269">
        <f t="shared" si="1"/>
        <v>2.3295665568018712E-2</v>
      </c>
      <c r="F61" s="227">
        <v>0</v>
      </c>
      <c r="G61" s="269">
        <f t="shared" si="0"/>
        <v>0</v>
      </c>
      <c r="H61" s="228">
        <f t="shared" si="2"/>
        <v>876429.53</v>
      </c>
      <c r="I61" s="276" t="e">
        <f t="shared" si="3"/>
        <v>#DIV/0!</v>
      </c>
      <c r="J61" s="227">
        <v>65000</v>
      </c>
      <c r="K61" s="269">
        <f t="shared" si="4"/>
        <v>1.8080667593880391E-3</v>
      </c>
      <c r="L61" s="228">
        <f t="shared" si="5"/>
        <v>811429.53</v>
      </c>
      <c r="M61" s="277">
        <f t="shared" si="6"/>
        <v>1248.3531230769231</v>
      </c>
      <c r="BY61" s="144"/>
      <c r="BZ61" s="144"/>
      <c r="CA61" s="143"/>
      <c r="CB61" s="143"/>
      <c r="CC61" s="143"/>
      <c r="CD61" s="140"/>
    </row>
    <row r="62" spans="1:82" ht="13.5" customHeight="1" thickTop="1" thickBot="1">
      <c r="B62" s="80" t="s">
        <v>451</v>
      </c>
      <c r="C62" s="195" t="s">
        <v>449</v>
      </c>
      <c r="D62" s="221">
        <v>13521396.810000001</v>
      </c>
      <c r="E62" s="266">
        <v>0.35700057584158418</v>
      </c>
      <c r="F62" s="221">
        <v>11635969.076400001</v>
      </c>
      <c r="G62" s="266">
        <v>0.29042904290429045</v>
      </c>
      <c r="H62" s="222">
        <v>2521396.8100000005</v>
      </c>
      <c r="I62" s="275">
        <v>22.921789181818198</v>
      </c>
      <c r="J62" s="221">
        <v>11407812.82</v>
      </c>
      <c r="K62" s="266">
        <v>0.30767367454798328</v>
      </c>
      <c r="L62" s="222">
        <v>2460528.2100000009</v>
      </c>
      <c r="M62" s="275">
        <v>22.245343462447437</v>
      </c>
      <c r="BY62" s="144"/>
      <c r="BZ62" s="144"/>
      <c r="CA62" s="143"/>
      <c r="CB62" s="143"/>
      <c r="CC62" s="143"/>
      <c r="CD62" s="140"/>
    </row>
    <row r="63" spans="1:82" ht="13.5" customHeight="1" thickTop="1" thickBot="1">
      <c r="B63" s="80">
        <v>990</v>
      </c>
      <c r="C63" s="196" t="s">
        <v>151</v>
      </c>
      <c r="D63" s="229">
        <v>0</v>
      </c>
      <c r="E63" s="270">
        <f t="shared" si="1"/>
        <v>0</v>
      </c>
      <c r="F63" s="229">
        <v>0</v>
      </c>
      <c r="G63" s="270">
        <f t="shared" si="0"/>
        <v>0</v>
      </c>
      <c r="H63" s="230">
        <f t="shared" si="2"/>
        <v>0</v>
      </c>
      <c r="I63" s="278"/>
      <c r="J63" s="230">
        <f t="shared" si="2"/>
        <v>0</v>
      </c>
      <c r="K63" s="270">
        <f t="shared" si="4"/>
        <v>0</v>
      </c>
      <c r="L63" s="230">
        <f t="shared" si="5"/>
        <v>0</v>
      </c>
      <c r="M63" s="278"/>
      <c r="BY63" s="144"/>
      <c r="BZ63" s="144"/>
      <c r="CA63" s="143"/>
      <c r="CB63" s="143"/>
      <c r="CC63" s="143"/>
      <c r="CD63" s="140"/>
    </row>
    <row r="64" spans="1:82" ht="13.5" customHeight="1" thickTop="1" thickBot="1">
      <c r="C64" s="151" t="str">
        <f>+'Cental Budget'!C63</f>
        <v>Suficit / deficit</v>
      </c>
      <c r="D64" s="223">
        <f>+D16-D40</f>
        <v>-8213938.0700000003</v>
      </c>
      <c r="E64" s="267">
        <f t="shared" si="1"/>
        <v>-0.21832805459571528</v>
      </c>
      <c r="F64" s="223">
        <f>+F16-F40</f>
        <v>-6194966.1667999998</v>
      </c>
      <c r="G64" s="267">
        <f t="shared" si="0"/>
        <v>-0.16466339287650841</v>
      </c>
      <c r="H64" s="223">
        <f>+D64-F64</f>
        <v>-2018971.9032000005</v>
      </c>
      <c r="I64" s="267">
        <f t="shared" si="3"/>
        <v>32.590523480500252</v>
      </c>
      <c r="J64" s="223">
        <f>+J16-J40</f>
        <v>-655899.48000001162</v>
      </c>
      <c r="K64" s="293">
        <f t="shared" si="4"/>
        <v>-1.8244769958275706E-2</v>
      </c>
      <c r="L64" s="223">
        <f t="shared" si="5"/>
        <v>-7558038.5899999887</v>
      </c>
      <c r="M64" s="267">
        <f t="shared" si="6"/>
        <v>1152.316600403442</v>
      </c>
      <c r="BY64" s="144"/>
      <c r="BZ64" s="144"/>
      <c r="CA64" s="143"/>
      <c r="CB64" s="143"/>
      <c r="CC64" s="143"/>
      <c r="CD64" s="140"/>
    </row>
    <row r="65" spans="2:82" ht="13.5" customHeight="1" thickTop="1" thickBot="1">
      <c r="C65" s="151" t="str">
        <f>+'Cental Budget'!C64</f>
        <v>Primarni bilans</v>
      </c>
      <c r="D65" s="223">
        <f>+D64+D48</f>
        <v>-7361666.0800000001</v>
      </c>
      <c r="E65" s="267">
        <f t="shared" si="1"/>
        <v>-0.19567450108978787</v>
      </c>
      <c r="F65" s="223">
        <f>+F64+F48</f>
        <v>-5397645.4573999997</v>
      </c>
      <c r="G65" s="267">
        <f t="shared" si="0"/>
        <v>-0.14347045498378608</v>
      </c>
      <c r="H65" s="223">
        <f t="shared" si="2"/>
        <v>-1964020.6226000004</v>
      </c>
      <c r="I65" s="267">
        <f t="shared" si="3"/>
        <v>36.386617796605947</v>
      </c>
      <c r="J65" s="223">
        <f>+J64+J48</f>
        <v>125787.48999998835</v>
      </c>
      <c r="K65" s="293">
        <f t="shared" si="4"/>
        <v>3.4989566063974502E-3</v>
      </c>
      <c r="L65" s="223">
        <f t="shared" si="5"/>
        <v>-7487453.5699999882</v>
      </c>
      <c r="M65" s="267">
        <f t="shared" si="6"/>
        <v>-5952.4628164539108</v>
      </c>
      <c r="BY65" s="144"/>
      <c r="BZ65" s="144"/>
      <c r="CA65" s="143"/>
      <c r="CB65" s="143"/>
      <c r="CC65" s="143"/>
      <c r="CD65" s="140"/>
    </row>
    <row r="66" spans="2:82" ht="13.5" customHeight="1" thickTop="1" thickBot="1">
      <c r="C66" s="151" t="str">
        <f>+'Cental Budget'!C65</f>
        <v>Otplata dugova</v>
      </c>
      <c r="D66" s="223">
        <f>+SUM(D67:D68)</f>
        <v>6143828.79</v>
      </c>
      <c r="E66" s="267">
        <f t="shared" si="1"/>
        <v>0.16330415156025729</v>
      </c>
      <c r="F66" s="223">
        <f>+SUM(F67:F68)</f>
        <v>3766986.9782000007</v>
      </c>
      <c r="G66" s="267">
        <f t="shared" si="0"/>
        <v>0.10012723880176494</v>
      </c>
      <c r="H66" s="223">
        <f t="shared" si="2"/>
        <v>2376841.8117999993</v>
      </c>
      <c r="I66" s="267">
        <f t="shared" si="3"/>
        <v>63.096629363336376</v>
      </c>
      <c r="J66" s="223">
        <f>+SUM(J67:J68)</f>
        <v>5641435.4400000013</v>
      </c>
      <c r="K66" s="293">
        <f t="shared" si="4"/>
        <v>0.15692449068150213</v>
      </c>
      <c r="L66" s="223">
        <f t="shared" si="5"/>
        <v>502393.3499999987</v>
      </c>
      <c r="M66" s="267">
        <f t="shared" si="6"/>
        <v>8.9054169872765385</v>
      </c>
      <c r="BY66" s="144"/>
      <c r="BZ66" s="144"/>
      <c r="CA66" s="143"/>
      <c r="CB66" s="143"/>
      <c r="CC66" s="143"/>
      <c r="CD66" s="140"/>
    </row>
    <row r="67" spans="2:82" ht="13.5" customHeight="1" thickTop="1">
      <c r="B67" s="80">
        <v>4611</v>
      </c>
      <c r="C67" s="97" t="str">
        <f>+'Cental Budget'!C66</f>
        <v>Otplata hartija od vrijednosti i kredita rezidentima</v>
      </c>
      <c r="D67" s="231">
        <v>5346148.59</v>
      </c>
      <c r="E67" s="271">
        <f t="shared" si="1"/>
        <v>0.14210165833820634</v>
      </c>
      <c r="F67" s="231">
        <v>3266986.9782000007</v>
      </c>
      <c r="G67" s="271">
        <f t="shared" si="0"/>
        <v>8.683714258146831E-2</v>
      </c>
      <c r="H67" s="232">
        <f t="shared" si="2"/>
        <v>2079161.6117999991</v>
      </c>
      <c r="I67" s="279">
        <f t="shared" si="3"/>
        <v>63.641564097863267</v>
      </c>
      <c r="J67" s="231">
        <v>3202928.4100000006</v>
      </c>
      <c r="K67" s="271">
        <f t="shared" si="4"/>
        <v>8.9093975243393617E-2</v>
      </c>
      <c r="L67" s="232">
        <f t="shared" si="5"/>
        <v>2143220.1799999992</v>
      </c>
      <c r="M67" s="279">
        <f t="shared" si="6"/>
        <v>66.914395379820519</v>
      </c>
      <c r="BY67" s="144"/>
      <c r="BZ67" s="144"/>
      <c r="CA67" s="143"/>
      <c r="CB67" s="143"/>
      <c r="CC67" s="143"/>
      <c r="CD67" s="140"/>
    </row>
    <row r="68" spans="2:82" ht="13.5" customHeight="1" thickBot="1">
      <c r="B68" s="80">
        <v>4612</v>
      </c>
      <c r="C68" s="97" t="str">
        <f>+'Cental Budget'!C67</f>
        <v>Otplata hartija od vrijednosti i kredita nerezidentima</v>
      </c>
      <c r="D68" s="233">
        <v>797680.2</v>
      </c>
      <c r="E68" s="264">
        <f t="shared" si="1"/>
        <v>2.1202493222050926E-2</v>
      </c>
      <c r="F68" s="233">
        <v>500000</v>
      </c>
      <c r="G68" s="264">
        <f t="shared" si="0"/>
        <v>1.3290096220296635E-2</v>
      </c>
      <c r="H68" s="216">
        <f t="shared" si="2"/>
        <v>297680.19999999995</v>
      </c>
      <c r="I68" s="273">
        <f t="shared" si="3"/>
        <v>59.536039999999986</v>
      </c>
      <c r="J68" s="233">
        <v>2438507.0300000003</v>
      </c>
      <c r="K68" s="264">
        <f t="shared" si="4"/>
        <v>6.7830515438108488E-2</v>
      </c>
      <c r="L68" s="216">
        <f t="shared" si="5"/>
        <v>-1640826.8300000003</v>
      </c>
      <c r="M68" s="273">
        <f t="shared" si="6"/>
        <v>-67.28817304250299</v>
      </c>
      <c r="BY68" s="144"/>
      <c r="BZ68" s="144"/>
      <c r="CA68" s="143"/>
      <c r="CB68" s="143"/>
      <c r="CC68" s="143"/>
      <c r="CD68" s="140"/>
    </row>
    <row r="69" spans="2:82" ht="13.5" hidden="1" customHeight="1" thickBot="1">
      <c r="B69" s="80" t="s">
        <v>451</v>
      </c>
      <c r="C69" s="97" t="str">
        <f>+'Cental Budget'!C61</f>
        <v>Otplata obaveza iz prethodnih godina</v>
      </c>
      <c r="D69" s="233">
        <v>13521396.810000001</v>
      </c>
      <c r="E69" s="264">
        <f t="shared" si="1"/>
        <v>0.35940132927542395</v>
      </c>
      <c r="F69" s="233">
        <v>11000000</v>
      </c>
      <c r="G69" s="264">
        <f t="shared" si="0"/>
        <v>0.29238211684652599</v>
      </c>
      <c r="H69" s="216">
        <f t="shared" si="2"/>
        <v>2521396.8100000005</v>
      </c>
      <c r="I69" s="273">
        <f t="shared" si="3"/>
        <v>22.921789181818198</v>
      </c>
      <c r="J69" s="233">
        <v>11060868.6</v>
      </c>
      <c r="K69" s="264">
        <f t="shared" si="4"/>
        <v>0.30767367454798328</v>
      </c>
      <c r="L69" s="216">
        <f t="shared" si="5"/>
        <v>2460528.2100000009</v>
      </c>
      <c r="M69" s="273">
        <f t="shared" si="6"/>
        <v>22.245343462447437</v>
      </c>
      <c r="BY69" s="144"/>
      <c r="BZ69" s="144"/>
      <c r="CA69" s="143"/>
      <c r="CB69" s="143"/>
      <c r="CC69" s="143"/>
      <c r="CD69" s="140"/>
    </row>
    <row r="70" spans="2:82" ht="13.5" customHeight="1" thickTop="1" thickBot="1">
      <c r="C70" s="151" t="str">
        <f>+'Cental Budget'!C69</f>
        <v>Nedostajuća sredstva</v>
      </c>
      <c r="D70" s="223">
        <f>+D64-D66</f>
        <v>-14357766.859999999</v>
      </c>
      <c r="E70" s="267">
        <f t="shared" si="1"/>
        <v>-0.38163220615597254</v>
      </c>
      <c r="F70" s="223">
        <f>+F64-F66</f>
        <v>-9961953.1449999996</v>
      </c>
      <c r="G70" s="267">
        <f t="shared" si="0"/>
        <v>-0.26479063167827332</v>
      </c>
      <c r="H70" s="223">
        <f t="shared" si="2"/>
        <v>-4395813.7149999999</v>
      </c>
      <c r="I70" s="267">
        <f t="shared" si="3"/>
        <v>44.126022789078263</v>
      </c>
      <c r="J70" s="223">
        <f>+J64-J66</f>
        <v>-6297334.920000013</v>
      </c>
      <c r="K70" s="293">
        <f t="shared" si="4"/>
        <v>-0.17516926063977784</v>
      </c>
      <c r="L70" s="223">
        <f t="shared" si="5"/>
        <v>-8060431.9399999864</v>
      </c>
      <c r="M70" s="267">
        <f t="shared" si="6"/>
        <v>127.99751073109462</v>
      </c>
      <c r="BY70" s="144"/>
      <c r="BZ70" s="144"/>
      <c r="CA70" s="143"/>
      <c r="CB70" s="143"/>
      <c r="CC70" s="143"/>
      <c r="CD70" s="140"/>
    </row>
    <row r="71" spans="2:82" ht="13.5" customHeight="1" thickTop="1" thickBot="1">
      <c r="C71" s="151" t="str">
        <f>+'Cental Budget'!C70</f>
        <v>Finansiranje</v>
      </c>
      <c r="D71" s="223">
        <f>+SUM(D72:D75)</f>
        <v>14357766.859999999</v>
      </c>
      <c r="E71" s="267">
        <f t="shared" si="1"/>
        <v>0.38163220615597254</v>
      </c>
      <c r="F71" s="223">
        <f>+SUM(F72:F75)</f>
        <v>9961953.1449999996</v>
      </c>
      <c r="G71" s="267">
        <f t="shared" si="0"/>
        <v>0.26479063167827332</v>
      </c>
      <c r="H71" s="223">
        <f t="shared" si="2"/>
        <v>4395813.7149999999</v>
      </c>
      <c r="I71" s="267">
        <f t="shared" si="3"/>
        <v>44.126022789078263</v>
      </c>
      <c r="J71" s="223">
        <f>+SUM(J72:J75)</f>
        <v>6297334.920000013</v>
      </c>
      <c r="K71" s="293">
        <f t="shared" si="4"/>
        <v>0.17516926063977784</v>
      </c>
      <c r="L71" s="223">
        <f t="shared" si="5"/>
        <v>8060431.9399999864</v>
      </c>
      <c r="M71" s="267">
        <f t="shared" si="6"/>
        <v>127.99751073109462</v>
      </c>
      <c r="BY71" s="144"/>
      <c r="BZ71" s="144"/>
      <c r="CA71" s="143"/>
      <c r="CB71" s="143"/>
      <c r="CC71" s="143"/>
      <c r="CD71" s="140"/>
    </row>
    <row r="72" spans="2:82" ht="13.5" customHeight="1" thickTop="1">
      <c r="B72" s="80">
        <v>7511</v>
      </c>
      <c r="C72" s="97" t="str">
        <f>+'Cental Budget'!C71</f>
        <v>Pozajmice i krediti od domaćih izvora</v>
      </c>
      <c r="D72" s="231">
        <v>7637693.1500000004</v>
      </c>
      <c r="E72" s="271">
        <f t="shared" si="1"/>
        <v>0.20301135372920101</v>
      </c>
      <c r="F72" s="231">
        <v>5000000</v>
      </c>
      <c r="G72" s="271">
        <f t="shared" si="0"/>
        <v>0.13290096220296635</v>
      </c>
      <c r="H72" s="232">
        <f t="shared" si="2"/>
        <v>2637693.1500000004</v>
      </c>
      <c r="I72" s="279">
        <f t="shared" si="3"/>
        <v>52.753862999999996</v>
      </c>
      <c r="J72" s="231">
        <v>1684605</v>
      </c>
      <c r="K72" s="271">
        <f t="shared" si="4"/>
        <v>4.6859666203059806E-2</v>
      </c>
      <c r="L72" s="232">
        <f t="shared" si="5"/>
        <v>5953088.1500000004</v>
      </c>
      <c r="M72" s="279">
        <f t="shared" si="6"/>
        <v>353.38184025335318</v>
      </c>
      <c r="BY72" s="144"/>
      <c r="BZ72" s="144"/>
      <c r="CA72" s="143"/>
      <c r="CB72" s="143"/>
      <c r="CC72" s="143"/>
      <c r="CD72" s="140"/>
    </row>
    <row r="73" spans="2:82" ht="13.5" customHeight="1">
      <c r="B73" s="80">
        <v>7512</v>
      </c>
      <c r="C73" s="97" t="str">
        <f>+'Cental Budget'!C72</f>
        <v>Pozajmice i krediti od inostranih izvora</v>
      </c>
      <c r="D73" s="233">
        <v>40020</v>
      </c>
      <c r="E73" s="264">
        <f t="shared" si="1"/>
        <v>1.0637393014725426E-3</v>
      </c>
      <c r="F73" s="233">
        <v>34155.567000000003</v>
      </c>
      <c r="G73" s="264">
        <f t="shared" si="0"/>
        <v>9.0786154377757704E-4</v>
      </c>
      <c r="H73" s="216">
        <f t="shared" si="2"/>
        <v>5864.4329999999973</v>
      </c>
      <c r="I73" s="273">
        <f t="shared" si="3"/>
        <v>17.169772060876625</v>
      </c>
      <c r="J73" s="233">
        <v>33485.85</v>
      </c>
      <c r="K73" s="264">
        <f t="shared" si="4"/>
        <v>9.3145618915159943E-4</v>
      </c>
      <c r="L73" s="216">
        <f t="shared" si="5"/>
        <v>6534.1500000000015</v>
      </c>
      <c r="M73" s="295">
        <f t="shared" si="6"/>
        <v>19.513167502094177</v>
      </c>
      <c r="BY73" s="144"/>
      <c r="BZ73" s="144"/>
      <c r="CA73" s="143"/>
      <c r="CB73" s="143"/>
      <c r="CC73" s="143"/>
      <c r="CD73" s="140"/>
    </row>
    <row r="74" spans="2:82" ht="13.5" customHeight="1" thickBot="1">
      <c r="B74" s="80">
        <v>72</v>
      </c>
      <c r="C74" s="103" t="str">
        <f>+'Cental Budget'!C73</f>
        <v>Primici od prodaje imovine</v>
      </c>
      <c r="D74" s="233">
        <v>903758.24</v>
      </c>
      <c r="E74" s="264">
        <f t="shared" si="1"/>
        <v>2.4022067938971877E-2</v>
      </c>
      <c r="F74" s="233">
        <v>459602.36100000003</v>
      </c>
      <c r="G74" s="264">
        <f t="shared" si="0"/>
        <v>1.2216319201531021E-2</v>
      </c>
      <c r="H74" s="216">
        <f t="shared" si="2"/>
        <v>444155.87899999996</v>
      </c>
      <c r="I74" s="273">
        <f t="shared" si="3"/>
        <v>96.639163914129654</v>
      </c>
      <c r="J74" s="233">
        <v>450590.55000000005</v>
      </c>
      <c r="K74" s="264">
        <f t="shared" si="4"/>
        <v>1.2533812239221143E-2</v>
      </c>
      <c r="L74" s="216">
        <f t="shared" si="5"/>
        <v>453167.68999999994</v>
      </c>
      <c r="M74" s="273">
        <f t="shared" si="6"/>
        <v>100.57194719241224</v>
      </c>
      <c r="BY74" s="144"/>
      <c r="BZ74" s="144"/>
      <c r="CA74" s="143"/>
      <c r="CB74" s="143"/>
      <c r="CC74" s="143"/>
      <c r="CD74" s="140"/>
    </row>
    <row r="75" spans="2:82" ht="13.5" customHeight="1" thickTop="1" thickBot="1">
      <c r="C75" s="146" t="str">
        <f>+'Cental Budget'!C74</f>
        <v>Povećanje / smanjenje depozita</v>
      </c>
      <c r="D75" s="147">
        <f>-D70-SUM(D72:D74)</f>
        <v>5776295.4699999988</v>
      </c>
      <c r="E75" s="246">
        <f t="shared" si="1"/>
        <v>0.15353504518632713</v>
      </c>
      <c r="F75" s="147">
        <f>-F70-SUM(F72:F74)</f>
        <v>4468195.2170000002</v>
      </c>
      <c r="G75" s="246">
        <f t="shared" si="0"/>
        <v>0.11876548872999841</v>
      </c>
      <c r="H75" s="204">
        <f t="shared" si="2"/>
        <v>1308100.2529999986</v>
      </c>
      <c r="I75" s="261">
        <f t="shared" si="3"/>
        <v>29.275808004608024</v>
      </c>
      <c r="J75" s="147">
        <f>-J70-SUM(J72:J74)</f>
        <v>4128653.5200000126</v>
      </c>
      <c r="K75" s="294">
        <f t="shared" si="4"/>
        <v>0.11484432600834527</v>
      </c>
      <c r="L75" s="204">
        <f t="shared" si="5"/>
        <v>1647641.9499999862</v>
      </c>
      <c r="M75" s="261">
        <f t="shared" si="6"/>
        <v>39.907489015934203</v>
      </c>
      <c r="BY75" s="144"/>
      <c r="BZ75" s="144"/>
      <c r="CA75" s="143"/>
      <c r="CB75" s="143"/>
      <c r="CC75" s="143"/>
      <c r="CD75" s="140"/>
    </row>
    <row r="76" spans="2:82" ht="13.5" customHeight="1" thickTop="1" thickBot="1">
      <c r="B76" s="80">
        <v>999</v>
      </c>
      <c r="C76" s="151" t="s">
        <v>459</v>
      </c>
      <c r="D76" s="224">
        <v>198962.05</v>
      </c>
      <c r="E76" s="267">
        <f t="shared" si="1"/>
        <v>5.2884495773749393E-3</v>
      </c>
      <c r="F76" s="224">
        <v>185257.6734</v>
      </c>
      <c r="G76" s="267">
        <f t="shared" si="0"/>
        <v>4.9241846100685771E-3</v>
      </c>
      <c r="H76" s="223">
        <f t="shared" si="2"/>
        <v>13704.376599999989</v>
      </c>
      <c r="I76" s="267">
        <f t="shared" si="3"/>
        <v>7.397467726160059</v>
      </c>
      <c r="J76" s="224">
        <v>181625.16999999998</v>
      </c>
      <c r="K76" s="293">
        <f t="shared" si="4"/>
        <v>5.0521605006954105E-3</v>
      </c>
      <c r="L76" s="223">
        <f t="shared" si="5"/>
        <v>17336.880000000005</v>
      </c>
      <c r="M76" s="267">
        <f t="shared" si="6"/>
        <v>9.545417080683265</v>
      </c>
      <c r="N76" s="208"/>
      <c r="BY76" s="144"/>
      <c r="BZ76" s="144"/>
      <c r="CA76" s="143"/>
      <c r="CB76" s="143"/>
      <c r="CC76" s="143"/>
      <c r="CD76" s="140"/>
    </row>
    <row r="77" spans="2:82" ht="13.5" thickTop="1">
      <c r="C77" s="106" t="str">
        <f>IF(MasterSheet!$A$1=1,MasterSheet!C151,MasterSheet!B151)</f>
        <v>Izvor: Ministarstvo finansija Crne Gore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O77" s="81"/>
    </row>
    <row r="78" spans="2:82"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O78" s="81"/>
    </row>
    <row r="79" spans="2:82">
      <c r="D79" s="133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2">
      <c r="D80" s="133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3:13"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</row>
    <row r="82" spans="3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3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3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3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3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3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3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3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3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3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3:13">
      <c r="E92" s="134"/>
      <c r="F92" s="134"/>
      <c r="G92" s="134"/>
      <c r="H92" s="134"/>
      <c r="I92" s="134"/>
      <c r="J92" s="134"/>
      <c r="K92" s="134"/>
      <c r="L92" s="134"/>
      <c r="M92" s="134"/>
    </row>
    <row r="93" spans="3:13">
      <c r="E93" s="134"/>
      <c r="F93" s="134"/>
      <c r="G93" s="134"/>
      <c r="H93" s="134"/>
      <c r="I93" s="134"/>
      <c r="J93" s="134"/>
      <c r="K93" s="134"/>
      <c r="L93" s="134"/>
      <c r="M93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N76"/>
  <sheetViews>
    <sheetView zoomScaleNormal="100" workbookViewId="0">
      <selection activeCell="U12" sqref="U12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4" width="12" style="80" bestFit="1" customWidth="1"/>
    <col min="5" max="7" width="9.42578125" style="80" customWidth="1"/>
    <col min="8" max="8" width="10" style="80" bestFit="1" customWidth="1"/>
    <col min="9" max="11" width="9.42578125" style="80" customWidth="1"/>
    <col min="12" max="12" width="10" style="80" bestFit="1" customWidth="1"/>
    <col min="13" max="13" width="9.42578125" style="80" customWidth="1"/>
    <col min="14" max="58" width="9.140625" style="80" customWidth="1"/>
    <col min="59" max="59" width="9.140625" style="80"/>
    <col min="60" max="60" width="15.42578125" style="80" customWidth="1"/>
    <col min="61" max="61" width="12.7109375" style="80" customWidth="1"/>
    <col min="62" max="62" width="11.85546875" style="80" customWidth="1"/>
    <col min="63" max="16384" width="9.140625" style="80"/>
  </cols>
  <sheetData>
    <row r="1" spans="2:58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</row>
    <row r="2" spans="2:58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</row>
    <row r="3" spans="2:58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</row>
    <row r="4" spans="2:58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</row>
    <row r="5" spans="2:58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</row>
    <row r="6" spans="2:58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2:58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2:58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</row>
    <row r="9" spans="2:58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</row>
    <row r="10" spans="2:58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</row>
    <row r="11" spans="2:58" ht="18.75" customHeight="1" thickTop="1" thickBot="1">
      <c r="C11" s="165" t="str">
        <f>IF(MasterSheet!$A$1=1,MasterSheet!B67,MasterSheet!B66)</f>
        <v>BDP (u mil. €)</v>
      </c>
      <c r="D11" s="329">
        <f>+'Cental Budget'!D11:G11</f>
        <v>3762200000</v>
      </c>
      <c r="E11" s="330"/>
      <c r="F11" s="330"/>
      <c r="G11" s="331"/>
      <c r="H11" s="316"/>
      <c r="I11" s="317"/>
      <c r="J11" s="327">
        <f>+'Cental Budget'!J11:K11</f>
        <v>3595000000</v>
      </c>
      <c r="K11" s="328"/>
      <c r="L11" s="316"/>
      <c r="M11" s="320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</row>
    <row r="12" spans="2:58" ht="19.5" customHeight="1" thickTop="1">
      <c r="C12" s="17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</row>
    <row r="13" spans="2:58" ht="27" customHeight="1" thickBot="1">
      <c r="B13" s="85"/>
      <c r="C13" s="173"/>
      <c r="D13" s="324"/>
      <c r="E13" s="324"/>
      <c r="F13" s="86"/>
      <c r="G13" s="86"/>
      <c r="H13" s="86"/>
      <c r="I13" s="86"/>
      <c r="J13" s="336"/>
      <c r="K13" s="336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</row>
    <row r="14" spans="2:58" ht="15.75" customHeight="1" thickTop="1">
      <c r="B14" s="87"/>
      <c r="C14" s="332" t="s">
        <v>234</v>
      </c>
      <c r="D14" s="334" t="s">
        <v>465</v>
      </c>
      <c r="E14" s="335"/>
      <c r="F14" s="334" t="s">
        <v>461</v>
      </c>
      <c r="G14" s="335"/>
      <c r="H14" s="334" t="str">
        <f>+'Cental Budget'!H14:I14</f>
        <v>Odstupanje</v>
      </c>
      <c r="I14" s="335"/>
      <c r="J14" s="334" t="s">
        <v>466</v>
      </c>
      <c r="K14" s="335"/>
      <c r="L14" s="334" t="str">
        <f>+H14</f>
        <v>Odstupanje</v>
      </c>
      <c r="M14" s="335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</row>
    <row r="15" spans="2:58" ht="15" customHeight="1" thickBot="1">
      <c r="C15" s="333" t="str">
        <f>IF(MasterSheet!$A$1=1,MasterSheet!B71,MasterSheet!B70)</f>
        <v>Budžet Crne Gore</v>
      </c>
      <c r="D15" s="166" t="str">
        <f>IF(MasterSheet!$A$1=1,MasterSheet!C71,MasterSheet!C70)</f>
        <v>mil. €</v>
      </c>
      <c r="E15" s="167" t="str">
        <f>IF(MasterSheet!$A$1=1,MasterSheet!D71,MasterSheet!D70)</f>
        <v>% BDP</v>
      </c>
      <c r="F15" s="168" t="str">
        <f>IF(MasterSheet!$A$1=1,MasterSheet!E71,MasterSheet!E70)</f>
        <v>mil. €</v>
      </c>
      <c r="G15" s="169" t="str">
        <f>IF(MasterSheet!$A$1=1,MasterSheet!F71,MasterSheet!F70)</f>
        <v>% BDP</v>
      </c>
      <c r="H15" s="170" t="str">
        <f>IF(MasterSheet!$A$1=1,MasterSheet!G71,MasterSheet!G70)</f>
        <v>mil. €</v>
      </c>
      <c r="I15" s="169" t="s">
        <v>441</v>
      </c>
      <c r="J15" s="166" t="str">
        <f>IF(MasterSheet!$A$1=1,MasterSheet!I71,MasterSheet!I70)</f>
        <v>mil. €</v>
      </c>
      <c r="K15" s="168" t="str">
        <f>IF(MasterSheet!$A$1=1,MasterSheet!J71,MasterSheet!J70)</f>
        <v>% BDP</v>
      </c>
      <c r="L15" s="166" t="str">
        <f>IF(MasterSheet!$A$1=1,MasterSheet!K71,MasterSheet!K70)</f>
        <v>mil. €</v>
      </c>
      <c r="M15" s="16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</row>
    <row r="16" spans="2:58" ht="15" customHeight="1" thickTop="1" thickBot="1">
      <c r="C16" s="176" t="str">
        <f>IF(MasterSheet!$A$1=1,MasterSheet!C72,MasterSheet!B72)</f>
        <v>Izvorni prihodi</v>
      </c>
      <c r="D16" s="174">
        <f>D17+D26+D31+D32+D33+D34+D35</f>
        <v>318206974.28999996</v>
      </c>
      <c r="E16" s="280">
        <f t="shared" ref="E16:E75" si="0">D16/D$11*100</f>
        <v>8.4580026125671139</v>
      </c>
      <c r="F16" s="174">
        <f>F17+F26+F31+F32+F33+F34+F35</f>
        <v>301880342.23813444</v>
      </c>
      <c r="G16" s="280">
        <f>F16/D$11*100</f>
        <v>8.02403759072177</v>
      </c>
      <c r="H16" s="174">
        <f>+D16-F16</f>
        <v>16326632.051865518</v>
      </c>
      <c r="I16" s="280">
        <f>+D16/F16*100-100</f>
        <v>5.4083124230018313</v>
      </c>
      <c r="J16" s="174">
        <f>J17+J26+J31+J32+J33+J34+J35</f>
        <v>292279161.30999994</v>
      </c>
      <c r="K16" s="280">
        <f t="shared" ref="K16:K75" si="1">J16/J$11*100</f>
        <v>8.1301574773296235</v>
      </c>
      <c r="L16" s="174">
        <f>+D16-J16</f>
        <v>25927812.980000019</v>
      </c>
      <c r="M16" s="280">
        <f>+D16/J16*100-100</f>
        <v>8.8709071367904357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</row>
    <row r="17" spans="2:63" ht="15" customHeight="1" thickTop="1">
      <c r="B17" s="80">
        <v>711</v>
      </c>
      <c r="C17" s="93" t="str">
        <f>IF(MasterSheet!$A$1=1,MasterSheet!C73,MasterSheet!B73)</f>
        <v>Porezi</v>
      </c>
      <c r="D17" s="152">
        <f>SUM(D18:D25)</f>
        <v>200753334.93999997</v>
      </c>
      <c r="E17" s="281">
        <f t="shared" si="0"/>
        <v>5.3360622757960758</v>
      </c>
      <c r="F17" s="152">
        <f>SUM(F18:F25)</f>
        <v>182394387.23194578</v>
      </c>
      <c r="G17" s="281">
        <f t="shared" ref="G17:G75" si="2">F17/D$11*100</f>
        <v>4.8480779127092068</v>
      </c>
      <c r="H17" s="205">
        <f t="shared" ref="H17:H75" si="3">+D17-F17</f>
        <v>18358947.708054185</v>
      </c>
      <c r="I17" s="287">
        <f t="shared" ref="I17:I75" si="4">+D17/F17*100-100</f>
        <v>10.065522293022994</v>
      </c>
      <c r="J17" s="152">
        <f>SUM(J18:J25)</f>
        <v>179194463.43000001</v>
      </c>
      <c r="K17" s="281">
        <f t="shared" si="1"/>
        <v>4.9845469660639781</v>
      </c>
      <c r="L17" s="205">
        <f t="shared" ref="L17:L75" si="5">+D17-J17</f>
        <v>21558871.509999961</v>
      </c>
      <c r="M17" s="289">
        <f t="shared" ref="M17:M75" si="6">+D17/J17*100-100</f>
        <v>12.030991972261276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</row>
    <row r="18" spans="2:63" ht="15" customHeight="1">
      <c r="B18" s="80">
        <v>7111</v>
      </c>
      <c r="C18" s="97" t="str">
        <f>IF(MasterSheet!$A$1=1,MasterSheet!C74,MasterSheet!B74)</f>
        <v>Porez na dohodak fizičkih lica</v>
      </c>
      <c r="D18" s="154">
        <f>'Cental Budget'!D18+'Local Government'!D18</f>
        <v>29590533.639999993</v>
      </c>
      <c r="E18" s="282">
        <f t="shared" si="0"/>
        <v>0.78652207857104872</v>
      </c>
      <c r="F18" s="154">
        <f>+IF(ISNUMBER(VLOOKUP($B18,'Cental Budget'!$B$16:$K$76,'Public Expenditure'!F$1,FALSE)),VLOOKUP($B18,'Cental Budget'!$B$16:$K$76,'Public Expenditure'!F$1,FALSE),0)+IF(ISNUMBER(VLOOKUP('Public Expenditure'!$B18,'Local Government'!$B$16:$M$76,'Public Expenditure'!F$1,FALSE)),VLOOKUP('Public Expenditure'!$B18,'Local Government'!$B$16:$M$76,'Public Expenditure'!F$1,FALSE),0)</f>
        <v>22345375.923882991</v>
      </c>
      <c r="G18" s="282">
        <f t="shared" si="2"/>
        <v>0.59394439221420958</v>
      </c>
      <c r="H18" s="206">
        <f t="shared" si="3"/>
        <v>7245157.7161170021</v>
      </c>
      <c r="I18" s="288">
        <f t="shared" si="4"/>
        <v>32.42352127257476</v>
      </c>
      <c r="J18" s="154">
        <f>+IF(ISNUMBER(VLOOKUP($B18,'Cental Budget'!$B$16:$K$76,'Public Expenditure'!J$1,FALSE)),VLOOKUP($B18,'Cental Budget'!$B$16:$K$76,'Public Expenditure'!J$1,FALSE),0)+IF(ISNUMBER(VLOOKUP('Public Expenditure'!$B18,'Local Government'!$B$16:$M$76,'Public Expenditure'!J$1,FALSE)),VLOOKUP('Public Expenditure'!$B18,'Local Government'!$B$16:$M$76,'Public Expenditure'!J$1,FALSE),0)</f>
        <v>23288856.919999994</v>
      </c>
      <c r="K18" s="282">
        <f t="shared" si="1"/>
        <v>0.64781243171070912</v>
      </c>
      <c r="L18" s="206">
        <f t="shared" si="5"/>
        <v>6301676.7199999988</v>
      </c>
      <c r="M18" s="288">
        <f t="shared" si="6"/>
        <v>27.058763517879015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</row>
    <row r="19" spans="2:63" ht="15" customHeight="1">
      <c r="B19" s="80">
        <v>7112</v>
      </c>
      <c r="C19" s="97" t="str">
        <f>IF(MasterSheet!$A$1=1,MasterSheet!C75,MasterSheet!B75)</f>
        <v>Porez na dobit pravnih lica</v>
      </c>
      <c r="D19" s="154">
        <f>'Cental Budget'!D19</f>
        <v>16590793.719999999</v>
      </c>
      <c r="E19" s="282">
        <f t="shared" si="0"/>
        <v>0.44098648981978628</v>
      </c>
      <c r="F19" s="154">
        <f>+IF(ISNUMBER(VLOOKUP($B19,'Cental Budget'!$B$16:$K$76,'Public Expenditure'!F$1,FALSE)),VLOOKUP($B19,'Cental Budget'!$B$16:$K$76,'Public Expenditure'!F$1,FALSE),0)+IF(ISNUMBER(VLOOKUP('Public Expenditure'!$B19,'Local Government'!$B$16:$M$76,'Public Expenditure'!F$1,FALSE)),VLOOKUP('Public Expenditure'!$B19,'Local Government'!$B$16:$M$76,'Public Expenditure'!F$1,FALSE),0)</f>
        <v>11423541.325949507</v>
      </c>
      <c r="G19" s="282">
        <f t="shared" si="2"/>
        <v>0.3036399267968079</v>
      </c>
      <c r="H19" s="206">
        <f t="shared" si="3"/>
        <v>5167252.394050492</v>
      </c>
      <c r="I19" s="288">
        <f t="shared" si="4"/>
        <v>45.233367189845552</v>
      </c>
      <c r="J19" s="154">
        <f>+IF(ISNUMBER(VLOOKUP($B19,'Cental Budget'!$B$16:$K$76,'Public Expenditure'!J$1,FALSE)),VLOOKUP($B19,'Cental Budget'!$B$16:$K$76,'Public Expenditure'!J$1,FALSE),0)+IF(ISNUMBER(VLOOKUP('Public Expenditure'!$B19,'Local Government'!$B$16:$M$76,'Public Expenditure'!J$1,FALSE)),VLOOKUP('Public Expenditure'!$B19,'Local Government'!$B$16:$M$76,'Public Expenditure'!J$1,FALSE),0)</f>
        <v>11124106.059999999</v>
      </c>
      <c r="K19" s="282">
        <f t="shared" si="1"/>
        <v>0.30943271376912374</v>
      </c>
      <c r="L19" s="206">
        <f t="shared" si="5"/>
        <v>5466687.6600000001</v>
      </c>
      <c r="M19" s="288">
        <f t="shared" si="6"/>
        <v>49.142714304541613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H19" s="81"/>
    </row>
    <row r="20" spans="2:63" ht="15" customHeight="1">
      <c r="B20" s="80">
        <v>7113</v>
      </c>
      <c r="C20" s="97" t="str">
        <f>IF(MasterSheet!$A$1=1,MasterSheet!C76,MasterSheet!B76)</f>
        <v>Porez na promet nepokretnosti</v>
      </c>
      <c r="D20" s="154">
        <f>'Cental Budget'!D20+'Local Government'!D19</f>
        <v>2715404.55</v>
      </c>
      <c r="E20" s="282">
        <f t="shared" si="0"/>
        <v>7.2175975493062566E-2</v>
      </c>
      <c r="F20" s="154">
        <f>+IF(ISNUMBER(VLOOKUP($B20,'Cental Budget'!$B$16:$K$76,'Public Expenditure'!F$1,FALSE)),VLOOKUP($B20,'Cental Budget'!$B$16:$K$76,'Public Expenditure'!F$1,FALSE),0)+IF(ISNUMBER(VLOOKUP('Public Expenditure'!$B20,'Local Government'!$B$16:$M$76,'Public Expenditure'!F$1,FALSE)),VLOOKUP('Public Expenditure'!$B20,'Local Government'!$B$16:$M$76,'Public Expenditure'!F$1,FALSE),0)</f>
        <v>2936319.3200383303</v>
      </c>
      <c r="G20" s="282">
        <f t="shared" si="2"/>
        <v>7.8047932593650796E-2</v>
      </c>
      <c r="H20" s="206">
        <f t="shared" si="3"/>
        <v>-220914.77003833046</v>
      </c>
      <c r="I20" s="288">
        <f t="shared" si="4"/>
        <v>-7.5235267680439648</v>
      </c>
      <c r="J20" s="154">
        <f>+IF(ISNUMBER(VLOOKUP($B20,'Cental Budget'!$B$16:$K$76,'Public Expenditure'!J$1,FALSE)),VLOOKUP($B20,'Cental Budget'!$B$16:$K$76,'Public Expenditure'!J$1,FALSE),0)+IF(ISNUMBER(VLOOKUP('Public Expenditure'!$B20,'Local Government'!$B$16:$M$76,'Public Expenditure'!J$1,FALSE)),VLOOKUP('Public Expenditure'!$B20,'Local Government'!$B$16:$M$76,'Public Expenditure'!J$1,FALSE),0)</f>
        <v>3363515.87</v>
      </c>
      <c r="K20" s="282">
        <f t="shared" si="1"/>
        <v>9.3560942141863709E-2</v>
      </c>
      <c r="L20" s="206">
        <f t="shared" si="5"/>
        <v>-648111.3200000003</v>
      </c>
      <c r="M20" s="288">
        <f t="shared" si="6"/>
        <v>-19.268864635979853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</row>
    <row r="21" spans="2:63" ht="15" customHeight="1">
      <c r="B21" s="80">
        <v>7114</v>
      </c>
      <c r="C21" s="97" t="str">
        <f>IF(MasterSheet!$A$1=1,MasterSheet!C77,MasterSheet!B77)</f>
        <v>Porez na dodatu vrijednost</v>
      </c>
      <c r="D21" s="154">
        <f>'Cental Budget'!D21</f>
        <v>101136918.48</v>
      </c>
      <c r="E21" s="282">
        <f t="shared" si="0"/>
        <v>2.688238756046994</v>
      </c>
      <c r="F21" s="154">
        <f>+IF(ISNUMBER(VLOOKUP($B21,'Cental Budget'!$B$16:$K$76,'Public Expenditure'!F$1,FALSE)),VLOOKUP($B21,'Cental Budget'!$B$16:$K$76,'Public Expenditure'!F$1,FALSE),0)+IF(ISNUMBER(VLOOKUP('Public Expenditure'!$B21,'Local Government'!$B$16:$M$76,'Public Expenditure'!F$1,FALSE)),VLOOKUP('Public Expenditure'!$B21,'Local Government'!$B$16:$M$76,'Public Expenditure'!F$1,FALSE),0)</f>
        <v>97712242.169238597</v>
      </c>
      <c r="G21" s="282">
        <f t="shared" si="2"/>
        <v>2.5972102006602147</v>
      </c>
      <c r="H21" s="206">
        <f t="shared" si="3"/>
        <v>3424676.310761407</v>
      </c>
      <c r="I21" s="288">
        <f t="shared" si="4"/>
        <v>3.5048589969206176</v>
      </c>
      <c r="J21" s="154">
        <f>+IF(ISNUMBER(VLOOKUP($B21,'Cental Budget'!$B$16:$K$76,'Public Expenditure'!J$1,FALSE)),VLOOKUP($B21,'Cental Budget'!$B$16:$K$76,'Public Expenditure'!J$1,FALSE),0)+IF(ISNUMBER(VLOOKUP('Public Expenditure'!$B21,'Local Government'!$B$16:$M$76,'Public Expenditure'!J$1,FALSE)),VLOOKUP('Public Expenditure'!$B21,'Local Government'!$B$16:$M$76,'Public Expenditure'!J$1,FALSE),0)</f>
        <v>93369945.780000001</v>
      </c>
      <c r="K21" s="282">
        <f t="shared" si="1"/>
        <v>2.5972168506258693</v>
      </c>
      <c r="L21" s="206">
        <f t="shared" si="5"/>
        <v>7766972.700000003</v>
      </c>
      <c r="M21" s="288">
        <f t="shared" si="6"/>
        <v>8.3184933172186817</v>
      </c>
    </row>
    <row r="22" spans="2:63" ht="15" customHeight="1">
      <c r="B22" s="80">
        <v>7115</v>
      </c>
      <c r="C22" s="97" t="str">
        <f>IF(MasterSheet!$A$1=1,MasterSheet!C78,MasterSheet!B78)</f>
        <v>Akcize</v>
      </c>
      <c r="D22" s="154">
        <f>'Cental Budget'!D22</f>
        <v>33745496.479999989</v>
      </c>
      <c r="E22" s="282">
        <f t="shared" si="0"/>
        <v>0.8969617904417625</v>
      </c>
      <c r="F22" s="154">
        <f>+IF(ISNUMBER(VLOOKUP($B22,'Cental Budget'!$B$16:$K$76,'Public Expenditure'!F$1,FALSE)),VLOOKUP($B22,'Cental Budget'!$B$16:$K$76,'Public Expenditure'!F$1,FALSE),0)+IF(ISNUMBER(VLOOKUP('Public Expenditure'!$B22,'Local Government'!$B$16:$M$76,'Public Expenditure'!F$1,FALSE)),VLOOKUP('Public Expenditure'!$B22,'Local Government'!$B$16:$M$76,'Public Expenditure'!F$1,FALSE),0)</f>
        <v>32821321.139048874</v>
      </c>
      <c r="G22" s="282">
        <f t="shared" si="2"/>
        <v>0.87239703203043106</v>
      </c>
      <c r="H22" s="206">
        <f t="shared" si="3"/>
        <v>924175.34095111489</v>
      </c>
      <c r="I22" s="288">
        <f t="shared" si="4"/>
        <v>2.8157773937124801</v>
      </c>
      <c r="J22" s="154">
        <f>+IF(ISNUMBER(VLOOKUP($B22,'Cental Budget'!$B$16:$K$76,'Public Expenditure'!J$1,FALSE)),VLOOKUP($B22,'Cental Budget'!$B$16:$K$76,'Public Expenditure'!J$1,FALSE),0)+IF(ISNUMBER(VLOOKUP('Public Expenditure'!$B22,'Local Government'!$B$16:$M$76,'Public Expenditure'!J$1,FALSE)),VLOOKUP('Public Expenditure'!$B22,'Local Government'!$B$16:$M$76,'Public Expenditure'!J$1,FALSE),0)</f>
        <v>32084642.320000004</v>
      </c>
      <c r="K22" s="282">
        <f t="shared" si="1"/>
        <v>0.89247961947148835</v>
      </c>
      <c r="L22" s="206">
        <f t="shared" si="5"/>
        <v>1660854.1599999852</v>
      </c>
      <c r="M22" s="288">
        <f t="shared" si="6"/>
        <v>5.1764770927949115</v>
      </c>
    </row>
    <row r="23" spans="2:63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f>'Cental Budget'!D23</f>
        <v>4538417.9700000007</v>
      </c>
      <c r="E23" s="282">
        <f t="shared" si="0"/>
        <v>0.12063202301844667</v>
      </c>
      <c r="F23" s="154">
        <f>+IF(ISNUMBER(VLOOKUP($B23,'Cental Budget'!$B$16:$K$76,'Public Expenditure'!F$1,FALSE)),VLOOKUP($B23,'Cental Budget'!$B$16:$K$76,'Public Expenditure'!F$1,FALSE),0)+IF(ISNUMBER(VLOOKUP('Public Expenditure'!$B23,'Local Government'!$B$16:$M$76,'Public Expenditure'!F$1,FALSE)),VLOOKUP('Public Expenditure'!$B23,'Local Government'!$B$16:$M$76,'Public Expenditure'!F$1,FALSE),0)</f>
        <v>4316237.4999175072</v>
      </c>
      <c r="G23" s="282">
        <f t="shared" si="2"/>
        <v>0.11472642336711253</v>
      </c>
      <c r="H23" s="206">
        <f t="shared" si="3"/>
        <v>222180.4700824935</v>
      </c>
      <c r="I23" s="288">
        <f t="shared" si="4"/>
        <v>5.1475496908300187</v>
      </c>
      <c r="J23" s="154">
        <f>+IF(ISNUMBER(VLOOKUP($B23,'Cental Budget'!$B$16:$K$76,'Public Expenditure'!J$1,FALSE)),VLOOKUP($B23,'Cental Budget'!$B$16:$K$76,'Public Expenditure'!J$1,FALSE),0)+IF(ISNUMBER(VLOOKUP('Public Expenditure'!$B23,'Local Government'!$B$16:$M$76,'Public Expenditure'!J$1,FALSE)),VLOOKUP('Public Expenditure'!$B23,'Local Government'!$B$16:$M$76,'Public Expenditure'!J$1,FALSE),0)</f>
        <v>4590661.21</v>
      </c>
      <c r="K23" s="282">
        <f t="shared" si="1"/>
        <v>0.12769572211404728</v>
      </c>
      <c r="L23" s="206">
        <f t="shared" si="5"/>
        <v>-52243.239999999292</v>
      </c>
      <c r="M23" s="288">
        <f t="shared" si="6"/>
        <v>-1.1380330111530697</v>
      </c>
      <c r="BI23" s="138"/>
      <c r="BJ23" s="138"/>
      <c r="BK23" s="81"/>
    </row>
    <row r="24" spans="2:63" ht="15" customHeight="1">
      <c r="B24" s="80">
        <v>7117</v>
      </c>
      <c r="C24" s="97" t="s">
        <v>11</v>
      </c>
      <c r="D24" s="154">
        <f>'Local Government'!D20</f>
        <v>10592714.32</v>
      </c>
      <c r="E24" s="282">
        <f t="shared" si="0"/>
        <v>0.28155638509382808</v>
      </c>
      <c r="F24" s="154">
        <f>+IF(ISNUMBER(VLOOKUP($B24,'Cental Budget'!$B$16:$K$76,'Public Expenditure'!F$1,FALSE)),VLOOKUP($B24,'Cental Budget'!$B$16:$K$76,'Public Expenditure'!F$1,FALSE),0)+IF(ISNUMBER(VLOOKUP('Public Expenditure'!$B24,'Local Government'!$B$16:$M$76,'Public Expenditure'!F$1,FALSE)),VLOOKUP('Public Expenditure'!$B24,'Local Government'!$B$16:$M$76,'Public Expenditure'!F$1,FALSE),0)</f>
        <v>9326071.0106000006</v>
      </c>
      <c r="G24" s="282">
        <f t="shared" si="2"/>
        <v>0.24788876217638617</v>
      </c>
      <c r="H24" s="206">
        <f t="shared" si="3"/>
        <v>1266643.3093999997</v>
      </c>
      <c r="I24" s="288">
        <f t="shared" si="4"/>
        <v>13.581746353425089</v>
      </c>
      <c r="J24" s="154">
        <f>+IF(ISNUMBER(VLOOKUP($B24,'Cental Budget'!$B$16:$K$76,'Public Expenditure'!J$1,FALSE)),VLOOKUP($B24,'Cental Budget'!$B$16:$K$76,'Public Expenditure'!J$1,FALSE),0)+IF(ISNUMBER(VLOOKUP('Public Expenditure'!$B24,'Local Government'!$B$16:$M$76,'Public Expenditure'!J$1,FALSE)),VLOOKUP('Public Expenditure'!$B24,'Local Government'!$B$16:$M$76,'Public Expenditure'!J$1,FALSE),0)</f>
        <v>10123599.029999999</v>
      </c>
      <c r="K24" s="282">
        <f t="shared" si="1"/>
        <v>0.28160219833101524</v>
      </c>
      <c r="L24" s="206">
        <f t="shared" si="5"/>
        <v>469115.29000000097</v>
      </c>
      <c r="M24" s="288">
        <f t="shared" si="6"/>
        <v>4.6338786098682618</v>
      </c>
      <c r="BI24" s="138"/>
      <c r="BJ24" s="138"/>
      <c r="BK24" s="81"/>
    </row>
    <row r="25" spans="2:63" ht="15" customHeight="1">
      <c r="B25" s="80">
        <v>7118</v>
      </c>
      <c r="C25" s="97" t="s">
        <v>462</v>
      </c>
      <c r="D25" s="154">
        <f>'Cental Budget'!D24</f>
        <v>1843055.7799999993</v>
      </c>
      <c r="E25" s="282">
        <f t="shared" si="0"/>
        <v>4.8988777311147709E-2</v>
      </c>
      <c r="F25" s="154">
        <f>+IF(ISNUMBER(VLOOKUP($B25,'Cental Budget'!$B$16:$K$76,'Public Expenditure'!F$1,FALSE)),VLOOKUP($B25,'Cental Budget'!$B$16:$K$76,'Public Expenditure'!F$1,FALSE),0)+IF(ISNUMBER(VLOOKUP('Public Expenditure'!$B25,'Local Government'!$B$16:$M$76,'Public Expenditure'!F$1,FALSE)),VLOOKUP('Public Expenditure'!$B25,'Local Government'!$B$16:$M$76,'Public Expenditure'!F$1,FALSE),0)</f>
        <v>1513278.8432699675</v>
      </c>
      <c r="G25" s="282">
        <f t="shared" si="2"/>
        <v>4.0223242870394117E-2</v>
      </c>
      <c r="H25" s="206">
        <f t="shared" si="3"/>
        <v>329776.93673003186</v>
      </c>
      <c r="I25" s="288">
        <f t="shared" si="4"/>
        <v>21.792212201779918</v>
      </c>
      <c r="J25" s="154">
        <f>+IF(ISNUMBER(VLOOKUP($B25,'Cental Budget'!$B$16:$K$76,'Public Expenditure'!J$1,FALSE)),VLOOKUP($B25,'Cental Budget'!$B$16:$K$76,'Public Expenditure'!J$1,FALSE),0)+IF(ISNUMBER(VLOOKUP('Public Expenditure'!$B25,'Local Government'!$B$16:$M$76,'Public Expenditure'!J$1,FALSE)),VLOOKUP('Public Expenditure'!$B25,'Local Government'!$B$16:$M$76,'Public Expenditure'!J$1,FALSE),0)</f>
        <v>1249136.24</v>
      </c>
      <c r="K25" s="282">
        <f t="shared" si="1"/>
        <v>3.4746487899860914E-2</v>
      </c>
      <c r="L25" s="206">
        <f t="shared" si="5"/>
        <v>593919.53999999934</v>
      </c>
      <c r="M25" s="288">
        <f t="shared" si="6"/>
        <v>47.546418155316616</v>
      </c>
      <c r="BI25" s="138"/>
      <c r="BJ25" s="138"/>
      <c r="BK25" s="81"/>
    </row>
    <row r="26" spans="2:63" ht="15" customHeight="1">
      <c r="B26" s="80">
        <v>712</v>
      </c>
      <c r="C26" s="93" t="str">
        <f>IF(MasterSheet!$A$1=1,MasterSheet!C81,MasterSheet!B81)</f>
        <v>Doprinosi</v>
      </c>
      <c r="D26" s="152">
        <f>'Cental Budget'!D25</f>
        <v>90140128.719999999</v>
      </c>
      <c r="E26" s="283">
        <f t="shared" si="0"/>
        <v>2.3959419679974481</v>
      </c>
      <c r="F26" s="152">
        <f>SUM(F27:F30)</f>
        <v>85858825.305152789</v>
      </c>
      <c r="G26" s="283">
        <f t="shared" si="2"/>
        <v>2.2821440993342401</v>
      </c>
      <c r="H26" s="205">
        <f t="shared" si="3"/>
        <v>4281303.41484721</v>
      </c>
      <c r="I26" s="289">
        <f t="shared" si="4"/>
        <v>4.9864453649708622</v>
      </c>
      <c r="J26" s="152">
        <f>SUM(J27:J30)</f>
        <v>83839022.069999993</v>
      </c>
      <c r="K26" s="283">
        <f t="shared" si="1"/>
        <v>2.332100752990264</v>
      </c>
      <c r="L26" s="205">
        <f t="shared" si="5"/>
        <v>6301106.650000006</v>
      </c>
      <c r="M26" s="289">
        <f t="shared" si="6"/>
        <v>7.5157205969542389</v>
      </c>
      <c r="BI26" s="138"/>
      <c r="BJ26" s="138"/>
      <c r="BK26" s="81"/>
    </row>
    <row r="27" spans="2:63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4">
        <f>+IF(ISNUMBER(VLOOKUP($B27,'Cental Budget'!$B$16:$K$76,'Public Expenditure'!D$1,FALSE)),VLOOKUP($B27,'Cental Budget'!$B$16:$K$76,'Public Expenditure'!D$1,FALSE),0)+IF(ISNUMBER(VLOOKUP('Public Expenditure'!$B27,'Local Government'!$B$16:$M$76,'Public Expenditure'!D$1,FALSE)),VLOOKUP('Public Expenditure'!$B27,'Local Government'!$B$16:$M$76,'Public Expenditure'!D$1,FALSE),0)</f>
        <v>54003599.459999993</v>
      </c>
      <c r="E27" s="282">
        <f t="shared" si="0"/>
        <v>1.4354260661315186</v>
      </c>
      <c r="F27" s="154">
        <f>+IF(ISNUMBER(VLOOKUP($B27,'Cental Budget'!$B$16:$K$76,'Public Expenditure'!F$1,FALSE)),VLOOKUP($B27,'Cental Budget'!$B$16:$K$76,'Public Expenditure'!F$1,FALSE),0)+IF(ISNUMBER(VLOOKUP('Public Expenditure'!$B27,'Local Government'!$B$16:$M$76,'Public Expenditure'!F$1,FALSE)),VLOOKUP('Public Expenditure'!$B27,'Local Government'!$B$16:$M$76,'Public Expenditure'!F$1,FALSE),0)</f>
        <v>51276926.051312342</v>
      </c>
      <c r="G27" s="282">
        <f t="shared" si="2"/>
        <v>1.3629505622059523</v>
      </c>
      <c r="H27" s="206">
        <f t="shared" si="3"/>
        <v>2726673.4086876512</v>
      </c>
      <c r="I27" s="288">
        <f t="shared" si="4"/>
        <v>5.3175445929794876</v>
      </c>
      <c r="J27" s="154">
        <f>+IF(ISNUMBER(VLOOKUP($B27,'Cental Budget'!$B$16:$K$76,'Public Expenditure'!J$1,FALSE)),VLOOKUP($B27,'Cental Budget'!$B$16:$K$76,'Public Expenditure'!J$1,FALSE),0)+IF(ISNUMBER(VLOOKUP('Public Expenditure'!$B27,'Local Government'!$B$16:$M$76,'Public Expenditure'!J$1,FALSE)),VLOOKUP('Public Expenditure'!$B27,'Local Government'!$B$16:$M$76,'Public Expenditure'!J$1,FALSE),0)</f>
        <v>50560972.180000007</v>
      </c>
      <c r="K27" s="282">
        <f t="shared" si="1"/>
        <v>1.4064248172461755</v>
      </c>
      <c r="L27" s="206">
        <f t="shared" si="5"/>
        <v>3442627.2799999863</v>
      </c>
      <c r="M27" s="288">
        <f t="shared" si="6"/>
        <v>6.808862906638808</v>
      </c>
      <c r="BI27" s="138"/>
      <c r="BJ27" s="138"/>
      <c r="BK27" s="81"/>
    </row>
    <row r="28" spans="2:63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4">
        <f>+IF(ISNUMBER(VLOOKUP($B28,'Cental Budget'!$B$16:$K$76,'Public Expenditure'!D$1,FALSE)),VLOOKUP($B28,'Cental Budget'!$B$16:$K$76,'Public Expenditure'!D$1,FALSE),0)+IF(ISNUMBER(VLOOKUP('Public Expenditure'!$B28,'Local Government'!$B$16:$M$76,'Public Expenditure'!D$1,FALSE)),VLOOKUP('Public Expenditure'!$B28,'Local Government'!$B$16:$M$76,'Public Expenditure'!D$1,FALSE),0)</f>
        <v>31264327.100000001</v>
      </c>
      <c r="E28" s="282">
        <f t="shared" si="0"/>
        <v>0.83101183084365537</v>
      </c>
      <c r="F28" s="154">
        <f>+IF(ISNUMBER(VLOOKUP($B28,'Cental Budget'!$B$16:$K$76,'Public Expenditure'!F$1,FALSE)),VLOOKUP($B28,'Cental Budget'!$B$16:$K$76,'Public Expenditure'!F$1,FALSE),0)+IF(ISNUMBER(VLOOKUP('Public Expenditure'!$B28,'Local Government'!$B$16:$M$76,'Public Expenditure'!F$1,FALSE)),VLOOKUP('Public Expenditure'!$B28,'Local Government'!$B$16:$M$76,'Public Expenditure'!F$1,FALSE),0)</f>
        <v>29924869.910522107</v>
      </c>
      <c r="G28" s="282">
        <f t="shared" si="2"/>
        <v>0.79540880098139666</v>
      </c>
      <c r="H28" s="206">
        <f t="shared" si="3"/>
        <v>1339457.1894778945</v>
      </c>
      <c r="I28" s="288">
        <f t="shared" si="4"/>
        <v>4.4760668750874544</v>
      </c>
      <c r="J28" s="154">
        <f>+IF(ISNUMBER(VLOOKUP($B28,'Cental Budget'!$B$16:$K$76,'Public Expenditure'!J$1,FALSE)),VLOOKUP($B28,'Cental Budget'!$B$16:$K$76,'Public Expenditure'!J$1,FALSE),0)+IF(ISNUMBER(VLOOKUP('Public Expenditure'!$B28,'Local Government'!$B$16:$M$76,'Public Expenditure'!J$1,FALSE)),VLOOKUP('Public Expenditure'!$B28,'Local Government'!$B$16:$M$76,'Public Expenditure'!J$1,FALSE),0)</f>
        <v>28782348.929999981</v>
      </c>
      <c r="K28" s="282">
        <f t="shared" si="1"/>
        <v>0.80062166703755155</v>
      </c>
      <c r="L28" s="206">
        <f t="shared" si="5"/>
        <v>2481978.1700000204</v>
      </c>
      <c r="M28" s="288">
        <f t="shared" si="6"/>
        <v>8.6232648212149314</v>
      </c>
      <c r="BI28" s="138"/>
      <c r="BJ28" s="138"/>
      <c r="BK28" s="81"/>
    </row>
    <row r="29" spans="2:63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4">
        <f>+IF(ISNUMBER(VLOOKUP($B29,'Cental Budget'!$B$16:$K$76,'Public Expenditure'!D$1,FALSE)),VLOOKUP($B29,'Cental Budget'!$B$16:$K$76,'Public Expenditure'!D$1,FALSE),0)+IF(ISNUMBER(VLOOKUP('Public Expenditure'!$B29,'Local Government'!$B$16:$M$76,'Public Expenditure'!D$1,FALSE)),VLOOKUP('Public Expenditure'!$B29,'Local Government'!$B$16:$M$76,'Public Expenditure'!D$1,FALSE),0)</f>
        <v>2530450.5399999991</v>
      </c>
      <c r="E29" s="282">
        <f t="shared" si="0"/>
        <v>6.7259862314603139E-2</v>
      </c>
      <c r="F29" s="154">
        <f>+IF(ISNUMBER(VLOOKUP($B29,'Cental Budget'!$B$16:$K$76,'Public Expenditure'!F$1,FALSE)),VLOOKUP($B29,'Cental Budget'!$B$16:$K$76,'Public Expenditure'!F$1,FALSE),0)+IF(ISNUMBER(VLOOKUP('Public Expenditure'!$B29,'Local Government'!$B$16:$M$76,'Public Expenditure'!F$1,FALSE)),VLOOKUP('Public Expenditure'!$B29,'Local Government'!$B$16:$M$76,'Public Expenditure'!F$1,FALSE),0)</f>
        <v>2466258.2450886806</v>
      </c>
      <c r="G29" s="282">
        <f t="shared" si="2"/>
        <v>6.5553618762656973E-2</v>
      </c>
      <c r="H29" s="206">
        <f t="shared" si="3"/>
        <v>64192.294911318459</v>
      </c>
      <c r="I29" s="288">
        <f t="shared" si="4"/>
        <v>2.6028212998031108</v>
      </c>
      <c r="J29" s="154">
        <f>+IF(ISNUMBER(VLOOKUP($B29,'Cental Budget'!$B$16:$K$76,'Public Expenditure'!J$1,FALSE)),VLOOKUP($B29,'Cental Budget'!$B$16:$K$76,'Public Expenditure'!J$1,FALSE),0)+IF(ISNUMBER(VLOOKUP('Public Expenditure'!$B29,'Local Government'!$B$16:$M$76,'Public Expenditure'!J$1,FALSE)),VLOOKUP('Public Expenditure'!$B29,'Local Government'!$B$16:$M$76,'Public Expenditure'!J$1,FALSE),0)</f>
        <v>2321055.3999999994</v>
      </c>
      <c r="K29" s="282">
        <f t="shared" si="1"/>
        <v>6.4563432545201652E-2</v>
      </c>
      <c r="L29" s="206">
        <f t="shared" si="5"/>
        <v>209395.13999999966</v>
      </c>
      <c r="M29" s="288">
        <f t="shared" si="6"/>
        <v>9.021548559332075</v>
      </c>
      <c r="BI29" s="138"/>
      <c r="BJ29" s="138"/>
      <c r="BK29" s="81"/>
    </row>
    <row r="30" spans="2:63" ht="15" hidden="1" customHeight="1">
      <c r="B30" s="80">
        <v>7124</v>
      </c>
      <c r="C30" s="97" t="str">
        <f>IF(MasterSheet!$A$1=1,MasterSheet!C85,MasterSheet!B85)</f>
        <v>Ostali doprinosi</v>
      </c>
      <c r="D30" s="154">
        <f>+IF(ISNUMBER(VLOOKUP($B30,'Cental Budget'!$B$16:$K$76,'Public Expenditure'!D$1,FALSE)),VLOOKUP($B30,'Cental Budget'!$B$16:$K$76,'Public Expenditure'!D$1,FALSE),0)+IF(ISNUMBER(VLOOKUP('Public Expenditure'!$B30,'Local Government'!$B$16:$M$76,'Public Expenditure'!D$1,FALSE)),VLOOKUP('Public Expenditure'!$B30,'Local Government'!$B$16:$M$76,'Public Expenditure'!D$1,FALSE),0)</f>
        <v>2341751.62</v>
      </c>
      <c r="E30" s="282">
        <f t="shared" si="0"/>
        <v>6.2244208707671049E-2</v>
      </c>
      <c r="F30" s="154">
        <f>+IF(ISNUMBER(VLOOKUP($B30,'Cental Budget'!$B$16:$K$76,'Public Expenditure'!F$1,FALSE)),VLOOKUP($B30,'Cental Budget'!$B$16:$K$76,'Public Expenditure'!F$1,FALSE),0)+IF(ISNUMBER(VLOOKUP('Public Expenditure'!$B30,'Local Government'!$B$16:$M$76,'Public Expenditure'!F$1,FALSE)),VLOOKUP('Public Expenditure'!$B30,'Local Government'!$B$16:$M$76,'Public Expenditure'!F$1,FALSE),0)</f>
        <v>2190771.0982296662</v>
      </c>
      <c r="G30" s="282">
        <f t="shared" si="2"/>
        <v>5.8231117384234393E-2</v>
      </c>
      <c r="H30" s="206">
        <f t="shared" si="3"/>
        <v>150980.52177033387</v>
      </c>
      <c r="I30" s="288">
        <f t="shared" si="4"/>
        <v>6.8916612005854603</v>
      </c>
      <c r="J30" s="154">
        <f>+IF(ISNUMBER(VLOOKUP($B30,'Cental Budget'!$B$16:$K$76,'Public Expenditure'!J$1,FALSE)),VLOOKUP($B30,'Cental Budget'!$B$16:$K$76,'Public Expenditure'!J$1,FALSE),0)+IF(ISNUMBER(VLOOKUP('Public Expenditure'!$B30,'Local Government'!$B$16:$M$76,'Public Expenditure'!J$1,FALSE)),VLOOKUP('Public Expenditure'!$B30,'Local Government'!$B$16:$M$76,'Public Expenditure'!J$1,FALSE),0)</f>
        <v>2174645.5600000005</v>
      </c>
      <c r="K30" s="282">
        <f t="shared" si="1"/>
        <v>6.0490836161335201E-2</v>
      </c>
      <c r="L30" s="206">
        <f t="shared" si="5"/>
        <v>167106.05999999959</v>
      </c>
      <c r="M30" s="288">
        <f t="shared" si="6"/>
        <v>7.6842894802590109</v>
      </c>
      <c r="BI30" s="81"/>
      <c r="BJ30" s="81"/>
      <c r="BK30" s="81"/>
    </row>
    <row r="31" spans="2:63" ht="15" customHeight="1">
      <c r="B31" s="80">
        <v>713</v>
      </c>
      <c r="C31" s="93" t="str">
        <f>IF(MasterSheet!$A$1=1,MasterSheet!C86,MasterSheet!B86)</f>
        <v>Takse</v>
      </c>
      <c r="D31" s="152">
        <f>'Cental Budget'!D30+'Local Government'!D21</f>
        <v>3800509.51</v>
      </c>
      <c r="E31" s="283">
        <f t="shared" si="0"/>
        <v>0.10101827414810483</v>
      </c>
      <c r="F31" s="152">
        <f>+IF(ISNUMBER(VLOOKUP($B31,'Cental Budget'!$B$16:$K$76,'Public Expenditure'!F$1,FALSE)),VLOOKUP($B31,'Cental Budget'!$B$16:$K$76,'Public Expenditure'!F$1,FALSE),0)+IF(ISNUMBER(VLOOKUP('Public Expenditure'!$B31,'Local Government'!$B$16:$M$76,'Public Expenditure'!F$1,FALSE)),VLOOKUP('Public Expenditure'!$B31,'Local Government'!$B$16:$M$76,'Public Expenditure'!F$1,FALSE),0)</f>
        <v>4297719.1472380655</v>
      </c>
      <c r="G31" s="283">
        <f t="shared" si="2"/>
        <v>0.11423420198921018</v>
      </c>
      <c r="H31" s="205">
        <f t="shared" si="3"/>
        <v>-497209.63723806571</v>
      </c>
      <c r="I31" s="289">
        <f t="shared" si="4"/>
        <v>-11.569151454617455</v>
      </c>
      <c r="J31" s="152">
        <f>+IF(ISNUMBER(VLOOKUP($B31,'Cental Budget'!$B$16:$K$76,'Public Expenditure'!J$1,FALSE)),VLOOKUP($B31,'Cental Budget'!$B$16:$K$76,'Public Expenditure'!J$1,FALSE),0)+IF(ISNUMBER(VLOOKUP('Public Expenditure'!$B31,'Local Government'!$B$16:$M$76,'Public Expenditure'!J$1,FALSE)),VLOOKUP('Public Expenditure'!$B31,'Local Government'!$B$16:$M$76,'Public Expenditure'!J$1,FALSE),0)</f>
        <v>3694861.9799999995</v>
      </c>
      <c r="K31" s="283">
        <f t="shared" si="1"/>
        <v>0.10277780194714881</v>
      </c>
      <c r="L31" s="205">
        <f t="shared" si="5"/>
        <v>105647.53000000026</v>
      </c>
      <c r="M31" s="289">
        <f t="shared" si="6"/>
        <v>2.8593092400166</v>
      </c>
      <c r="BI31" s="81"/>
      <c r="BJ31" s="81"/>
      <c r="BK31" s="81"/>
    </row>
    <row r="32" spans="2:63" ht="15" customHeight="1">
      <c r="B32" s="80">
        <v>714</v>
      </c>
      <c r="C32" s="93" t="str">
        <f>IF(MasterSheet!$A$1=1,MasterSheet!C91,MasterSheet!B91)</f>
        <v>Naknade</v>
      </c>
      <c r="D32" s="152">
        <f>'Cental Budget'!D31+'Local Government'!D27</f>
        <v>12815429.09</v>
      </c>
      <c r="E32" s="283">
        <f t="shared" si="0"/>
        <v>0.34063657142097709</v>
      </c>
      <c r="F32" s="152">
        <f>+IF(ISNUMBER(VLOOKUP($B32,'Cental Budget'!$B$16:$K$76,'Public Expenditure'!F$1,FALSE)),VLOOKUP($B32,'Cental Budget'!$B$16:$K$76,'Public Expenditure'!F$1,FALSE),0)+IF(ISNUMBER(VLOOKUP('Public Expenditure'!$B32,'Local Government'!$B$16:$M$76,'Public Expenditure'!F$1,FALSE)),VLOOKUP('Public Expenditure'!$B32,'Local Government'!$B$16:$M$76,'Public Expenditure'!F$1,FALSE),0)</f>
        <v>11271541.16298585</v>
      </c>
      <c r="G32" s="283">
        <f t="shared" si="2"/>
        <v>0.29959973321423239</v>
      </c>
      <c r="H32" s="205">
        <f t="shared" si="3"/>
        <v>1543887.9270141497</v>
      </c>
      <c r="I32" s="289">
        <f t="shared" si="4"/>
        <v>13.697221211275519</v>
      </c>
      <c r="J32" s="152">
        <f>+IF(ISNUMBER(VLOOKUP($B32,'Cental Budget'!$B$16:$K$76,'Public Expenditure'!J$1,FALSE)),VLOOKUP($B32,'Cental Budget'!$B$16:$K$76,'Public Expenditure'!J$1,FALSE),0)+IF(ISNUMBER(VLOOKUP('Public Expenditure'!$B32,'Local Government'!$B$16:$M$76,'Public Expenditure'!J$1,FALSE)),VLOOKUP('Public Expenditure'!$B32,'Local Government'!$B$16:$M$76,'Public Expenditure'!J$1,FALSE),0)</f>
        <v>14411515.309999999</v>
      </c>
      <c r="K32" s="283">
        <f t="shared" si="1"/>
        <v>0.40087664283727398</v>
      </c>
      <c r="L32" s="205">
        <f t="shared" si="5"/>
        <v>-1596086.2199999988</v>
      </c>
      <c r="M32" s="289">
        <f t="shared" si="6"/>
        <v>-11.075075629919994</v>
      </c>
      <c r="BI32" s="138"/>
      <c r="BJ32" s="138"/>
      <c r="BK32" s="138"/>
    </row>
    <row r="33" spans="1:66" ht="15" customHeight="1">
      <c r="B33" s="80">
        <v>715</v>
      </c>
      <c r="C33" s="93" t="str">
        <f>IF(MasterSheet!$A$1=1,MasterSheet!C98,MasterSheet!B98)</f>
        <v>Ostali prihodi</v>
      </c>
      <c r="D33" s="152">
        <f>'Cental Budget'!D32+'Local Government'!D33</f>
        <v>7801274.1200000001</v>
      </c>
      <c r="E33" s="283">
        <f t="shared" si="0"/>
        <v>0.20735936739141991</v>
      </c>
      <c r="F33" s="152">
        <f>+IF(ISNUMBER(VLOOKUP($B33,'Cental Budget'!$B$16:$K$76,'Public Expenditure'!F$1,FALSE)),VLOOKUP($B33,'Cental Budget'!$B$16:$K$76,'Public Expenditure'!F$1,FALSE),0)+IF(ISNUMBER(VLOOKUP('Public Expenditure'!$B33,'Local Government'!$B$16:$M$76,'Public Expenditure'!F$1,FALSE)),VLOOKUP('Public Expenditure'!$B33,'Local Government'!$B$16:$M$76,'Public Expenditure'!F$1,FALSE),0)</f>
        <v>12002510.884224098</v>
      </c>
      <c r="G33" s="283">
        <f t="shared" si="2"/>
        <v>0.31902904907299184</v>
      </c>
      <c r="H33" s="205">
        <f t="shared" si="3"/>
        <v>-4201236.7642240981</v>
      </c>
      <c r="I33" s="289">
        <f t="shared" si="4"/>
        <v>-35.002982332189632</v>
      </c>
      <c r="J33" s="152">
        <f>+IF(ISNUMBER(VLOOKUP($B33,'Cental Budget'!$B$16:$K$76,'Public Expenditure'!J$1,FALSE)),VLOOKUP($B33,'Cental Budget'!$B$16:$K$76,'Public Expenditure'!J$1,FALSE),0)+IF(ISNUMBER(VLOOKUP('Public Expenditure'!$B33,'Local Government'!$B$16:$M$76,'Public Expenditure'!J$1,FALSE)),VLOOKUP('Public Expenditure'!$B33,'Local Government'!$B$16:$M$76,'Public Expenditure'!J$1,FALSE),0)</f>
        <v>7023916.4999999981</v>
      </c>
      <c r="K33" s="283">
        <f t="shared" si="1"/>
        <v>0.19538015299026421</v>
      </c>
      <c r="L33" s="205">
        <f t="shared" si="5"/>
        <v>777357.62000000197</v>
      </c>
      <c r="M33" s="289">
        <f t="shared" si="6"/>
        <v>11.067295859795621</v>
      </c>
      <c r="BI33" s="81"/>
      <c r="BJ33" s="81"/>
      <c r="BK33" s="81"/>
      <c r="BL33" s="81"/>
      <c r="BM33" s="81"/>
    </row>
    <row r="34" spans="1:66">
      <c r="B34" s="80">
        <v>73</v>
      </c>
      <c r="C34" s="101" t="str">
        <f>IF(MasterSheet!$A$1=1,MasterSheet!C103,MasterSheet!B103)</f>
        <v xml:space="preserve">Primici od otplate kredita </v>
      </c>
      <c r="D34" s="152">
        <f>'Cental Budget'!D33+'Local Government'!D38</f>
        <v>395940.25</v>
      </c>
      <c r="E34" s="283">
        <f t="shared" si="0"/>
        <v>1.0524168039976609E-2</v>
      </c>
      <c r="F34" s="152">
        <f>+IF(ISNUMBER(VLOOKUP($B34,'Cental Budget'!$B$16:$K$76,'Public Expenditure'!F$1,FALSE)),VLOOKUP($B34,'Cental Budget'!$B$16:$K$76,'Public Expenditure'!F$1,FALSE),0)+IF(ISNUMBER(VLOOKUP('Public Expenditure'!$B34,'Local Government'!$B$16:$M$76,'Public Expenditure'!F$1,FALSE)),VLOOKUP('Public Expenditure'!$B34,'Local Government'!$B$16:$M$76,'Public Expenditure'!F$1,FALSE),0)</f>
        <v>1298339.9177190731</v>
      </c>
      <c r="G34" s="283">
        <f t="shared" si="2"/>
        <v>3.4510124866276998E-2</v>
      </c>
      <c r="H34" s="205">
        <f t="shared" si="3"/>
        <v>-902399.66771907313</v>
      </c>
      <c r="I34" s="289">
        <f t="shared" si="4"/>
        <v>-69.504114862647924</v>
      </c>
      <c r="J34" s="152">
        <f>+IF(ISNUMBER(VLOOKUP($B34,'Cental Budget'!$B$16:$K$76,'Public Expenditure'!J$1,FALSE)),VLOOKUP($B34,'Cental Budget'!$B$16:$K$76,'Public Expenditure'!J$1,FALSE),0)+IF(ISNUMBER(VLOOKUP('Public Expenditure'!$B34,'Local Government'!$B$16:$M$76,'Public Expenditure'!J$1,FALSE)),VLOOKUP('Public Expenditure'!$B34,'Local Government'!$B$16:$M$76,'Public Expenditure'!J$1,FALSE),0)</f>
        <v>2819856.76</v>
      </c>
      <c r="K34" s="283">
        <f t="shared" si="1"/>
        <v>7.8438296522948536E-2</v>
      </c>
      <c r="L34" s="205">
        <f t="shared" si="5"/>
        <v>-2423916.5099999998</v>
      </c>
      <c r="M34" s="289">
        <f t="shared" si="6"/>
        <v>-85.958852392204491</v>
      </c>
      <c r="BH34" s="100"/>
      <c r="BI34" s="100"/>
      <c r="BJ34" s="99"/>
      <c r="BK34" s="143"/>
      <c r="BL34" s="143"/>
      <c r="BM34" s="143"/>
      <c r="BN34" s="140"/>
    </row>
    <row r="35" spans="1:66" ht="13.5" customHeight="1" thickBot="1">
      <c r="B35" s="80">
        <v>74</v>
      </c>
      <c r="C35" s="93" t="s">
        <v>122</v>
      </c>
      <c r="D35" s="152">
        <f>'Cental Budget'!D34+'Local Government'!D39-198962.05</f>
        <v>2500357.66</v>
      </c>
      <c r="E35" s="283">
        <f>D35/D$11*100</f>
        <v>6.6459987773111476E-2</v>
      </c>
      <c r="F35" s="152">
        <f>+IF(ISNUMBER(VLOOKUP($B35,'Cental Budget'!$B$16:$K$76,'Public Expenditure'!F$1,FALSE)),VLOOKUP($B35,'Cental Budget'!$B$16:$K$76,'Public Expenditure'!F$1,FALSE),0)+IF(ISNUMBER(VLOOKUP('Public Expenditure'!$B35,'Local Government'!$B$16:$M$76,'Public Expenditure'!F$1,FALSE)),VLOOKUP('Public Expenditure'!$B35,'Local Government'!$B$16:$M$76,'Public Expenditure'!F$1,FALSE),0)-185257.67</f>
        <v>4757018.5888687642</v>
      </c>
      <c r="G35" s="283">
        <f t="shared" si="2"/>
        <v>0.1264424695356112</v>
      </c>
      <c r="H35" s="205">
        <f t="shared" si="3"/>
        <v>-2256660.9288687641</v>
      </c>
      <c r="I35" s="289">
        <f t="shared" si="4"/>
        <v>-47.438556034850521</v>
      </c>
      <c r="J35" s="152">
        <f>+IF(ISNUMBER(VLOOKUP($B35,'Cental Budget'!$B$16:$K$76,'Public Expenditure'!J$1,FALSE)),VLOOKUP($B35,'Cental Budget'!$B$16:$K$76,'Public Expenditure'!J$1,FALSE),0)+IF(ISNUMBER(VLOOKUP('Public Expenditure'!$B35,'Local Government'!$B$16:$M$76,'Public Expenditure'!J$1,FALSE)),VLOOKUP('Public Expenditure'!$B35,'Local Government'!$B$16:$M$76,'Public Expenditure'!J$1,FALSE),0)-181625.17</f>
        <v>1295525.2600000002</v>
      </c>
      <c r="K35" s="283">
        <f>J35/J$11*100</f>
        <v>3.6036863977746879E-2</v>
      </c>
      <c r="L35" s="205">
        <f t="shared" si="5"/>
        <v>1204832.3999999999</v>
      </c>
      <c r="M35" s="289">
        <f t="shared" si="6"/>
        <v>92.999529781457113</v>
      </c>
      <c r="BI35" s="159"/>
      <c r="BJ35" s="159"/>
      <c r="BK35" s="143"/>
      <c r="BL35" s="143"/>
      <c r="BM35" s="143"/>
      <c r="BN35" s="140"/>
    </row>
    <row r="36" spans="1:66" ht="15" customHeight="1" thickTop="1" thickBot="1">
      <c r="B36" s="102"/>
      <c r="C36" s="176" t="s">
        <v>234</v>
      </c>
      <c r="D36" s="171">
        <f>+D38+D49+D55+SUM(D58:D63)</f>
        <v>394968028.48000002</v>
      </c>
      <c r="E36" s="280">
        <f t="shared" si="0"/>
        <v>10.498326204880124</v>
      </c>
      <c r="F36" s="171">
        <f>+F38+F49+F55+SUM(F58:F63)</f>
        <v>478870766.60549998</v>
      </c>
      <c r="G36" s="280">
        <f t="shared" si="2"/>
        <v>12.728477130548615</v>
      </c>
      <c r="H36" s="171">
        <f t="shared" si="3"/>
        <v>-83902738.125499964</v>
      </c>
      <c r="I36" s="280">
        <f t="shared" si="4"/>
        <v>-17.520956378324954</v>
      </c>
      <c r="J36" s="171">
        <f>+J38+J49+J55+SUM(J58:J63)</f>
        <v>351423365.68000001</v>
      </c>
      <c r="K36" s="280">
        <f t="shared" si="1"/>
        <v>9.7753370147426981</v>
      </c>
      <c r="L36" s="171">
        <f t="shared" si="5"/>
        <v>43544662.800000012</v>
      </c>
      <c r="M36" s="280">
        <f t="shared" si="6"/>
        <v>12.390941255639504</v>
      </c>
      <c r="BI36" s="81"/>
      <c r="BJ36" s="81"/>
      <c r="BK36" s="143"/>
      <c r="BL36" s="143"/>
      <c r="BM36" s="143"/>
      <c r="BN36" s="140"/>
    </row>
    <row r="37" spans="1:66" ht="13.5" customHeight="1" thickTop="1" thickBot="1">
      <c r="C37" s="176" t="s">
        <v>125</v>
      </c>
      <c r="D37" s="171">
        <f>+D36-D58</f>
        <v>386981336.16000003</v>
      </c>
      <c r="E37" s="280">
        <f t="shared" si="0"/>
        <v>10.286038386050715</v>
      </c>
      <c r="F37" s="171">
        <f>+F36-F58</f>
        <v>388838639.75889999</v>
      </c>
      <c r="G37" s="280">
        <f t="shared" si="2"/>
        <v>10.335405873130084</v>
      </c>
      <c r="H37" s="171">
        <f t="shared" si="3"/>
        <v>-1857303.5988999605</v>
      </c>
      <c r="I37" s="280">
        <f t="shared" si="4"/>
        <v>-0.47765407266406612</v>
      </c>
      <c r="J37" s="171">
        <f>+J36-J58</f>
        <v>328904481.28000003</v>
      </c>
      <c r="K37" s="280">
        <f t="shared" si="1"/>
        <v>9.1489424556328238</v>
      </c>
      <c r="L37" s="171">
        <f t="shared" si="5"/>
        <v>58076854.879999995</v>
      </c>
      <c r="M37" s="280">
        <f t="shared" si="6"/>
        <v>17.657666035434332</v>
      </c>
      <c r="BI37" s="159"/>
      <c r="BJ37" s="159"/>
      <c r="BK37" s="143"/>
      <c r="BL37" s="143"/>
      <c r="BM37" s="143"/>
      <c r="BN37" s="140"/>
    </row>
    <row r="38" spans="1:66" ht="13.5" customHeight="1" thickTop="1">
      <c r="A38" s="80">
        <v>41</v>
      </c>
      <c r="C38" s="93" t="s">
        <v>62</v>
      </c>
      <c r="D38" s="94">
        <f>+SUM(D39:D48)</f>
        <v>178157768.57000002</v>
      </c>
      <c r="E38" s="283">
        <f t="shared" si="0"/>
        <v>4.7354677733772794</v>
      </c>
      <c r="F38" s="94">
        <f>+SUM(F39:F48)</f>
        <v>186884214.23659995</v>
      </c>
      <c r="G38" s="283">
        <f t="shared" si="2"/>
        <v>4.9674183785178867</v>
      </c>
      <c r="H38" s="203">
        <f t="shared" si="3"/>
        <v>-8726445.6665999293</v>
      </c>
      <c r="I38" s="289">
        <f t="shared" si="4"/>
        <v>-4.6694396860892908</v>
      </c>
      <c r="J38" s="94">
        <f>+SUM(J39:J48)</f>
        <v>154065709.83000001</v>
      </c>
      <c r="K38" s="283">
        <f t="shared" si="1"/>
        <v>4.2855552108484014</v>
      </c>
      <c r="L38" s="203">
        <f t="shared" si="5"/>
        <v>24092058.74000001</v>
      </c>
      <c r="M38" s="289">
        <f t="shared" si="6"/>
        <v>15.637521656560565</v>
      </c>
      <c r="BI38" s="159"/>
      <c r="BJ38" s="159"/>
      <c r="BK38" s="143"/>
      <c r="BL38" s="143"/>
      <c r="BM38" s="143"/>
      <c r="BN38" s="140"/>
    </row>
    <row r="39" spans="1:66" ht="13.5" customHeight="1">
      <c r="B39" s="80">
        <v>411</v>
      </c>
      <c r="C39" s="93" t="s">
        <v>63</v>
      </c>
      <c r="D39" s="152">
        <f>'Cental Budget'!D38+'Local Government'!D43</f>
        <v>104522292.22</v>
      </c>
      <c r="E39" s="283">
        <f t="shared" si="0"/>
        <v>2.7782226415395246</v>
      </c>
      <c r="F39" s="152">
        <f>+IF(ISNUMBER(VLOOKUP($B39,'Cental Budget'!$B$16:$K$76,'Public Expenditure'!F$1,FALSE)),VLOOKUP($B39,'Cental Budget'!$B$16:$K$76,'Public Expenditure'!F$1,FALSE),0)+IF(ISNUMBER(VLOOKUP('Public Expenditure'!$B39,'Local Government'!$B$16:$M$76,'Public Expenditure'!F$1,FALSE)),VLOOKUP('Public Expenditure'!$B39,'Local Government'!$B$16:$M$76,'Public Expenditure'!F$1,FALSE),0)</f>
        <v>110163186.30999999</v>
      </c>
      <c r="G39" s="283">
        <f t="shared" si="2"/>
        <v>2.9281586919887297</v>
      </c>
      <c r="H39" s="205">
        <f t="shared" si="3"/>
        <v>-5640894.0899999887</v>
      </c>
      <c r="I39" s="289">
        <f t="shared" si="4"/>
        <v>-5.120489229611124</v>
      </c>
      <c r="J39" s="152">
        <f>+IF(ISNUMBER(VLOOKUP($B39,'Cental Budget'!$B$16:$K$76,'Public Expenditure'!J$1,FALSE)),VLOOKUP($B39,'Cental Budget'!$B$16:$K$76,'Public Expenditure'!J$1,FALSE),0)+IF(ISNUMBER(VLOOKUP('Public Expenditure'!$B39,'Local Government'!$B$16:$M$76,'Public Expenditure'!J$1,FALSE)),VLOOKUP('Public Expenditure'!$B39,'Local Government'!$B$16:$M$76,'Public Expenditure'!J$1,FALSE),0)</f>
        <v>100114653.23000002</v>
      </c>
      <c r="K39" s="283">
        <f t="shared" si="1"/>
        <v>2.7848304097357444</v>
      </c>
      <c r="L39" s="205">
        <f t="shared" si="5"/>
        <v>4407638.9899999797</v>
      </c>
      <c r="M39" s="289">
        <f t="shared" si="6"/>
        <v>4.4025912768973257</v>
      </c>
      <c r="BI39" s="159"/>
      <c r="BJ39" s="159"/>
      <c r="BK39" s="143"/>
      <c r="BL39" s="143"/>
      <c r="BM39" s="143"/>
      <c r="BN39" s="140"/>
    </row>
    <row r="40" spans="1:66" ht="13.5" customHeight="1">
      <c r="B40" s="80">
        <v>412</v>
      </c>
      <c r="C40" s="93" t="s">
        <v>74</v>
      </c>
      <c r="D40" s="152">
        <f>'Cental Budget'!D39+'Local Government'!D44</f>
        <v>4591208.41</v>
      </c>
      <c r="E40" s="283">
        <f t="shared" si="0"/>
        <v>0.12203520307267025</v>
      </c>
      <c r="F40" s="152">
        <f>+IF(ISNUMBER(VLOOKUP($B40,'Cental Budget'!$B$16:$K$76,'Public Expenditure'!F$1,FALSE)),VLOOKUP($B40,'Cental Budget'!$B$16:$K$76,'Public Expenditure'!F$1,FALSE),0)+IF(ISNUMBER(VLOOKUP('Public Expenditure'!$B40,'Local Government'!$B$16:$M$76,'Public Expenditure'!F$1,FALSE)),VLOOKUP('Public Expenditure'!$B40,'Local Government'!$B$16:$M$76,'Public Expenditure'!F$1,FALSE),0)</f>
        <v>3697973.5649999999</v>
      </c>
      <c r="G40" s="283">
        <f t="shared" si="2"/>
        <v>9.8292848997926729E-2</v>
      </c>
      <c r="H40" s="205">
        <f t="shared" si="3"/>
        <v>893234.8450000002</v>
      </c>
      <c r="I40" s="289">
        <f t="shared" si="4"/>
        <v>24.154711473714926</v>
      </c>
      <c r="J40" s="152">
        <f>+IF(ISNUMBER(VLOOKUP($B40,'Cental Budget'!$B$16:$K$76,'Public Expenditure'!J$1,FALSE)),VLOOKUP($B40,'Cental Budget'!$B$16:$K$76,'Public Expenditure'!J$1,FALSE),0)+IF(ISNUMBER(VLOOKUP('Public Expenditure'!$B40,'Local Government'!$B$16:$M$76,'Public Expenditure'!J$1,FALSE)),VLOOKUP('Public Expenditure'!$B40,'Local Government'!$B$16:$M$76,'Public Expenditure'!J$1,FALSE),0)</f>
        <v>2924624.3499999982</v>
      </c>
      <c r="K40" s="283">
        <f t="shared" si="1"/>
        <v>8.135255493741303E-2</v>
      </c>
      <c r="L40" s="205">
        <f t="shared" si="5"/>
        <v>1666584.0600000019</v>
      </c>
      <c r="M40" s="289">
        <f t="shared" si="6"/>
        <v>56.984551195438229</v>
      </c>
      <c r="BI40" s="159"/>
      <c r="BJ40" s="159"/>
      <c r="BK40" s="143"/>
      <c r="BL40" s="143"/>
      <c r="BM40" s="143"/>
      <c r="BN40" s="140"/>
    </row>
    <row r="41" spans="1:66" ht="13.5" customHeight="1">
      <c r="B41" s="80">
        <v>413</v>
      </c>
      <c r="C41" s="93" t="s">
        <v>428</v>
      </c>
      <c r="D41" s="152">
        <f>'Cental Budget'!D40+'Local Government'!D45</f>
        <v>7036824.3200000012</v>
      </c>
      <c r="E41" s="283">
        <f t="shared" si="0"/>
        <v>0.1870401445962469</v>
      </c>
      <c r="F41" s="152">
        <f>+IF(ISNUMBER(VLOOKUP($B41,'Cental Budget'!$B$16:$K$76,'Public Expenditure'!F$1,FALSE)),VLOOKUP($B41,'Cental Budget'!$B$16:$K$76,'Public Expenditure'!F$1,FALSE),0)+IF(ISNUMBER(VLOOKUP('Public Expenditure'!$B41,'Local Government'!$B$16:$M$76,'Public Expenditure'!F$1,FALSE)),VLOOKUP('Public Expenditure'!$B41,'Local Government'!$B$16:$M$76,'Public Expenditure'!F$1,FALSE),0)</f>
        <v>8657265.9675000012</v>
      </c>
      <c r="G41" s="283">
        <f t="shared" si="2"/>
        <v>0.23011179542554888</v>
      </c>
      <c r="H41" s="205">
        <f t="shared" si="3"/>
        <v>-1620441.6475</v>
      </c>
      <c r="I41" s="289">
        <f t="shared" si="4"/>
        <v>-18.717706647609702</v>
      </c>
      <c r="J41" s="152">
        <f>+IF(ISNUMBER(VLOOKUP($B41,'Cental Budget'!$B$16:$K$76,'Public Expenditure'!J$1,FALSE)),VLOOKUP($B41,'Cental Budget'!$B$16:$K$76,'Public Expenditure'!J$1,FALSE),0)+IF(ISNUMBER(VLOOKUP('Public Expenditure'!$B41,'Local Government'!$B$16:$M$76,'Public Expenditure'!J$1,FALSE)),VLOOKUP('Public Expenditure'!$B41,'Local Government'!$B$16:$M$76,'Public Expenditure'!J$1,FALSE),0)</f>
        <v>6712890.7499999991</v>
      </c>
      <c r="K41" s="283">
        <f t="shared" si="1"/>
        <v>0.18672853268428372</v>
      </c>
      <c r="L41" s="205">
        <f t="shared" si="5"/>
        <v>323933.57000000216</v>
      </c>
      <c r="M41" s="289">
        <f t="shared" si="6"/>
        <v>4.825545090242997</v>
      </c>
      <c r="BI41" s="159"/>
      <c r="BJ41" s="159"/>
      <c r="BK41" s="143"/>
      <c r="BL41" s="143"/>
      <c r="BM41" s="143"/>
      <c r="BN41" s="140"/>
    </row>
    <row r="42" spans="1:66" ht="13.5" customHeight="1">
      <c r="B42" s="80">
        <v>414</v>
      </c>
      <c r="C42" s="93" t="s">
        <v>429</v>
      </c>
      <c r="D42" s="152">
        <f>'Cental Budget'!D41+'Local Government'!D46</f>
        <v>12084443.779999999</v>
      </c>
      <c r="E42" s="283">
        <f t="shared" si="0"/>
        <v>0.32120684120993032</v>
      </c>
      <c r="F42" s="152">
        <f>+IF(ISNUMBER(VLOOKUP($B42,'Cental Budget'!$B$16:$K$76,'Public Expenditure'!F$1,FALSE)),VLOOKUP($B42,'Cental Budget'!$B$16:$K$76,'Public Expenditure'!F$1,FALSE),0)+IF(ISNUMBER(VLOOKUP('Public Expenditure'!$B42,'Local Government'!$B$16:$M$76,'Public Expenditure'!F$1,FALSE)),VLOOKUP('Public Expenditure'!$B42,'Local Government'!$B$16:$M$76,'Public Expenditure'!F$1,FALSE),0)</f>
        <v>12510498.869799998</v>
      </c>
      <c r="G42" s="283">
        <f t="shared" si="2"/>
        <v>0.33253146748710855</v>
      </c>
      <c r="H42" s="205">
        <f t="shared" si="3"/>
        <v>-426055.08979999833</v>
      </c>
      <c r="I42" s="289">
        <f t="shared" si="4"/>
        <v>-3.4055803388343122</v>
      </c>
      <c r="J42" s="152">
        <f>+IF(ISNUMBER(VLOOKUP($B42,'Cental Budget'!$B$16:$K$76,'Public Expenditure'!J$1,FALSE)),VLOOKUP($B42,'Cental Budget'!$B$16:$K$76,'Public Expenditure'!J$1,FALSE),0)+IF(ISNUMBER(VLOOKUP('Public Expenditure'!$B42,'Local Government'!$B$16:$M$76,'Public Expenditure'!J$1,FALSE)),VLOOKUP('Public Expenditure'!$B42,'Local Government'!$B$16:$M$76,'Public Expenditure'!J$1,FALSE),0)</f>
        <v>9638387.5700000003</v>
      </c>
      <c r="K42" s="283">
        <f t="shared" si="1"/>
        <v>0.26810535660639778</v>
      </c>
      <c r="L42" s="205">
        <f t="shared" si="5"/>
        <v>2446056.209999999</v>
      </c>
      <c r="M42" s="289">
        <f t="shared" si="6"/>
        <v>25.378271959238077</v>
      </c>
      <c r="BI42" s="159"/>
      <c r="BJ42" s="159"/>
      <c r="BK42" s="143"/>
      <c r="BL42" s="143"/>
      <c r="BM42" s="143"/>
      <c r="BN42" s="140"/>
    </row>
    <row r="43" spans="1:66" ht="13.5" customHeight="1">
      <c r="B43" s="80">
        <v>415</v>
      </c>
      <c r="C43" s="93" t="s">
        <v>430</v>
      </c>
      <c r="D43" s="152">
        <f>'Cental Budget'!D42+'Local Government'!D47</f>
        <v>2897615.59</v>
      </c>
      <c r="E43" s="283">
        <f t="shared" si="0"/>
        <v>7.7019180001063198E-2</v>
      </c>
      <c r="F43" s="152">
        <f>+IF(ISNUMBER(VLOOKUP($B43,'Cental Budget'!$B$16:$K$76,'Public Expenditure'!F$1,FALSE)),VLOOKUP($B43,'Cental Budget'!$B$16:$K$76,'Public Expenditure'!F$1,FALSE),0)+IF(ISNUMBER(VLOOKUP('Public Expenditure'!$B43,'Local Government'!$B$16:$M$76,'Public Expenditure'!F$1,FALSE)),VLOOKUP('Public Expenditure'!$B43,'Local Government'!$B$16:$M$76,'Public Expenditure'!F$1,FALSE),0)</f>
        <v>5944312.1681999993</v>
      </c>
      <c r="G43" s="283">
        <f t="shared" si="2"/>
        <v>0.15800096135771621</v>
      </c>
      <c r="H43" s="205">
        <f t="shared" si="3"/>
        <v>-3046696.5781999994</v>
      </c>
      <c r="I43" s="289">
        <f t="shared" si="4"/>
        <v>-51.253980140860797</v>
      </c>
      <c r="J43" s="152">
        <f>+IF(ISNUMBER(VLOOKUP($B43,'Cental Budget'!$B$16:$K$76,'Public Expenditure'!J$1,FALSE)),VLOOKUP($B43,'Cental Budget'!$B$16:$K$76,'Public Expenditure'!J$1,FALSE),0)+IF(ISNUMBER(VLOOKUP('Public Expenditure'!$B43,'Local Government'!$B$16:$M$76,'Public Expenditure'!J$1,FALSE)),VLOOKUP('Public Expenditure'!$B43,'Local Government'!$B$16:$M$76,'Public Expenditure'!J$1,FALSE),0)</f>
        <v>4175957.0799999996</v>
      </c>
      <c r="K43" s="283">
        <f t="shared" si="1"/>
        <v>0.11616014130737135</v>
      </c>
      <c r="L43" s="205">
        <f t="shared" si="5"/>
        <v>-1278341.4899999998</v>
      </c>
      <c r="M43" s="289">
        <f t="shared" si="6"/>
        <v>-30.61194034111098</v>
      </c>
      <c r="BI43" s="159"/>
      <c r="BJ43" s="159"/>
      <c r="BK43" s="143"/>
      <c r="BL43" s="143"/>
      <c r="BM43" s="143"/>
      <c r="BN43" s="140"/>
    </row>
    <row r="44" spans="1:66" ht="13.5" customHeight="1">
      <c r="B44" s="80">
        <v>416</v>
      </c>
      <c r="C44" s="93" t="s">
        <v>79</v>
      </c>
      <c r="D44" s="152">
        <f>'Cental Budget'!D43+'Local Government'!D48</f>
        <v>28736428.66</v>
      </c>
      <c r="E44" s="283">
        <f t="shared" si="0"/>
        <v>0.76381980383817982</v>
      </c>
      <c r="F44" s="152">
        <f>+IF(ISNUMBER(VLOOKUP($B44,'Cental Budget'!$B$16:$K$76,'Public Expenditure'!F$1,FALSE)),VLOOKUP($B44,'Cental Budget'!$B$16:$K$76,'Public Expenditure'!F$1,FALSE),0)+IF(ISNUMBER(VLOOKUP('Public Expenditure'!$B44,'Local Government'!$B$16:$M$76,'Public Expenditure'!F$1,FALSE)),VLOOKUP('Public Expenditure'!$B44,'Local Government'!$B$16:$M$76,'Public Expenditure'!F$1,FALSE),0)</f>
        <v>19919409.759399999</v>
      </c>
      <c r="G44" s="283">
        <f t="shared" si="2"/>
        <v>0.52946174470788365</v>
      </c>
      <c r="H44" s="205">
        <f t="shared" si="3"/>
        <v>8817018.9006000012</v>
      </c>
      <c r="I44" s="289">
        <f t="shared" si="4"/>
        <v>44.263454625904444</v>
      </c>
      <c r="J44" s="152">
        <f>+IF(ISNUMBER(VLOOKUP($B44,'Cental Budget'!$B$16:$K$76,'Public Expenditure'!J$1,FALSE)),VLOOKUP($B44,'Cental Budget'!$B$16:$K$76,'Public Expenditure'!J$1,FALSE),0)+IF(ISNUMBER(VLOOKUP('Public Expenditure'!$B44,'Local Government'!$B$16:$M$76,'Public Expenditure'!J$1,FALSE)),VLOOKUP('Public Expenditure'!$B44,'Local Government'!$B$16:$M$76,'Public Expenditure'!J$1,FALSE),0)</f>
        <v>14845500.160000002</v>
      </c>
      <c r="K44" s="283">
        <f t="shared" si="1"/>
        <v>0.4129485440890126</v>
      </c>
      <c r="L44" s="205">
        <f t="shared" si="5"/>
        <v>13890928.499999998</v>
      </c>
      <c r="M44" s="289">
        <f t="shared" si="6"/>
        <v>93.569959585652612</v>
      </c>
      <c r="BI44" s="159"/>
      <c r="BJ44" s="159"/>
      <c r="BK44" s="143"/>
      <c r="BL44" s="143"/>
      <c r="BM44" s="143"/>
      <c r="BN44" s="140"/>
    </row>
    <row r="45" spans="1:66" ht="13.5" customHeight="1">
      <c r="B45" s="80">
        <v>417</v>
      </c>
      <c r="C45" s="93" t="s">
        <v>81</v>
      </c>
      <c r="D45" s="152">
        <f>'Cental Budget'!D44+'Local Government'!D49</f>
        <v>2583680.5999999996</v>
      </c>
      <c r="E45" s="283">
        <f t="shared" si="0"/>
        <v>6.8674727553027476E-2</v>
      </c>
      <c r="F45" s="152">
        <f>+IF(ISNUMBER(VLOOKUP($B45,'Cental Budget'!$B$16:$K$76,'Public Expenditure'!F$1,FALSE)),VLOOKUP($B45,'Cental Budget'!$B$16:$K$76,'Public Expenditure'!F$1,FALSE),0)+IF(ISNUMBER(VLOOKUP('Public Expenditure'!$B45,'Local Government'!$B$16:$M$76,'Public Expenditure'!F$1,FALSE)),VLOOKUP('Public Expenditure'!$B45,'Local Government'!$B$16:$M$76,'Public Expenditure'!F$1,FALSE),0)</f>
        <v>2092371.9666999998</v>
      </c>
      <c r="G45" s="283">
        <f t="shared" si="2"/>
        <v>5.5615649532188609E-2</v>
      </c>
      <c r="H45" s="205">
        <f t="shared" si="3"/>
        <v>491308.63329999987</v>
      </c>
      <c r="I45" s="289">
        <f t="shared" si="4"/>
        <v>23.480941301028381</v>
      </c>
      <c r="J45" s="152">
        <f>+IF(ISNUMBER(VLOOKUP($B45,'Cental Budget'!$B$16:$K$76,'Public Expenditure'!J$1,FALSE)),VLOOKUP($B45,'Cental Budget'!$B$16:$K$76,'Public Expenditure'!J$1,FALSE),0)+IF(ISNUMBER(VLOOKUP('Public Expenditure'!$B45,'Local Government'!$B$16:$M$76,'Public Expenditure'!J$1,FALSE)),VLOOKUP('Public Expenditure'!$B45,'Local Government'!$B$16:$M$76,'Public Expenditure'!J$1,FALSE),0)</f>
        <v>2518488.14</v>
      </c>
      <c r="K45" s="283">
        <f t="shared" si="1"/>
        <v>7.005530292072322E-2</v>
      </c>
      <c r="L45" s="205">
        <f t="shared" si="5"/>
        <v>65192.459999999497</v>
      </c>
      <c r="M45" s="289">
        <f t="shared" si="6"/>
        <v>2.5885553703659525</v>
      </c>
      <c r="BI45" s="159"/>
      <c r="BJ45" s="159"/>
      <c r="BK45" s="143"/>
      <c r="BL45" s="143"/>
      <c r="BM45" s="143"/>
      <c r="BN45" s="140"/>
    </row>
    <row r="46" spans="1:66" ht="13.5" customHeight="1">
      <c r="B46" s="80">
        <v>418</v>
      </c>
      <c r="C46" s="93" t="s">
        <v>83</v>
      </c>
      <c r="D46" s="152">
        <f>'Cental Budget'!D45+'Local Government'!D50</f>
        <v>3235086.49</v>
      </c>
      <c r="E46" s="283">
        <f t="shared" si="0"/>
        <v>8.5989221466163418E-2</v>
      </c>
      <c r="F46" s="152">
        <f>+IF(ISNUMBER(VLOOKUP($B46,'Cental Budget'!$B$16:$K$76,'Public Expenditure'!F$1,FALSE)),VLOOKUP($B46,'Cental Budget'!$B$16:$K$76,'Public Expenditure'!F$1,FALSE),0)+IF(ISNUMBER(VLOOKUP('Public Expenditure'!$B46,'Local Government'!$B$16:$M$76,'Public Expenditure'!F$1,FALSE)),VLOOKUP('Public Expenditure'!$B46,'Local Government'!$B$16:$M$76,'Public Expenditure'!F$1,FALSE),0)</f>
        <v>5181741.6842</v>
      </c>
      <c r="G46" s="283">
        <f t="shared" si="2"/>
        <v>0.13773169114347986</v>
      </c>
      <c r="H46" s="205">
        <f t="shared" si="3"/>
        <v>-1946655.1941999998</v>
      </c>
      <c r="I46" s="289">
        <f t="shared" si="4"/>
        <v>-37.567584662424956</v>
      </c>
      <c r="J46" s="152">
        <f>+IF(ISNUMBER(VLOOKUP($B46,'Cental Budget'!$B$16:$K$76,'Public Expenditure'!J$1,FALSE)),VLOOKUP($B46,'Cental Budget'!$B$16:$K$76,'Public Expenditure'!J$1,FALSE),0)+IF(ISNUMBER(VLOOKUP('Public Expenditure'!$B46,'Local Government'!$B$16:$M$76,'Public Expenditure'!J$1,FALSE)),VLOOKUP('Public Expenditure'!$B46,'Local Government'!$B$16:$M$76,'Public Expenditure'!J$1,FALSE),0)</f>
        <v>4854442.4799999995</v>
      </c>
      <c r="K46" s="283">
        <f t="shared" si="1"/>
        <v>0.13503317051460359</v>
      </c>
      <c r="L46" s="205">
        <f t="shared" si="5"/>
        <v>-1619355.9899999993</v>
      </c>
      <c r="M46" s="289">
        <f t="shared" si="6"/>
        <v>-33.358227987490736</v>
      </c>
      <c r="BI46" s="159"/>
      <c r="BJ46" s="159"/>
      <c r="BK46" s="143"/>
      <c r="BL46" s="143"/>
      <c r="BM46" s="143"/>
      <c r="BN46" s="140"/>
    </row>
    <row r="47" spans="1:66" ht="13.5" customHeight="1">
      <c r="B47" s="80">
        <v>419</v>
      </c>
      <c r="C47" s="93" t="s">
        <v>85</v>
      </c>
      <c r="D47" s="152">
        <f>'Cental Budget'!D46+'Local Government'!D51</f>
        <v>7801967.4199999999</v>
      </c>
      <c r="E47" s="283">
        <f t="shared" si="0"/>
        <v>0.20737779543883897</v>
      </c>
      <c r="F47" s="152">
        <f>+IF(ISNUMBER(VLOOKUP($B47,'Cental Budget'!$B$16:$K$76,'Public Expenditure'!F$1,FALSE)),VLOOKUP($B47,'Cental Budget'!$B$16:$K$76,'Public Expenditure'!F$1,FALSE),0)+IF(ISNUMBER(VLOOKUP('Public Expenditure'!$B47,'Local Government'!$B$16:$M$76,'Public Expenditure'!F$1,FALSE)),VLOOKUP('Public Expenditure'!$B47,'Local Government'!$B$16:$M$76,'Public Expenditure'!F$1,FALSE),0)</f>
        <v>8609376.3207999989</v>
      </c>
      <c r="G47" s="283">
        <f t="shared" si="2"/>
        <v>0.22883887940035086</v>
      </c>
      <c r="H47" s="205">
        <f t="shared" si="3"/>
        <v>-807408.90079999901</v>
      </c>
      <c r="I47" s="289">
        <f t="shared" si="4"/>
        <v>-9.3782507665430188</v>
      </c>
      <c r="J47" s="152">
        <f>+IF(ISNUMBER(VLOOKUP($B47,'Cental Budget'!$B$16:$K$76,'Public Expenditure'!J$1,FALSE)),VLOOKUP($B47,'Cental Budget'!$B$16:$K$76,'Public Expenditure'!J$1,FALSE),0)+IF(ISNUMBER(VLOOKUP('Public Expenditure'!$B47,'Local Government'!$B$16:$M$76,'Public Expenditure'!J$1,FALSE)),VLOOKUP('Public Expenditure'!$B47,'Local Government'!$B$16:$M$76,'Public Expenditure'!J$1,FALSE),0)</f>
        <v>5609533.7699999986</v>
      </c>
      <c r="K47" s="283">
        <f t="shared" si="1"/>
        <v>0.15603710069541024</v>
      </c>
      <c r="L47" s="205">
        <f t="shared" si="5"/>
        <v>2192433.6500000013</v>
      </c>
      <c r="M47" s="289">
        <f t="shared" si="6"/>
        <v>39.084061882740059</v>
      </c>
      <c r="BI47" s="159"/>
      <c r="BJ47" s="159"/>
      <c r="BK47" s="143"/>
      <c r="BL47" s="143"/>
      <c r="BM47" s="143"/>
      <c r="BN47" s="140"/>
    </row>
    <row r="48" spans="1:66" ht="13.5" customHeight="1">
      <c r="B48" s="80">
        <v>441</v>
      </c>
      <c r="C48" s="93" t="s">
        <v>129</v>
      </c>
      <c r="D48" s="152">
        <f>'Cental Budget'!D47</f>
        <v>4668221.08</v>
      </c>
      <c r="E48" s="283">
        <f t="shared" si="0"/>
        <v>0.12408221466163416</v>
      </c>
      <c r="F48" s="152">
        <f>+IF(ISNUMBER(VLOOKUP($B48,'Cental Budget'!$B$16:$K$76,'Public Expenditure'!F$1,FALSE)),VLOOKUP($B48,'Cental Budget'!$B$16:$K$76,'Public Expenditure'!F$1,FALSE),0)+IF(ISNUMBER(VLOOKUP('Public Expenditure'!$B48,'Local Government'!$B$16:$M$76,'Public Expenditure'!F$1,FALSE)),VLOOKUP('Public Expenditure'!$B48,'Local Government'!$B$16:$M$76,'Public Expenditure'!F$1,FALSE),0)</f>
        <v>10108077.625</v>
      </c>
      <c r="G48" s="283">
        <f t="shared" si="2"/>
        <v>0.26867464847695499</v>
      </c>
      <c r="H48" s="205">
        <f>+D48-F48</f>
        <v>-5439856.5449999999</v>
      </c>
      <c r="I48" s="289">
        <f t="shared" si="4"/>
        <v>-53.816924907123479</v>
      </c>
      <c r="J48" s="152">
        <f>+IF(ISNUMBER(VLOOKUP($B48,'Cental Budget'!$B$16:$K$76,'Public Expenditure'!J$1,FALSE)),VLOOKUP($B48,'Cental Budget'!$B$16:$K$76,'Public Expenditure'!J$1,FALSE),0)+IF(ISNUMBER(VLOOKUP('Public Expenditure'!$B48,'Local Government'!$B$16:$M$76,'Public Expenditure'!J$1,FALSE)),VLOOKUP('Public Expenditure'!$B48,'Local Government'!$B$16:$M$76,'Public Expenditure'!J$1,FALSE),0)</f>
        <v>2671232.3000000026</v>
      </c>
      <c r="K48" s="283">
        <f t="shared" si="1"/>
        <v>7.4304097357440965E-2</v>
      </c>
      <c r="L48" s="205">
        <f t="shared" si="5"/>
        <v>1996988.7799999975</v>
      </c>
      <c r="M48" s="289">
        <f t="shared" si="6"/>
        <v>74.759083289012182</v>
      </c>
      <c r="BI48" s="159"/>
      <c r="BJ48" s="159"/>
      <c r="BK48" s="143"/>
      <c r="BL48" s="143"/>
      <c r="BM48" s="143"/>
      <c r="BN48" s="140"/>
    </row>
    <row r="49" spans="1:66" ht="13.5" customHeight="1">
      <c r="A49" s="80">
        <v>42</v>
      </c>
      <c r="B49" s="80" t="s">
        <v>427</v>
      </c>
      <c r="C49" s="93" t="s">
        <v>86</v>
      </c>
      <c r="D49" s="94">
        <f>'Cental Budget'!D48+'Local Government'!D52</f>
        <v>129725959.88999999</v>
      </c>
      <c r="E49" s="283">
        <f t="shared" si="0"/>
        <v>3.4481409784168831</v>
      </c>
      <c r="F49" s="94">
        <f>+IF(ISNUMBER(VLOOKUP($B49,'Cental Budget'!$B$16:$K$76,'Public Expenditure'!F$1,FALSE)),VLOOKUP($B49,'Cental Budget'!$B$16:$K$76,'Public Expenditure'!F$1,FALSE),0)+IF(ISNUMBER(VLOOKUP('Public Expenditure'!$B49,'Local Government'!$B$16:$M$76,'Public Expenditure'!F$1,FALSE)),VLOOKUP('Public Expenditure'!$B49,'Local Government'!$B$16:$M$76,'Public Expenditure'!F$1,FALSE),0)</f>
        <v>133130520.8969</v>
      </c>
      <c r="G49" s="283">
        <f t="shared" si="2"/>
        <v>3.5386348651560255</v>
      </c>
      <c r="H49" s="203">
        <f t="shared" si="3"/>
        <v>-3404561.0069000125</v>
      </c>
      <c r="I49" s="289">
        <f t="shared" si="4"/>
        <v>-2.5573106632224381</v>
      </c>
      <c r="J49" s="94">
        <f>+IF(ISNUMBER(VLOOKUP($B49,'Cental Budget'!$B$16:$K$76,'Public Expenditure'!J$1,FALSE)),VLOOKUP($B49,'Cental Budget'!$B$16:$K$76,'Public Expenditure'!J$1,FALSE),0)+IF(ISNUMBER(VLOOKUP('Public Expenditure'!$B49,'Local Government'!$B$16:$M$76,'Public Expenditure'!J$1,FALSE)),VLOOKUP('Public Expenditure'!$B49,'Local Government'!$B$16:$M$76,'Public Expenditure'!J$1,FALSE),0)</f>
        <v>120751763.47000001</v>
      </c>
      <c r="K49" s="283">
        <f t="shared" si="1"/>
        <v>3.358880764116829</v>
      </c>
      <c r="L49" s="203">
        <f t="shared" si="5"/>
        <v>8974196.419999972</v>
      </c>
      <c r="M49" s="289">
        <f t="shared" si="6"/>
        <v>7.4319381863351026</v>
      </c>
      <c r="BI49" s="159"/>
      <c r="BJ49" s="159"/>
      <c r="BK49" s="143"/>
      <c r="BL49" s="143"/>
      <c r="BM49" s="143"/>
      <c r="BN49" s="140"/>
    </row>
    <row r="50" spans="1:66" ht="13.5" customHeight="1">
      <c r="B50" s="80">
        <v>421</v>
      </c>
      <c r="C50" s="97" t="s">
        <v>88</v>
      </c>
      <c r="D50" s="154">
        <f>+IF(ISNUMBER(VLOOKUP($B50,'Cental Budget'!$B$16:$K$76,'Public Expenditure'!D$1,FALSE)),VLOOKUP($B50,'Cental Budget'!$B$16:$K$76,'Public Expenditure'!D$1,FALSE),0)+IF(ISNUMBER(VLOOKUP('Public Expenditure'!$B50,'Local Government'!$B$16:$M$76,'Public Expenditure'!D$1,FALSE)),VLOOKUP('Public Expenditure'!$B50,'Local Government'!$B$16:$M$76,'Public Expenditure'!D$1,FALSE),0)</f>
        <v>20844026.82</v>
      </c>
      <c r="E50" s="282">
        <f t="shared" si="0"/>
        <v>0.55403824411248737</v>
      </c>
      <c r="F50" s="154">
        <f>+IF(ISNUMBER(VLOOKUP($B50,'Cental Budget'!$B$16:$K$76,'Public Expenditure'!F$1,FALSE)),VLOOKUP($B50,'Cental Budget'!$B$16:$K$76,'Public Expenditure'!F$1,FALSE),0)+IF(ISNUMBER(VLOOKUP('Public Expenditure'!$B50,'Local Government'!$B$16:$M$76,'Public Expenditure'!F$1,FALSE)),VLOOKUP('Public Expenditure'!$B50,'Local Government'!$B$16:$M$76,'Public Expenditure'!F$1,FALSE),0)</f>
        <v>18183872.054400001</v>
      </c>
      <c r="G50" s="282">
        <f t="shared" si="2"/>
        <v>0.48333081852107812</v>
      </c>
      <c r="H50" s="206">
        <f t="shared" si="3"/>
        <v>2660154.7655999996</v>
      </c>
      <c r="I50" s="288">
        <f t="shared" si="4"/>
        <v>14.629198652749636</v>
      </c>
      <c r="J50" s="154">
        <f>+IF(ISNUMBER(VLOOKUP($B50,'Cental Budget'!$B$16:$K$76,'Public Expenditure'!J$1,FALSE)),VLOOKUP($B50,'Cental Budget'!$B$16:$K$76,'Public Expenditure'!J$1,FALSE),0)+IF(ISNUMBER(VLOOKUP('Public Expenditure'!$B50,'Local Government'!$B$16:$M$76,'Public Expenditure'!J$1,FALSE)),VLOOKUP('Public Expenditure'!$B50,'Local Government'!$B$16:$M$76,'Public Expenditure'!J$1,FALSE),0)</f>
        <v>15140255.389999999</v>
      </c>
      <c r="K50" s="282">
        <f t="shared" si="1"/>
        <v>0.42114757691237831</v>
      </c>
      <c r="L50" s="206">
        <f t="shared" si="5"/>
        <v>5703771.4300000016</v>
      </c>
      <c r="M50" s="288">
        <f t="shared" si="6"/>
        <v>37.672887828347285</v>
      </c>
      <c r="BI50" s="159"/>
      <c r="BJ50" s="159"/>
      <c r="BK50" s="143"/>
      <c r="BL50" s="143"/>
      <c r="BM50" s="143"/>
      <c r="BN50" s="140"/>
    </row>
    <row r="51" spans="1:66" ht="13.5" customHeight="1">
      <c r="B51" s="80">
        <v>422</v>
      </c>
      <c r="C51" s="97" t="s">
        <v>90</v>
      </c>
      <c r="D51" s="154">
        <f>+IF(ISNUMBER(VLOOKUP($B51,'Cental Budget'!$B$16:$K$76,'Public Expenditure'!D$1,FALSE)),VLOOKUP($B51,'Cental Budget'!$B$16:$K$76,'Public Expenditure'!D$1,FALSE),0)+IF(ISNUMBER(VLOOKUP('Public Expenditure'!$B51,'Local Government'!$B$16:$M$76,'Public Expenditure'!D$1,FALSE)),VLOOKUP('Public Expenditure'!$B51,'Local Government'!$B$16:$M$76,'Public Expenditure'!D$1,FALSE),0)</f>
        <v>5960124.3599999994</v>
      </c>
      <c r="E51" s="282">
        <f t="shared" si="0"/>
        <v>0.15842125245866778</v>
      </c>
      <c r="F51" s="154">
        <f>+IF(ISNUMBER(VLOOKUP($B51,'Cental Budget'!$B$16:$K$76,'Public Expenditure'!F$1,FALSE)),VLOOKUP($B51,'Cental Budget'!$B$16:$K$76,'Public Expenditure'!F$1,FALSE),0)+IF(ISNUMBER(VLOOKUP('Public Expenditure'!$B51,'Local Government'!$B$16:$M$76,'Public Expenditure'!F$1,FALSE)),VLOOKUP('Public Expenditure'!$B51,'Local Government'!$B$16:$M$76,'Public Expenditure'!F$1,FALSE),0)</f>
        <v>5702525</v>
      </c>
      <c r="G51" s="282">
        <f t="shared" si="2"/>
        <v>0.15157421189729414</v>
      </c>
      <c r="H51" s="206">
        <f t="shared" si="3"/>
        <v>257599.3599999994</v>
      </c>
      <c r="I51" s="288">
        <f t="shared" si="4"/>
        <v>4.5172859391234397</v>
      </c>
      <c r="J51" s="154">
        <f>+IF(ISNUMBER(VLOOKUP($B51,'Cental Budget'!$B$16:$K$76,'Public Expenditure'!J$1,FALSE)),VLOOKUP($B51,'Cental Budget'!$B$16:$K$76,'Public Expenditure'!J$1,FALSE),0)+IF(ISNUMBER(VLOOKUP('Public Expenditure'!$B51,'Local Government'!$B$16:$M$76,'Public Expenditure'!J$1,FALSE)),VLOOKUP('Public Expenditure'!$B51,'Local Government'!$B$16:$M$76,'Public Expenditure'!J$1,FALSE),0)</f>
        <v>2934225.42</v>
      </c>
      <c r="K51" s="282">
        <f t="shared" si="1"/>
        <v>8.161962225312934E-2</v>
      </c>
      <c r="L51" s="206">
        <f t="shared" si="5"/>
        <v>3025898.9399999995</v>
      </c>
      <c r="M51" s="288">
        <f t="shared" si="6"/>
        <v>103.1242834778522</v>
      </c>
      <c r="BI51" s="159"/>
      <c r="BJ51" s="159"/>
      <c r="BK51" s="143"/>
      <c r="BL51" s="143"/>
      <c r="BM51" s="143"/>
      <c r="BN51" s="140"/>
    </row>
    <row r="52" spans="1:66" ht="13.5" customHeight="1">
      <c r="B52" s="80">
        <v>423</v>
      </c>
      <c r="C52" s="97" t="s">
        <v>92</v>
      </c>
      <c r="D52" s="154">
        <f>+IF(ISNUMBER(VLOOKUP($B52,'Cental Budget'!$B$16:$K$76,'Public Expenditure'!D$1,FALSE)),VLOOKUP($B52,'Cental Budget'!$B$16:$K$76,'Public Expenditure'!D$1,FALSE),0)+IF(ISNUMBER(VLOOKUP('Public Expenditure'!$B52,'Local Government'!$B$16:$M$76,'Public Expenditure'!D$1,FALSE)),VLOOKUP('Public Expenditure'!$B52,'Local Government'!$B$16:$M$76,'Public Expenditure'!D$1,FALSE),0)</f>
        <v>97277018.590000004</v>
      </c>
      <c r="E52" s="282">
        <f t="shared" si="0"/>
        <v>2.5856418741693692</v>
      </c>
      <c r="F52" s="154">
        <f>+IF(ISNUMBER(VLOOKUP($B52,'Cental Budget'!$B$16:$K$76,'Public Expenditure'!F$1,FALSE)),VLOOKUP($B52,'Cental Budget'!$B$16:$K$76,'Public Expenditure'!F$1,FALSE),0)+IF(ISNUMBER(VLOOKUP('Public Expenditure'!$B52,'Local Government'!$B$16:$M$76,'Public Expenditure'!F$1,FALSE)),VLOOKUP('Public Expenditure'!$B52,'Local Government'!$B$16:$M$76,'Public Expenditure'!F$1,FALSE),0)</f>
        <v>103502258.8425</v>
      </c>
      <c r="G52" s="282">
        <f t="shared" si="2"/>
        <v>2.7511099580697462</v>
      </c>
      <c r="H52" s="206">
        <f t="shared" si="3"/>
        <v>-6225240.2524999976</v>
      </c>
      <c r="I52" s="288">
        <f t="shared" si="4"/>
        <v>-6.0145936157518776</v>
      </c>
      <c r="J52" s="154">
        <f>+IF(ISNUMBER(VLOOKUP($B52,'Cental Budget'!$B$16:$K$76,'Public Expenditure'!J$1,FALSE)),VLOOKUP($B52,'Cental Budget'!$B$16:$K$76,'Public Expenditure'!J$1,FALSE),0)+IF(ISNUMBER(VLOOKUP('Public Expenditure'!$B52,'Local Government'!$B$16:$M$76,'Public Expenditure'!J$1,FALSE)),VLOOKUP('Public Expenditure'!$B52,'Local Government'!$B$16:$M$76,'Public Expenditure'!J$1,FALSE),0)</f>
        <v>96402848.26000002</v>
      </c>
      <c r="K52" s="282">
        <f t="shared" si="1"/>
        <v>2.6815813146036165</v>
      </c>
      <c r="L52" s="206">
        <f t="shared" si="5"/>
        <v>874170.32999998331</v>
      </c>
      <c r="M52" s="288">
        <f t="shared" si="6"/>
        <v>0.90678890279501445</v>
      </c>
      <c r="BI52" s="159"/>
      <c r="BJ52" s="159"/>
      <c r="BK52" s="143"/>
      <c r="BL52" s="143"/>
      <c r="BM52" s="143"/>
      <c r="BN52" s="140"/>
    </row>
    <row r="53" spans="1:66" ht="13.5" customHeight="1">
      <c r="B53" s="80">
        <v>424</v>
      </c>
      <c r="C53" s="97" t="s">
        <v>94</v>
      </c>
      <c r="D53" s="154">
        <f>+IF(ISNUMBER(VLOOKUP($B53,'Cental Budget'!$B$16:$K$76,'Public Expenditure'!D$1,FALSE)),VLOOKUP($B53,'Cental Budget'!$B$16:$K$76,'Public Expenditure'!D$1,FALSE),0)+IF(ISNUMBER(VLOOKUP('Public Expenditure'!$B53,'Local Government'!$B$16:$M$76,'Public Expenditure'!D$1,FALSE)),VLOOKUP('Public Expenditure'!$B53,'Local Government'!$B$16:$M$76,'Public Expenditure'!D$1,FALSE),0)</f>
        <v>3553912.0699999989</v>
      </c>
      <c r="E53" s="282">
        <f t="shared" si="0"/>
        <v>9.446366673754715E-2</v>
      </c>
      <c r="F53" s="154">
        <f>+IF(ISNUMBER(VLOOKUP($B53,'Cental Budget'!$B$16:$K$76,'Public Expenditure'!F$1,FALSE)),VLOOKUP($B53,'Cental Budget'!$B$16:$K$76,'Public Expenditure'!F$1,FALSE),0)+IF(ISNUMBER(VLOOKUP('Public Expenditure'!$B53,'Local Government'!$B$16:$M$76,'Public Expenditure'!F$1,FALSE)),VLOOKUP('Public Expenditure'!$B53,'Local Government'!$B$16:$M$76,'Public Expenditure'!F$1,FALSE),0)</f>
        <v>3750250</v>
      </c>
      <c r="G53" s="282">
        <f t="shared" si="2"/>
        <v>9.9682366700334896E-2</v>
      </c>
      <c r="H53" s="206">
        <f t="shared" si="3"/>
        <v>-196337.9300000011</v>
      </c>
      <c r="I53" s="288">
        <f t="shared" si="4"/>
        <v>-5.2353291113926019</v>
      </c>
      <c r="J53" s="154">
        <f>+IF(ISNUMBER(VLOOKUP($B53,'Cental Budget'!$B$16:$K$76,'Public Expenditure'!J$1,FALSE)),VLOOKUP($B53,'Cental Budget'!$B$16:$K$76,'Public Expenditure'!J$1,FALSE),0)+IF(ISNUMBER(VLOOKUP('Public Expenditure'!$B53,'Local Government'!$B$16:$M$76,'Public Expenditure'!J$1,FALSE)),VLOOKUP('Public Expenditure'!$B53,'Local Government'!$B$16:$M$76,'Public Expenditure'!J$1,FALSE),0)</f>
        <v>4373243.58</v>
      </c>
      <c r="K53" s="282">
        <f t="shared" si="1"/>
        <v>0.12164794381084841</v>
      </c>
      <c r="L53" s="206">
        <f t="shared" si="5"/>
        <v>-819331.51000000117</v>
      </c>
      <c r="M53" s="288">
        <f t="shared" si="6"/>
        <v>-18.73509890340938</v>
      </c>
      <c r="BI53" s="159"/>
      <c r="BJ53" s="159"/>
      <c r="BK53" s="143"/>
      <c r="BL53" s="143"/>
      <c r="BM53" s="143"/>
      <c r="BN53" s="140"/>
    </row>
    <row r="54" spans="1:66" ht="13.5" customHeight="1">
      <c r="B54" s="80">
        <v>425</v>
      </c>
      <c r="C54" s="97" t="s">
        <v>431</v>
      </c>
      <c r="D54" s="154">
        <f>+IF(ISNUMBER(VLOOKUP($B54,'Cental Budget'!$B$16:$K$76,'Public Expenditure'!D$1,FALSE)),VLOOKUP($B54,'Cental Budget'!$B$16:$K$76,'Public Expenditure'!D$1,FALSE),0)+IF(ISNUMBER(VLOOKUP('Public Expenditure'!$B54,'Local Government'!$B$16:$M$76,'Public Expenditure'!D$1,FALSE)),VLOOKUP('Public Expenditure'!$B54,'Local Government'!$B$16:$M$76,'Public Expenditure'!D$1,FALSE),0)</f>
        <v>2090878.0499999998</v>
      </c>
      <c r="E54" s="282">
        <f t="shared" si="0"/>
        <v>5.5575940938812393E-2</v>
      </c>
      <c r="F54" s="154">
        <f>+IF(ISNUMBER(VLOOKUP($B54,'Cental Budget'!$B$16:$K$76,'Public Expenditure'!F$1,FALSE)),VLOOKUP($B54,'Cental Budget'!$B$16:$K$76,'Public Expenditure'!F$1,FALSE),0)+IF(ISNUMBER(VLOOKUP('Public Expenditure'!$B54,'Local Government'!$B$16:$M$76,'Public Expenditure'!F$1,FALSE)),VLOOKUP('Public Expenditure'!$B54,'Local Government'!$B$16:$M$76,'Public Expenditure'!F$1,FALSE),0)</f>
        <v>1991615</v>
      </c>
      <c r="G54" s="282">
        <f t="shared" si="2"/>
        <v>5.2937509967572169E-2</v>
      </c>
      <c r="H54" s="206">
        <f t="shared" si="3"/>
        <v>99263.049999999814</v>
      </c>
      <c r="I54" s="288">
        <f t="shared" si="4"/>
        <v>4.9840481217504333</v>
      </c>
      <c r="J54" s="154">
        <f>+IF(ISNUMBER(VLOOKUP($B54,'Cental Budget'!$B$16:$K$76,'Public Expenditure'!J$1,FALSE)),VLOOKUP($B54,'Cental Budget'!$B$16:$K$76,'Public Expenditure'!J$1,FALSE),0)+IF(ISNUMBER(VLOOKUP('Public Expenditure'!$B54,'Local Government'!$B$16:$M$76,'Public Expenditure'!J$1,FALSE)),VLOOKUP('Public Expenditure'!$B54,'Local Government'!$B$16:$M$76,'Public Expenditure'!J$1,FALSE),0)</f>
        <v>1901190.8199999998</v>
      </c>
      <c r="K54" s="282">
        <f t="shared" si="1"/>
        <v>5.2884306536856739E-2</v>
      </c>
      <c r="L54" s="206">
        <f t="shared" si="5"/>
        <v>189687.22999999998</v>
      </c>
      <c r="M54" s="288">
        <f t="shared" si="6"/>
        <v>9.9772851838196885</v>
      </c>
      <c r="BI54" s="159"/>
      <c r="BJ54" s="159"/>
      <c r="BK54" s="143"/>
      <c r="BL54" s="143"/>
      <c r="BM54" s="143"/>
      <c r="BN54" s="140"/>
    </row>
    <row r="55" spans="1:66" ht="13.5" customHeight="1">
      <c r="A55" s="80">
        <v>43</v>
      </c>
      <c r="C55" s="93" t="s">
        <v>432</v>
      </c>
      <c r="D55" s="94">
        <f>+SUM(D56:D57)</f>
        <v>41960800.339999996</v>
      </c>
      <c r="E55" s="283">
        <f t="shared" si="0"/>
        <v>1.1153261479985113</v>
      </c>
      <c r="F55" s="94">
        <f>+SUM(F56:F57)</f>
        <v>42562089.964300007</v>
      </c>
      <c r="G55" s="283">
        <f t="shared" si="2"/>
        <v>1.1313085419249378</v>
      </c>
      <c r="H55" s="203">
        <f t="shared" si="3"/>
        <v>-601289.6243000105</v>
      </c>
      <c r="I55" s="289">
        <f t="shared" si="4"/>
        <v>-1.4127351941701107</v>
      </c>
      <c r="J55" s="94">
        <f>+SUM(J56:J57)</f>
        <v>35424292.630000018</v>
      </c>
      <c r="K55" s="283">
        <f t="shared" si="1"/>
        <v>0.98537670737134964</v>
      </c>
      <c r="L55" s="203">
        <f t="shared" si="5"/>
        <v>6536507.7099999785</v>
      </c>
      <c r="M55" s="289">
        <f t="shared" si="6"/>
        <v>18.452048649983084</v>
      </c>
      <c r="BI55" s="159"/>
      <c r="BJ55" s="159"/>
      <c r="BK55" s="143"/>
      <c r="BL55" s="143"/>
      <c r="BM55" s="143"/>
      <c r="BN55" s="140"/>
    </row>
    <row r="56" spans="1:66" ht="13.5" customHeight="1">
      <c r="A56" s="80">
        <v>999</v>
      </c>
      <c r="B56" s="80">
        <v>431</v>
      </c>
      <c r="C56" s="97" t="s">
        <v>432</v>
      </c>
      <c r="D56" s="154">
        <f>'Cental Budget'!D55+'Local Government'!D56-198962.05</f>
        <v>37828632.439999998</v>
      </c>
      <c r="E56" s="282">
        <f t="shared" si="0"/>
        <v>1.0054923300196692</v>
      </c>
      <c r="F56" s="154">
        <f>+IF(ISNUMBER(VLOOKUP($B56,'Cental Budget'!$B$16:$K$76,'Public Expenditure'!F$1,FALSE)),VLOOKUP($B56,'Cental Budget'!$B$16:$K$76,'Public Expenditure'!F$1,FALSE),0)+IF(ISNUMBER(VLOOKUP('Public Expenditure'!$B56,'Local Government'!$B$16:$M$76,'Public Expenditure'!F$1,FALSE)),VLOOKUP('Public Expenditure'!$B56,'Local Government'!$B$16:$M$76,'Public Expenditure'!F$1,FALSE),0)-185257.67</f>
        <v>39668548.792900003</v>
      </c>
      <c r="G56" s="282">
        <f t="shared" si="2"/>
        <v>1.0543976607543459</v>
      </c>
      <c r="H56" s="206">
        <f t="shared" si="3"/>
        <v>-1839916.3529000059</v>
      </c>
      <c r="I56" s="288">
        <f t="shared" si="4"/>
        <v>-4.6382245100665642</v>
      </c>
      <c r="J56" s="154">
        <f>+IF(ISNUMBER(VLOOKUP($B56,'Cental Budget'!$B$16:$K$76,'Public Expenditure'!J$1,FALSE)),VLOOKUP($B56,'Cental Budget'!$B$16:$K$76,'Public Expenditure'!J$1,FALSE),0)+IF(ISNUMBER(VLOOKUP('Public Expenditure'!$B56,'Local Government'!$B$16:$M$76,'Public Expenditure'!J$1,FALSE)),VLOOKUP('Public Expenditure'!$B56,'Local Government'!$B$16:$M$76,'Public Expenditure'!J$1,FALSE),0)-181625.17</f>
        <v>32587487.560000017</v>
      </c>
      <c r="K56" s="282">
        <f t="shared" si="1"/>
        <v>0.90646696968011176</v>
      </c>
      <c r="L56" s="206">
        <f t="shared" si="5"/>
        <v>5241144.8799999803</v>
      </c>
      <c r="M56" s="288">
        <f t="shared" si="6"/>
        <v>16.08330458231859</v>
      </c>
      <c r="BI56" s="159"/>
      <c r="BJ56" s="159"/>
      <c r="BK56" s="143"/>
      <c r="BL56" s="143"/>
      <c r="BM56" s="143"/>
      <c r="BN56" s="140"/>
    </row>
    <row r="57" spans="1:66" ht="13.5" customHeight="1" thickBot="1">
      <c r="A57" s="80" t="s">
        <v>427</v>
      </c>
      <c r="B57" s="80">
        <v>432</v>
      </c>
      <c r="C57" s="97" t="s">
        <v>433</v>
      </c>
      <c r="D57" s="154">
        <f>'Cental Budget'!D56+'Local Government'!D57</f>
        <v>4132167.9000000004</v>
      </c>
      <c r="E57" s="282">
        <f t="shared" si="0"/>
        <v>0.10983381797884217</v>
      </c>
      <c r="F57" s="154">
        <f>+IF(ISNUMBER(VLOOKUP($B57,'Cental Budget'!$B$16:$K$76,'Public Expenditure'!F$1,FALSE)),VLOOKUP($B57,'Cental Budget'!$B$16:$K$76,'Public Expenditure'!F$1,FALSE),0)+IF(ISNUMBER(VLOOKUP('Public Expenditure'!$B57,'Local Government'!$B$16:$M$76,'Public Expenditure'!F$1,FALSE)),VLOOKUP('Public Expenditure'!$B57,'Local Government'!$B$16:$M$76,'Public Expenditure'!F$1,FALSE),0)</f>
        <v>2893541.1713999994</v>
      </c>
      <c r="G57" s="282">
        <f t="shared" si="2"/>
        <v>7.6910881170591652E-2</v>
      </c>
      <c r="H57" s="206">
        <f t="shared" si="3"/>
        <v>1238626.728600001</v>
      </c>
      <c r="I57" s="288">
        <f t="shared" si="4"/>
        <v>42.806604614535644</v>
      </c>
      <c r="J57" s="154">
        <f>+IF(ISNUMBER(VLOOKUP($B57,'Cental Budget'!$B$16:$K$76,'Public Expenditure'!J$1,FALSE)),VLOOKUP($B57,'Cental Budget'!$B$16:$K$76,'Public Expenditure'!J$1,FALSE),0)+IF(ISNUMBER(VLOOKUP('Public Expenditure'!$B57,'Local Government'!$B$16:$M$76,'Public Expenditure'!J$1,FALSE)),VLOOKUP('Public Expenditure'!$B57,'Local Government'!$B$16:$M$76,'Public Expenditure'!J$1,FALSE),0)</f>
        <v>2836805.07</v>
      </c>
      <c r="K57" s="282">
        <f t="shared" si="1"/>
        <v>7.8909737691237825E-2</v>
      </c>
      <c r="L57" s="206">
        <f t="shared" si="5"/>
        <v>1295362.8300000005</v>
      </c>
      <c r="M57" s="288">
        <f t="shared" si="6"/>
        <v>45.662736706826337</v>
      </c>
      <c r="BI57" s="159"/>
      <c r="BJ57" s="159"/>
      <c r="BK57" s="143"/>
      <c r="BL57" s="143"/>
      <c r="BM57" s="143"/>
      <c r="BN57" s="140"/>
    </row>
    <row r="58" spans="1:66" ht="13.5" customHeight="1" thickTop="1" thickBot="1">
      <c r="B58" s="80">
        <v>44</v>
      </c>
      <c r="C58" s="176" t="s">
        <v>130</v>
      </c>
      <c r="D58" s="175">
        <f>'Cental Budget'!D57+'Local Government'!D58</f>
        <v>7986692.3200000003</v>
      </c>
      <c r="E58" s="280">
        <f t="shared" si="0"/>
        <v>0.21228781882940834</v>
      </c>
      <c r="F58" s="175">
        <f>+IF(ISNUMBER(VLOOKUP($B58,'Cental Budget'!$B$16:$K$76,'Public Expenditure'!F$1,FALSE)),VLOOKUP($B58,'Cental Budget'!$B$16:$K$76,'Public Expenditure'!F$1,FALSE),0)+IF(ISNUMBER(VLOOKUP('Public Expenditure'!$B58,'Local Government'!$B$16:$M$76,'Public Expenditure'!F$1,FALSE)),VLOOKUP('Public Expenditure'!$B58,'Local Government'!$B$16:$M$76,'Public Expenditure'!F$1,FALSE),0)</f>
        <v>90032126.846599996</v>
      </c>
      <c r="G58" s="280">
        <f t="shared" si="2"/>
        <v>2.3930712574185318</v>
      </c>
      <c r="H58" s="175">
        <f t="shared" si="3"/>
        <v>-82045434.526600003</v>
      </c>
      <c r="I58" s="280">
        <f t="shared" si="4"/>
        <v>-91.129064035543649</v>
      </c>
      <c r="J58" s="175">
        <f>+IF(ISNUMBER(VLOOKUP($B58,'Cental Budget'!$B$16:$K$76,'Public Expenditure'!J$1,FALSE)),VLOOKUP($B58,'Cental Budget'!$B$16:$K$76,'Public Expenditure'!J$1,FALSE),0)+IF(ISNUMBER(VLOOKUP('Public Expenditure'!$B58,'Local Government'!$B$16:$M$76,'Public Expenditure'!J$1,FALSE)),VLOOKUP('Public Expenditure'!$B58,'Local Government'!$B$16:$M$76,'Public Expenditure'!J$1,FALSE),0)</f>
        <v>22518884.399999999</v>
      </c>
      <c r="K58" s="280">
        <f t="shared" si="1"/>
        <v>0.62639455910987485</v>
      </c>
      <c r="L58" s="175">
        <f t="shared" si="5"/>
        <v>-14532192.079999998</v>
      </c>
      <c r="M58" s="280">
        <f t="shared" si="6"/>
        <v>-64.533357078736984</v>
      </c>
      <c r="BI58" s="159"/>
      <c r="BJ58" s="159"/>
      <c r="BK58" s="143"/>
      <c r="BL58" s="143"/>
      <c r="BM58" s="143"/>
      <c r="BN58" s="140"/>
    </row>
    <row r="59" spans="1:66" ht="13.5" customHeight="1" thickTop="1">
      <c r="B59" s="80">
        <v>451</v>
      </c>
      <c r="C59" s="93" t="s">
        <v>110</v>
      </c>
      <c r="D59" s="152">
        <f>'Cental Budget'!D58+'Local Government'!D59</f>
        <v>681897.59</v>
      </c>
      <c r="E59" s="283">
        <f t="shared" si="0"/>
        <v>1.8124969166976767E-2</v>
      </c>
      <c r="F59" s="152">
        <f>+IF(ISNUMBER(VLOOKUP($B59,'Cental Budget'!$B$16:$K$76,'Public Expenditure'!F$1,FALSE)),VLOOKUP($B59,'Cental Budget'!$B$16:$K$76,'Public Expenditure'!F$1,FALSE),0)+IF(ISNUMBER(VLOOKUP('Public Expenditure'!$B59,'Local Government'!$B$16:$M$76,'Public Expenditure'!F$1,FALSE)),VLOOKUP('Public Expenditure'!$B59,'Local Government'!$B$16:$M$76,'Public Expenditure'!F$1,FALSE),0)</f>
        <v>838382.96380000003</v>
      </c>
      <c r="G59" s="283">
        <f t="shared" si="2"/>
        <v>2.2284380516718941E-2</v>
      </c>
      <c r="H59" s="205">
        <f t="shared" si="3"/>
        <v>-156485.37380000006</v>
      </c>
      <c r="I59" s="289">
        <f t="shared" si="4"/>
        <v>-18.665142370107887</v>
      </c>
      <c r="J59" s="152">
        <f>+IF(ISNUMBER(VLOOKUP($B59,'Cental Budget'!$B$16:$K$76,'Public Expenditure'!J$1,FALSE)),VLOOKUP($B59,'Cental Budget'!$B$16:$K$76,'Public Expenditure'!J$1,FALSE),0)+IF(ISNUMBER(VLOOKUP('Public Expenditure'!$B59,'Local Government'!$B$16:$M$76,'Public Expenditure'!J$1,FALSE)),VLOOKUP('Public Expenditure'!$B59,'Local Government'!$B$16:$M$76,'Public Expenditure'!J$1,FALSE),0)</f>
        <v>562594.81000000006</v>
      </c>
      <c r="K59" s="283">
        <f t="shared" si="1"/>
        <v>1.5649368845618919E-2</v>
      </c>
      <c r="L59" s="205">
        <f t="shared" si="5"/>
        <v>119302.77999999991</v>
      </c>
      <c r="M59" s="289">
        <f t="shared" si="6"/>
        <v>21.205808848467683</v>
      </c>
      <c r="BI59" s="159"/>
      <c r="BJ59" s="159"/>
      <c r="BK59" s="143"/>
      <c r="BL59" s="143"/>
      <c r="BM59" s="143"/>
      <c r="BN59" s="140"/>
    </row>
    <row r="60" spans="1:66" ht="13.5" customHeight="1" thickBot="1">
      <c r="B60" s="80">
        <v>47</v>
      </c>
      <c r="C60" s="93" t="s">
        <v>117</v>
      </c>
      <c r="D60" s="152">
        <f>'Cental Budget'!D59+'Local Government'!D60</f>
        <v>4966241.41</v>
      </c>
      <c r="E60" s="283">
        <f t="shared" si="0"/>
        <v>0.13200365238424328</v>
      </c>
      <c r="F60" s="152">
        <f>+IF(ISNUMBER(VLOOKUP($B60,'Cental Budget'!$B$16:$K$76,'Public Expenditure'!F$1,FALSE)),VLOOKUP($B60,'Cental Budget'!$B$16:$K$76,'Public Expenditure'!F$1,FALSE),0)+IF(ISNUMBER(VLOOKUP('Public Expenditure'!$B60,'Local Government'!$B$16:$M$76,'Public Expenditure'!F$1,FALSE)),VLOOKUP('Public Expenditure'!$B60,'Local Government'!$B$16:$M$76,'Public Expenditure'!F$1,FALSE),0)</f>
        <v>3943773.7783999997</v>
      </c>
      <c r="G60" s="283">
        <f t="shared" si="2"/>
        <v>0.10482626597203763</v>
      </c>
      <c r="H60" s="205">
        <f t="shared" si="3"/>
        <v>1022467.6316000004</v>
      </c>
      <c r="I60" s="289">
        <f t="shared" si="4"/>
        <v>25.926122771038322</v>
      </c>
      <c r="J60" s="152">
        <f>+IF(ISNUMBER(VLOOKUP($B60,'Cental Budget'!$B$16:$K$76,'Public Expenditure'!J$1,FALSE)),VLOOKUP($B60,'Cental Budget'!$B$16:$K$76,'Public Expenditure'!J$1,FALSE),0)+IF(ISNUMBER(VLOOKUP('Public Expenditure'!$B60,'Local Government'!$B$16:$M$76,'Public Expenditure'!J$1,FALSE)),VLOOKUP('Public Expenditure'!$B60,'Local Government'!$B$16:$M$76,'Public Expenditure'!J$1,FALSE),0)</f>
        <v>1181383.8400000001</v>
      </c>
      <c r="K60" s="283">
        <f t="shared" si="1"/>
        <v>3.286185924895689E-2</v>
      </c>
      <c r="L60" s="205">
        <f t="shared" si="5"/>
        <v>3784857.5700000003</v>
      </c>
      <c r="M60" s="289">
        <f t="shared" si="6"/>
        <v>320.37492319177147</v>
      </c>
      <c r="BI60" s="159"/>
      <c r="BJ60" s="159"/>
      <c r="BK60" s="143"/>
      <c r="BL60" s="143"/>
      <c r="BM60" s="143"/>
      <c r="BN60" s="140"/>
    </row>
    <row r="61" spans="1:66" ht="13.5" customHeight="1" thickTop="1" thickBot="1">
      <c r="B61" s="80">
        <v>462</v>
      </c>
      <c r="C61" s="146" t="s">
        <v>112</v>
      </c>
      <c r="D61" s="161">
        <f>'Cental Budget'!D60+'Local Government'!D61</f>
        <v>876429.53</v>
      </c>
      <c r="E61" s="284">
        <f t="shared" si="0"/>
        <v>2.3295665568018712E-2</v>
      </c>
      <c r="F61" s="161">
        <f>+IF(ISNUMBER(VLOOKUP($B61,'Cental Budget'!$B$16:$K$76,'Public Expenditure'!F$1,FALSE)),VLOOKUP($B61,'Cental Budget'!$B$16:$K$76,'Public Expenditure'!F$1,FALSE),0)+IF(ISNUMBER(VLOOKUP('Public Expenditure'!$B61,'Local Government'!$B$16:$M$76,'Public Expenditure'!F$1,FALSE)),VLOOKUP('Public Expenditure'!$B61,'Local Government'!$B$16:$M$76,'Public Expenditure'!F$1,FALSE),0)</f>
        <v>0</v>
      </c>
      <c r="G61" s="284">
        <f t="shared" si="2"/>
        <v>0</v>
      </c>
      <c r="H61" s="207">
        <f t="shared" si="3"/>
        <v>876429.53</v>
      </c>
      <c r="I61" s="261" t="e">
        <f t="shared" si="4"/>
        <v>#DIV/0!</v>
      </c>
      <c r="J61" s="161">
        <f>+IF(ISNUMBER(VLOOKUP($B61,'Cental Budget'!$B$16:$K$76,'Public Expenditure'!J$1,FALSE)),VLOOKUP($B61,'Cental Budget'!$B$16:$K$76,'Public Expenditure'!J$1,FALSE),0)+IF(ISNUMBER(VLOOKUP('Public Expenditure'!$B61,'Local Government'!$B$16:$M$76,'Public Expenditure'!J$1,FALSE)),VLOOKUP('Public Expenditure'!$B61,'Local Government'!$B$16:$M$76,'Public Expenditure'!J$1,FALSE),0)</f>
        <v>65000</v>
      </c>
      <c r="K61" s="284">
        <f t="shared" si="1"/>
        <v>1.8080667593880391E-3</v>
      </c>
      <c r="L61" s="207">
        <f t="shared" si="5"/>
        <v>811429.53</v>
      </c>
      <c r="M61" s="290">
        <f t="shared" si="6"/>
        <v>1248.3531230769231</v>
      </c>
      <c r="BI61" s="159"/>
      <c r="BJ61" s="159"/>
      <c r="BK61" s="143"/>
      <c r="BL61" s="143"/>
      <c r="BM61" s="143"/>
      <c r="BN61" s="140"/>
    </row>
    <row r="62" spans="1:66" ht="13.5" customHeight="1" thickTop="1" thickBot="1">
      <c r="B62" s="80" t="s">
        <v>450</v>
      </c>
      <c r="C62" s="209" t="s">
        <v>115</v>
      </c>
      <c r="D62" s="210">
        <f>'Cental Budget'!D61+'Local Government'!D62</f>
        <v>30612238.829999998</v>
      </c>
      <c r="E62" s="285">
        <f>D62/D$11*100</f>
        <v>0.81367919913880171</v>
      </c>
      <c r="F62" s="210">
        <f>'Cental Budget'!F61+'Local Government'!F62</f>
        <v>21479657.918899998</v>
      </c>
      <c r="G62" s="285">
        <f>F62/D$11*100</f>
        <v>0.57093344104247501</v>
      </c>
      <c r="H62" s="211">
        <f>+D62-F62</f>
        <v>9132580.9111000001</v>
      </c>
      <c r="I62" s="261">
        <f t="shared" si="4"/>
        <v>42.517348021004665</v>
      </c>
      <c r="J62" s="210">
        <f>'Cental Budget'!J61+'Local Government'!J62</f>
        <v>16853736.699999999</v>
      </c>
      <c r="K62" s="285">
        <f>J62/J$11*100</f>
        <v>0.46881047844228091</v>
      </c>
      <c r="L62" s="211">
        <f>+D62-J62</f>
        <v>13758502.129999999</v>
      </c>
      <c r="M62" s="291">
        <f>+D62/J62*100-100</f>
        <v>81.634728101572875</v>
      </c>
      <c r="BI62" s="159"/>
      <c r="BJ62" s="159"/>
      <c r="BK62" s="143"/>
      <c r="BL62" s="143"/>
      <c r="BM62" s="143"/>
      <c r="BN62" s="140"/>
    </row>
    <row r="63" spans="1:66" ht="13.5" customHeight="1" thickTop="1" thickBot="1">
      <c r="B63" s="80">
        <v>990</v>
      </c>
      <c r="C63" s="145" t="s">
        <v>151</v>
      </c>
      <c r="D63" s="152">
        <f>'Cental Budget'!D62+'Local Government'!D63</f>
        <v>0</v>
      </c>
      <c r="E63" s="283">
        <f t="shared" si="0"/>
        <v>0</v>
      </c>
      <c r="F63" s="152">
        <f>+IF(ISNUMBER(VLOOKUP($B63,'Cental Budget'!$B$16:$K$76,'Public Expenditure'!F$1,FALSE)),VLOOKUP($B63,'Cental Budget'!$B$16:$K$76,'Public Expenditure'!F$1,FALSE),0)+IF(ISNUMBER(VLOOKUP('Public Expenditure'!$B63,'Local Government'!$B$16:$M$76,'Public Expenditure'!F$1,FALSE)),VLOOKUP('Public Expenditure'!$B63,'Local Government'!$B$16:$M$76,'Public Expenditure'!F$1,FALSE),0)</f>
        <v>0</v>
      </c>
      <c r="G63" s="283">
        <f t="shared" si="2"/>
        <v>0</v>
      </c>
      <c r="H63" s="205">
        <f t="shared" si="3"/>
        <v>0</v>
      </c>
      <c r="I63" s="261" t="e">
        <f t="shared" si="4"/>
        <v>#DIV/0!</v>
      </c>
      <c r="J63" s="152">
        <f>+IF(ISNUMBER(VLOOKUP($B63,'Cental Budget'!$B$16:$K$76,'Public Expenditure'!J$1,FALSE)),VLOOKUP($B63,'Cental Budget'!$B$16:$K$76,'Public Expenditure'!J$1,FALSE),0)+IF(ISNUMBER(VLOOKUP('Public Expenditure'!$B63,'Local Government'!$B$16:$M$76,'Public Expenditure'!J$1,FALSE)),VLOOKUP('Public Expenditure'!$B63,'Local Government'!$B$16:$M$76,'Public Expenditure'!J$1,FALSE),0)</f>
        <v>0</v>
      </c>
      <c r="K63" s="283">
        <f t="shared" si="1"/>
        <v>0</v>
      </c>
      <c r="L63" s="205">
        <f t="shared" si="5"/>
        <v>0</v>
      </c>
      <c r="M63" s="289" t="e">
        <f t="shared" si="6"/>
        <v>#DIV/0!</v>
      </c>
      <c r="BI63" s="159"/>
      <c r="BJ63" s="159"/>
      <c r="BK63" s="143"/>
      <c r="BL63" s="143"/>
      <c r="BM63" s="143"/>
      <c r="BN63" s="140"/>
    </row>
    <row r="64" spans="1:66" ht="13.5" customHeight="1" thickTop="1" thickBot="1">
      <c r="C64" s="176" t="s">
        <v>131</v>
      </c>
      <c r="D64" s="171">
        <f>+D16-D36</f>
        <v>-76761054.190000057</v>
      </c>
      <c r="E64" s="280">
        <f t="shared" si="0"/>
        <v>-2.0403235923130101</v>
      </c>
      <c r="F64" s="171">
        <f>+F16-F36</f>
        <v>-176990424.36736554</v>
      </c>
      <c r="G64" s="280">
        <f t="shared" si="2"/>
        <v>-4.7044395398268444</v>
      </c>
      <c r="H64" s="171">
        <f>+D64-F64</f>
        <v>100229370.17736548</v>
      </c>
      <c r="I64" s="280">
        <f t="shared" si="4"/>
        <v>-56.629826464129501</v>
      </c>
      <c r="J64" s="171">
        <f>+J16-J36-J63</f>
        <v>-59144204.370000064</v>
      </c>
      <c r="K64" s="280">
        <f>J64/J$11*100</f>
        <v>-1.6451795374130755</v>
      </c>
      <c r="L64" s="171">
        <f t="shared" si="5"/>
        <v>-17616849.819999993</v>
      </c>
      <c r="M64" s="280">
        <f t="shared" si="6"/>
        <v>29.786265632708137</v>
      </c>
      <c r="BI64" s="159"/>
      <c r="BJ64" s="159"/>
      <c r="BK64" s="143"/>
      <c r="BL64" s="143"/>
      <c r="BM64" s="143"/>
      <c r="BN64" s="140"/>
    </row>
    <row r="65" spans="2:66" ht="13.5" customHeight="1" thickTop="1" thickBot="1">
      <c r="C65" s="176" t="s">
        <v>132</v>
      </c>
      <c r="D65" s="171">
        <f>+D64+D44</f>
        <v>-48024625.530000061</v>
      </c>
      <c r="E65" s="280">
        <f t="shared" si="0"/>
        <v>-1.2765037884748303</v>
      </c>
      <c r="F65" s="171">
        <f>+F64+F44</f>
        <v>-157071014.60796553</v>
      </c>
      <c r="G65" s="280">
        <f t="shared" si="2"/>
        <v>-4.1749777951189602</v>
      </c>
      <c r="H65" s="171">
        <f t="shared" si="3"/>
        <v>109046389.07796547</v>
      </c>
      <c r="I65" s="280">
        <f t="shared" si="4"/>
        <v>-69.424896343946713</v>
      </c>
      <c r="J65" s="171">
        <f>+J64+J44</f>
        <v>-44298704.21000006</v>
      </c>
      <c r="K65" s="280">
        <f t="shared" si="1"/>
        <v>-1.2322309933240629</v>
      </c>
      <c r="L65" s="171">
        <f t="shared" si="5"/>
        <v>-3725921.3200000003</v>
      </c>
      <c r="M65" s="280">
        <f t="shared" si="6"/>
        <v>8.4109036290025472</v>
      </c>
      <c r="BI65" s="159"/>
      <c r="BJ65" s="159"/>
      <c r="BK65" s="143"/>
      <c r="BL65" s="143"/>
      <c r="BM65" s="143"/>
      <c r="BN65" s="140"/>
    </row>
    <row r="66" spans="2:66" ht="13.5" customHeight="1" thickTop="1" thickBot="1">
      <c r="C66" s="176" t="s">
        <v>0</v>
      </c>
      <c r="D66" s="171">
        <f>+SUM(D67:D68)</f>
        <v>49291845.049999997</v>
      </c>
      <c r="E66" s="280">
        <f t="shared" si="0"/>
        <v>1.3101867271809047</v>
      </c>
      <c r="F66" s="171">
        <f>+SUM(F67:F68)</f>
        <v>92229144.0132</v>
      </c>
      <c r="G66" s="280">
        <f t="shared" si="2"/>
        <v>2.4514683965020465</v>
      </c>
      <c r="H66" s="171">
        <f t="shared" si="3"/>
        <v>-42937298.963200003</v>
      </c>
      <c r="I66" s="280">
        <f t="shared" si="4"/>
        <v>-46.555022734521678</v>
      </c>
      <c r="J66" s="171">
        <f>+SUM(J67:J68)</f>
        <v>138864056.05000001</v>
      </c>
      <c r="K66" s="280">
        <f t="shared" si="1"/>
        <v>3.8626997510431158</v>
      </c>
      <c r="L66" s="171">
        <f t="shared" si="5"/>
        <v>-89572211.000000015</v>
      </c>
      <c r="M66" s="280">
        <f t="shared" si="6"/>
        <v>-64.503524920623263</v>
      </c>
      <c r="BI66" s="159"/>
      <c r="BJ66" s="159"/>
      <c r="BK66" s="143"/>
      <c r="BL66" s="143"/>
      <c r="BM66" s="143"/>
      <c r="BN66" s="140"/>
    </row>
    <row r="67" spans="2:66" ht="13.5" customHeight="1" thickTop="1">
      <c r="B67" s="80">
        <v>4611</v>
      </c>
      <c r="C67" s="97" t="s">
        <v>134</v>
      </c>
      <c r="D67" s="154">
        <f>'Cental Budget'!D66+'Local Government'!D67</f>
        <v>18559188.18</v>
      </c>
      <c r="E67" s="282">
        <f t="shared" si="0"/>
        <v>0.49330679336558392</v>
      </c>
      <c r="F67" s="154">
        <f>+IF(ISNUMBER(VLOOKUP($B67,'Cental Budget'!$B$16:$K$76,'Public Expenditure'!F$1,FALSE)),VLOOKUP($B67,'Cental Budget'!$B$16:$K$76,'Public Expenditure'!F$1,FALSE),0)+IF(ISNUMBER(VLOOKUP('Public Expenditure'!$B67,'Local Government'!$B$16:$M$76,'Public Expenditure'!F$1,FALSE)),VLOOKUP('Public Expenditure'!$B67,'Local Government'!$B$16:$M$76,'Public Expenditure'!F$1,FALSE),0)</f>
        <v>14435782.6382</v>
      </c>
      <c r="G67" s="282">
        <f t="shared" si="2"/>
        <v>0.38370588055393123</v>
      </c>
      <c r="H67" s="206">
        <f t="shared" si="3"/>
        <v>4123405.5417999998</v>
      </c>
      <c r="I67" s="288">
        <f t="shared" si="4"/>
        <v>28.563782408919309</v>
      </c>
      <c r="J67" s="154">
        <f>+IF(ISNUMBER(VLOOKUP($B67,'Cental Budget'!$B$16:$K$76,'Public Expenditure'!J$1,FALSE)),VLOOKUP($B67,'Cental Budget'!$B$16:$K$76,'Public Expenditure'!J$1,FALSE),0)+IF(ISNUMBER(VLOOKUP('Public Expenditure'!$B67,'Local Government'!$B$16:$M$76,'Public Expenditure'!J$1,FALSE)),VLOOKUP('Public Expenditure'!$B67,'Local Government'!$B$16:$M$76,'Public Expenditure'!J$1,FALSE),0)</f>
        <v>106863164.53</v>
      </c>
      <c r="K67" s="282">
        <f t="shared" si="1"/>
        <v>2.9725497783031991</v>
      </c>
      <c r="L67" s="206">
        <f t="shared" si="5"/>
        <v>-88303976.349999994</v>
      </c>
      <c r="M67" s="288">
        <f t="shared" si="6"/>
        <v>-82.632754456012933</v>
      </c>
      <c r="BI67" s="159"/>
      <c r="BJ67" s="159"/>
      <c r="BK67" s="143"/>
      <c r="BL67" s="143"/>
      <c r="BM67" s="143"/>
      <c r="BN67" s="140"/>
    </row>
    <row r="68" spans="2:66" ht="13.5" customHeight="1" thickBot="1">
      <c r="B68" s="80">
        <v>4612</v>
      </c>
      <c r="C68" s="97" t="s">
        <v>136</v>
      </c>
      <c r="D68" s="154">
        <f>'Cental Budget'!D67+'Local Government'!D68</f>
        <v>30732656.869999997</v>
      </c>
      <c r="E68" s="282">
        <f t="shared" si="0"/>
        <v>0.81687993381532076</v>
      </c>
      <c r="F68" s="154">
        <f>+IF(ISNUMBER(VLOOKUP($B68,'Cental Budget'!$B$16:$K$76,'Public Expenditure'!F$1,FALSE)),VLOOKUP($B68,'Cental Budget'!$B$16:$K$76,'Public Expenditure'!F$1,FALSE),0)+IF(ISNUMBER(VLOOKUP('Public Expenditure'!$B68,'Local Government'!$B$16:$M$76,'Public Expenditure'!F$1,FALSE)),VLOOKUP('Public Expenditure'!$B68,'Local Government'!$B$16:$M$76,'Public Expenditure'!F$1,FALSE),0)</f>
        <v>77793361.375</v>
      </c>
      <c r="G68" s="282">
        <f t="shared" si="2"/>
        <v>2.0677625159481154</v>
      </c>
      <c r="H68" s="206">
        <f t="shared" si="3"/>
        <v>-47060704.505000003</v>
      </c>
      <c r="I68" s="288">
        <f t="shared" si="4"/>
        <v>-60.494499367556095</v>
      </c>
      <c r="J68" s="154">
        <f>+IF(ISNUMBER(VLOOKUP($B68,'Cental Budget'!$B$16:$K$76,'Public Expenditure'!J$1,FALSE)),VLOOKUP($B68,'Cental Budget'!$B$16:$K$76,'Public Expenditure'!J$1,FALSE),0)+IF(ISNUMBER(VLOOKUP('Public Expenditure'!$B68,'Local Government'!$B$16:$M$76,'Public Expenditure'!J$1,FALSE)),VLOOKUP('Public Expenditure'!$B68,'Local Government'!$B$16:$M$76,'Public Expenditure'!J$1,FALSE),0)</f>
        <v>32000891.520000003</v>
      </c>
      <c r="K68" s="282">
        <f t="shared" si="1"/>
        <v>0.8901499727399167</v>
      </c>
      <c r="L68" s="206">
        <f t="shared" si="5"/>
        <v>-1268234.650000006</v>
      </c>
      <c r="M68" s="288">
        <f t="shared" si="6"/>
        <v>-3.9631228686468916</v>
      </c>
      <c r="BI68" s="159"/>
      <c r="BJ68" s="159"/>
      <c r="BK68" s="143"/>
      <c r="BL68" s="143"/>
      <c r="BM68" s="143"/>
      <c r="BN68" s="140"/>
    </row>
    <row r="69" spans="2:66" ht="13.5" hidden="1" customHeight="1" thickBot="1">
      <c r="B69" s="80" t="s">
        <v>451</v>
      </c>
      <c r="C69" s="97" t="s">
        <v>115</v>
      </c>
      <c r="D69" s="154">
        <f>+IF(ISNUMBER(VLOOKUP($B69,'Cental Budget'!$B$16:$K$76,'Public Expenditure'!D$1,FALSE)),VLOOKUP($B69,'Cental Budget'!$B$16:$K$76,'Public Expenditure'!D$1,FALSE),0)+IF(ISNUMBER(VLOOKUP('Public Expenditure'!$B69,'Local Government'!$B$16:$M$76,'Public Expenditure'!D$1,FALSE)),VLOOKUP('Public Expenditure'!$B69,'Local Government'!$B$16:$M$76,'Public Expenditure'!D$1,FALSE),0)</f>
        <v>13521396.810000001</v>
      </c>
      <c r="E69" s="282">
        <f t="shared" si="0"/>
        <v>0.35940132927542395</v>
      </c>
      <c r="F69" s="154">
        <f>+IF(ISNUMBER(VLOOKUP($B69,'Cental Budget'!$B$16:$K$76,'Public Expenditure'!F$1,FALSE)),VLOOKUP($B69,'Cental Budget'!$B$16:$K$76,'Public Expenditure'!F$1,FALSE),0)+IF(ISNUMBER(VLOOKUP('Public Expenditure'!$B69,'Local Government'!$B$16:$M$76,'Public Expenditure'!F$1,FALSE)),VLOOKUP('Public Expenditure'!$B69,'Local Government'!$B$16:$M$76,'Public Expenditure'!F$1,FALSE),0)</f>
        <v>11635969.076400001</v>
      </c>
      <c r="G69" s="282">
        <f t="shared" si="2"/>
        <v>0.30928629728350432</v>
      </c>
      <c r="H69" s="206">
        <f t="shared" si="3"/>
        <v>1885427.7335999999</v>
      </c>
      <c r="I69" s="288">
        <f t="shared" si="4"/>
        <v>16.203444003851914</v>
      </c>
      <c r="J69" s="154">
        <f>+IF(ISNUMBER(VLOOKUP($B69,'Cental Budget'!$B$16:$K$76,'Public Expenditure'!J$1,FALSE)),VLOOKUP($B69,'Cental Budget'!$B$16:$K$76,'Public Expenditure'!J$1,FALSE),0)+IF(ISNUMBER(VLOOKUP('Public Expenditure'!$B69,'Local Government'!$B$16:$M$76,'Public Expenditure'!J$1,FALSE)),VLOOKUP('Public Expenditure'!$B69,'Local Government'!$B$16:$M$76,'Public Expenditure'!J$1,FALSE),0)</f>
        <v>11407812.82</v>
      </c>
      <c r="K69" s="282">
        <f t="shared" si="1"/>
        <v>0.31732441780250348</v>
      </c>
      <c r="L69" s="206">
        <f t="shared" si="5"/>
        <v>2113583.9900000002</v>
      </c>
      <c r="M69" s="288">
        <f t="shared" si="6"/>
        <v>18.527512883928949</v>
      </c>
      <c r="BI69" s="159"/>
      <c r="BJ69" s="159"/>
      <c r="BK69" s="143"/>
      <c r="BL69" s="143"/>
      <c r="BM69" s="143"/>
      <c r="BN69" s="140"/>
    </row>
    <row r="70" spans="2:66" ht="13.5" customHeight="1" thickTop="1" thickBot="1">
      <c r="C70" s="176" t="s">
        <v>140</v>
      </c>
      <c r="D70" s="171">
        <f>+D64-D66</f>
        <v>-126052899.24000005</v>
      </c>
      <c r="E70" s="280">
        <f t="shared" si="0"/>
        <v>-3.3505103194939143</v>
      </c>
      <c r="F70" s="171">
        <f>+F64-F66</f>
        <v>-269219568.38056552</v>
      </c>
      <c r="G70" s="280">
        <f t="shared" si="2"/>
        <v>-7.1559079363288909</v>
      </c>
      <c r="H70" s="171">
        <f t="shared" si="3"/>
        <v>143166669.14056545</v>
      </c>
      <c r="I70" s="280">
        <f t="shared" si="4"/>
        <v>-53.178403784596668</v>
      </c>
      <c r="J70" s="171">
        <f>+J64-J66</f>
        <v>-198008260.42000008</v>
      </c>
      <c r="K70" s="280">
        <f t="shared" si="1"/>
        <v>-5.5078792884561913</v>
      </c>
      <c r="L70" s="171">
        <f t="shared" si="5"/>
        <v>71955361.180000022</v>
      </c>
      <c r="M70" s="280">
        <f t="shared" si="6"/>
        <v>-36.339575443657644</v>
      </c>
      <c r="BI70" s="159"/>
      <c r="BJ70" s="159"/>
      <c r="BK70" s="143"/>
      <c r="BL70" s="143"/>
      <c r="BM70" s="143"/>
      <c r="BN70" s="140"/>
    </row>
    <row r="71" spans="2:66" ht="13.5" customHeight="1" thickTop="1" thickBot="1">
      <c r="C71" s="176" t="s">
        <v>120</v>
      </c>
      <c r="D71" s="171">
        <f>+SUM(D72:D75)</f>
        <v>126052899.24000007</v>
      </c>
      <c r="E71" s="280">
        <f t="shared" si="0"/>
        <v>3.3505103194939148</v>
      </c>
      <c r="F71" s="171">
        <f>+SUM(F72:F75)</f>
        <v>269219568.38056552</v>
      </c>
      <c r="G71" s="280">
        <f t="shared" si="2"/>
        <v>7.1559079363288909</v>
      </c>
      <c r="H71" s="171">
        <f t="shared" si="3"/>
        <v>-143166669.14056545</v>
      </c>
      <c r="I71" s="280">
        <f t="shared" si="4"/>
        <v>-53.178403784596661</v>
      </c>
      <c r="J71" s="171">
        <f>+SUM(J72:J75)</f>
        <v>198008260.42000008</v>
      </c>
      <c r="K71" s="280">
        <f t="shared" si="1"/>
        <v>5.5078792884561913</v>
      </c>
      <c r="L71" s="171">
        <f t="shared" si="5"/>
        <v>-71955361.180000007</v>
      </c>
      <c r="M71" s="280">
        <f t="shared" si="6"/>
        <v>-36.339575443657637</v>
      </c>
      <c r="BI71" s="159"/>
      <c r="BJ71" s="159"/>
      <c r="BK71" s="143"/>
      <c r="BL71" s="143"/>
      <c r="BM71" s="143"/>
      <c r="BN71" s="140"/>
    </row>
    <row r="72" spans="2:66" ht="13.5" customHeight="1" thickTop="1">
      <c r="B72" s="80">
        <v>7511</v>
      </c>
      <c r="C72" s="97" t="s">
        <v>143</v>
      </c>
      <c r="D72" s="154">
        <f>'Cental Budget'!D71+'Local Government'!D72</f>
        <v>23377693.149999999</v>
      </c>
      <c r="E72" s="282">
        <f t="shared" si="0"/>
        <v>0.62138358274413907</v>
      </c>
      <c r="F72" s="154">
        <f>+IF(ISNUMBER(VLOOKUP($B72,'Cental Budget'!$B$16:$K$76,'Public Expenditure'!F$1,FALSE)),VLOOKUP($B72,'Cental Budget'!$B$16:$K$76,'Public Expenditure'!F$1,FALSE),0)+IF(ISNUMBER(VLOOKUP('Public Expenditure'!$B72,'Local Government'!$B$16:$M$76,'Public Expenditure'!F$1,FALSE)),VLOOKUP('Public Expenditure'!$B72,'Local Government'!$B$16:$M$76,'Public Expenditure'!F$1,FALSE),0)</f>
        <v>7500000</v>
      </c>
      <c r="G72" s="282">
        <f t="shared" si="2"/>
        <v>0.19935144330444954</v>
      </c>
      <c r="H72" s="206">
        <f t="shared" si="3"/>
        <v>15877693.149999999</v>
      </c>
      <c r="I72" s="288">
        <f t="shared" si="4"/>
        <v>211.7025753333333</v>
      </c>
      <c r="J72" s="154">
        <f>+IF(ISNUMBER(VLOOKUP($B72,'Cental Budget'!$B$16:$K$76,'Public Expenditure'!J$1,FALSE)),VLOOKUP($B72,'Cental Budget'!$B$16:$K$76,'Public Expenditure'!J$1,FALSE),0)+IF(ISNUMBER(VLOOKUP('Public Expenditure'!$B72,'Local Government'!$B$16:$M$76,'Public Expenditure'!J$1,FALSE)),VLOOKUP('Public Expenditure'!$B72,'Local Government'!$B$16:$M$76,'Public Expenditure'!J$1,FALSE),0)</f>
        <v>99218508.140000001</v>
      </c>
      <c r="K72" s="282">
        <f t="shared" si="1"/>
        <v>2.7599028689847009</v>
      </c>
      <c r="L72" s="206">
        <f t="shared" si="5"/>
        <v>-75840814.99000001</v>
      </c>
      <c r="M72" s="288">
        <f t="shared" si="6"/>
        <v>-76.438173090636042</v>
      </c>
      <c r="BI72" s="159"/>
      <c r="BJ72" s="159"/>
      <c r="BK72" s="143"/>
      <c r="BL72" s="143"/>
      <c r="BM72" s="143"/>
      <c r="BN72" s="140"/>
    </row>
    <row r="73" spans="2:66" ht="13.5" customHeight="1">
      <c r="B73" s="80">
        <v>7512</v>
      </c>
      <c r="C73" s="97" t="s">
        <v>121</v>
      </c>
      <c r="D73" s="154">
        <f>'Cental Budget'!D72+'Local Government'!D73</f>
        <v>303410624.96000004</v>
      </c>
      <c r="E73" s="282">
        <f t="shared" si="0"/>
        <v>8.0647127999574728</v>
      </c>
      <c r="F73" s="154">
        <f>+IF(ISNUMBER(VLOOKUP($B73,'Cental Budget'!$B$16:$K$76,'Public Expenditure'!F$1,FALSE)),VLOOKUP($B73,'Cental Budget'!$B$16:$K$76,'Public Expenditure'!F$1,FALSE),0)+IF(ISNUMBER(VLOOKUP('Public Expenditure'!$B73,'Local Government'!$B$16:$M$76,'Public Expenditure'!F$1,FALSE)),VLOOKUP('Public Expenditure'!$B73,'Local Government'!$B$16:$M$76,'Public Expenditure'!F$1,FALSE),0)</f>
        <v>164321423.83114001</v>
      </c>
      <c r="G73" s="282">
        <f t="shared" si="2"/>
        <v>4.3676950675439903</v>
      </c>
      <c r="H73" s="206">
        <f t="shared" si="3"/>
        <v>139089201.12886003</v>
      </c>
      <c r="I73" s="288">
        <f t="shared" si="4"/>
        <v>84.644593435236345</v>
      </c>
      <c r="J73" s="154">
        <f>+IF(ISNUMBER(VLOOKUP($B73,'Cental Budget'!$B$16:$K$76,'Public Expenditure'!J$1,FALSE)),VLOOKUP($B73,'Cental Budget'!$B$16:$K$76,'Public Expenditure'!J$1,FALSE),0)+IF(ISNUMBER(VLOOKUP('Public Expenditure'!$B73,'Local Government'!$B$16:$M$76,'Public Expenditure'!J$1,FALSE)),VLOOKUP('Public Expenditure'!$B73,'Local Government'!$B$16:$M$76,'Public Expenditure'!J$1,FALSE),0)</f>
        <v>501504632.68000001</v>
      </c>
      <c r="K73" s="282">
        <f t="shared" si="1"/>
        <v>13.950059323504869</v>
      </c>
      <c r="L73" s="206">
        <f t="shared" si="5"/>
        <v>-198094007.71999997</v>
      </c>
      <c r="M73" s="288">
        <f t="shared" si="6"/>
        <v>-39.499935755608419</v>
      </c>
      <c r="BI73" s="159"/>
      <c r="BJ73" s="159"/>
      <c r="BK73" s="143"/>
      <c r="BL73" s="143"/>
      <c r="BM73" s="143"/>
      <c r="BN73" s="140"/>
    </row>
    <row r="74" spans="2:66" ht="13.5" customHeight="1" thickBot="1">
      <c r="B74" s="80">
        <v>72</v>
      </c>
      <c r="C74" s="103" t="s">
        <v>328</v>
      </c>
      <c r="D74" s="154">
        <f>'Cental Budget'!D73+'Local Government'!D74</f>
        <v>1652469.4300000002</v>
      </c>
      <c r="E74" s="286">
        <f t="shared" si="0"/>
        <v>4.3922955451597474E-2</v>
      </c>
      <c r="F74" s="154">
        <f>+IF(ISNUMBER(VLOOKUP($B74,'Cental Budget'!$B$16:$K$76,'Public Expenditure'!F$1,FALSE)),VLOOKUP($B74,'Cental Budget'!$B$16:$K$76,'Public Expenditure'!F$1,FALSE),0)+IF(ISNUMBER(VLOOKUP('Public Expenditure'!$B74,'Local Government'!$B$16:$M$76,'Public Expenditure'!F$1,FALSE)),VLOOKUP('Public Expenditure'!$B74,'Local Government'!$B$16:$M$76,'Public Expenditure'!F$1,FALSE),0)</f>
        <v>459602.36100000003</v>
      </c>
      <c r="G74" s="286">
        <f t="shared" si="2"/>
        <v>1.2216319201531021E-2</v>
      </c>
      <c r="H74" s="206">
        <f t="shared" si="3"/>
        <v>1192867.0690000001</v>
      </c>
      <c r="I74" s="288">
        <f t="shared" si="4"/>
        <v>259.54328572302529</v>
      </c>
      <c r="J74" s="154">
        <f>+IF(ISNUMBER(VLOOKUP($B74,'Cental Budget'!$B$16:$K$76,'Public Expenditure'!J$1,FALSE)),VLOOKUP($B74,'Cental Budget'!$B$16:$K$76,'Public Expenditure'!J$1,FALSE),0)+IF(ISNUMBER(VLOOKUP('Public Expenditure'!$B74,'Local Government'!$B$16:$M$76,'Public Expenditure'!J$1,FALSE)),VLOOKUP('Public Expenditure'!$B74,'Local Government'!$B$16:$M$76,'Public Expenditure'!J$1,FALSE),0)</f>
        <v>1628818.82</v>
      </c>
      <c r="K74" s="286">
        <f t="shared" si="1"/>
        <v>4.5307894853963845E-2</v>
      </c>
      <c r="L74" s="206">
        <f t="shared" si="5"/>
        <v>23650.610000000102</v>
      </c>
      <c r="M74" s="288">
        <f t="shared" si="6"/>
        <v>1.4520098681079787</v>
      </c>
      <c r="BI74" s="159"/>
      <c r="BJ74" s="159"/>
      <c r="BK74" s="143"/>
      <c r="BL74" s="143"/>
      <c r="BM74" s="143"/>
      <c r="BN74" s="140"/>
    </row>
    <row r="75" spans="2:66" ht="13.5" customHeight="1" thickTop="1" thickBot="1">
      <c r="C75" s="146" t="s">
        <v>124</v>
      </c>
      <c r="D75" s="147">
        <f>-D70-SUM(D72:D74)</f>
        <v>-202387888.29999995</v>
      </c>
      <c r="E75" s="284">
        <f t="shared" si="0"/>
        <v>-5.3795090186592942</v>
      </c>
      <c r="F75" s="147">
        <f>-F70-SUM(F72:F74)</f>
        <v>96938542.188425511</v>
      </c>
      <c r="G75" s="284">
        <f t="shared" si="2"/>
        <v>2.5766451062789195</v>
      </c>
      <c r="H75" s="204">
        <f t="shared" si="3"/>
        <v>-299326430.48842549</v>
      </c>
      <c r="I75" s="290">
        <f t="shared" si="4"/>
        <v>-308.77958728387512</v>
      </c>
      <c r="J75" s="147">
        <f>-J70-SUM(J72:J74)</f>
        <v>-404343699.22000003</v>
      </c>
      <c r="K75" s="284">
        <f t="shared" si="1"/>
        <v>-11.247390798887343</v>
      </c>
      <c r="L75" s="204">
        <f t="shared" si="5"/>
        <v>201955810.92000008</v>
      </c>
      <c r="M75" s="290">
        <f t="shared" si="6"/>
        <v>-49.946570531353231</v>
      </c>
      <c r="BI75" s="159"/>
      <c r="BJ75" s="159"/>
      <c r="BK75" s="143"/>
      <c r="BL75" s="143"/>
      <c r="BM75" s="143"/>
      <c r="BN75" s="140"/>
    </row>
    <row r="76" spans="2:66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427</v>
      </c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7" t="s">
        <v>436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38" t="s">
        <v>195</v>
      </c>
      <c r="C3" s="338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38" t="s">
        <v>243</v>
      </c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</row>
    <row r="40" spans="2:20" ht="12.75" customHeight="1">
      <c r="B40" s="337" t="s">
        <v>238</v>
      </c>
      <c r="C40" s="337"/>
      <c r="D40" s="342" t="s">
        <v>244</v>
      </c>
      <c r="E40" s="342"/>
      <c r="F40" s="337" t="s">
        <v>239</v>
      </c>
      <c r="G40" s="337"/>
      <c r="H40" s="337"/>
      <c r="I40" s="2" t="s">
        <v>240</v>
      </c>
      <c r="J40" s="337" t="s">
        <v>241</v>
      </c>
      <c r="K40" s="337"/>
      <c r="L40" s="337"/>
      <c r="M40" s="337" t="s">
        <v>242</v>
      </c>
      <c r="N40" s="337"/>
      <c r="O40" s="337"/>
      <c r="P40" s="337"/>
    </row>
    <row r="41" spans="2:20">
      <c r="B41" s="337"/>
      <c r="C41" s="337"/>
      <c r="D41" s="342"/>
      <c r="E41" s="342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40" t="s">
        <v>222</v>
      </c>
      <c r="C42" s="15" t="s">
        <v>223</v>
      </c>
      <c r="D42" s="343" t="s">
        <v>180</v>
      </c>
      <c r="E42" s="16" t="s">
        <v>181</v>
      </c>
      <c r="F42" s="343" t="s">
        <v>246</v>
      </c>
      <c r="G42" s="343"/>
      <c r="H42" s="343"/>
      <c r="I42" s="17" t="s">
        <v>247</v>
      </c>
      <c r="J42" s="344" t="s">
        <v>248</v>
      </c>
      <c r="K42" s="344"/>
      <c r="L42" s="344"/>
      <c r="M42" s="343" t="s">
        <v>249</v>
      </c>
      <c r="N42" s="343"/>
      <c r="O42" s="343"/>
      <c r="P42" s="343"/>
    </row>
    <row r="43" spans="2:20">
      <c r="B43" s="340"/>
      <c r="C43" s="18" t="s">
        <v>224</v>
      </c>
      <c r="D43" s="343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40"/>
      <c r="C44" s="15" t="s">
        <v>225</v>
      </c>
      <c r="D44" s="343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40"/>
      <c r="C45" s="15" t="s">
        <v>226</v>
      </c>
      <c r="D45" s="343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40"/>
      <c r="C46" s="15" t="s">
        <v>227</v>
      </c>
      <c r="D46" s="343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40"/>
      <c r="C47" s="15" t="s">
        <v>228</v>
      </c>
      <c r="D47" s="343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40"/>
      <c r="C48" s="15" t="s">
        <v>229</v>
      </c>
      <c r="D48" s="343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40"/>
      <c r="C49" s="19" t="s">
        <v>230</v>
      </c>
      <c r="D49" s="343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40"/>
      <c r="C50" s="15" t="s">
        <v>231</v>
      </c>
      <c r="D50" s="343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40"/>
      <c r="C51" s="15" t="s">
        <v>378</v>
      </c>
      <c r="D51" s="343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41" t="s">
        <v>232</v>
      </c>
      <c r="C52" s="20" t="s">
        <v>233</v>
      </c>
      <c r="D52" s="343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41"/>
      <c r="C53" s="20" t="s">
        <v>234</v>
      </c>
      <c r="D53" s="343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41"/>
      <c r="C54" s="20" t="s">
        <v>235</v>
      </c>
      <c r="D54" s="343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41"/>
      <c r="C55" s="20" t="s">
        <v>374</v>
      </c>
      <c r="D55" s="343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41"/>
      <c r="C56" s="20" t="s">
        <v>79</v>
      </c>
      <c r="D56" s="343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41"/>
      <c r="C57" s="20" t="s">
        <v>236</v>
      </c>
      <c r="D57" s="343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41"/>
      <c r="C58" s="20" t="s">
        <v>375</v>
      </c>
      <c r="D58" s="343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41"/>
      <c r="C59" s="20" t="s">
        <v>237</v>
      </c>
      <c r="D59" s="343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38" t="s">
        <v>251</v>
      </c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468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38" t="s">
        <v>255</v>
      </c>
      <c r="C154" s="338"/>
      <c r="D154" s="338"/>
      <c r="E154" s="338"/>
      <c r="F154" s="338"/>
      <c r="G154" s="338"/>
      <c r="H154" s="338"/>
      <c r="I154" s="338"/>
      <c r="J154" s="338"/>
      <c r="K154" s="338"/>
      <c r="L154" s="338"/>
      <c r="M154" s="338"/>
      <c r="N154" s="338"/>
      <c r="O154" s="338"/>
      <c r="P154" s="338"/>
      <c r="Q154" s="338"/>
      <c r="R154" s="338"/>
      <c r="S154" s="338"/>
      <c r="T154" s="338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469</v>
      </c>
      <c r="C198" s="11" t="s">
        <v>467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38" t="s">
        <v>278</v>
      </c>
      <c r="C253" s="338"/>
      <c r="D253" s="338"/>
      <c r="E253" s="338"/>
      <c r="F253" s="338"/>
      <c r="G253" s="338"/>
      <c r="H253" s="338"/>
      <c r="I253" s="338"/>
      <c r="J253" s="338"/>
      <c r="K253" s="338"/>
      <c r="L253" s="338"/>
      <c r="M253" s="338"/>
      <c r="N253" s="338"/>
      <c r="O253" s="338"/>
      <c r="P253" s="338"/>
      <c r="Q253" s="338"/>
      <c r="R253" s="338"/>
      <c r="S253" s="338"/>
      <c r="T253" s="338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468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38" t="s">
        <v>314</v>
      </c>
      <c r="C331" s="338"/>
      <c r="D331" s="338"/>
      <c r="E331" s="338"/>
      <c r="F331" s="338"/>
      <c r="G331" s="338"/>
      <c r="H331" s="338"/>
      <c r="I331" s="338"/>
      <c r="J331" s="338"/>
      <c r="K331" s="338"/>
      <c r="L331" s="338"/>
      <c r="M331" s="338"/>
      <c r="N331" s="338"/>
      <c r="O331" s="338"/>
      <c r="P331" s="338"/>
      <c r="Q331" s="338"/>
      <c r="R331" s="338"/>
      <c r="S331" s="338"/>
      <c r="T331" s="338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462</v>
      </c>
      <c r="C345" s="11" t="s">
        <v>463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467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38" t="s">
        <v>386</v>
      </c>
      <c r="C419" s="339"/>
      <c r="D419" s="339"/>
      <c r="E419" s="339"/>
      <c r="F419" s="339"/>
      <c r="G419" s="339"/>
      <c r="H419" s="339"/>
      <c r="I419" s="339"/>
      <c r="J419" s="339"/>
      <c r="K419" s="339"/>
      <c r="L419" s="339"/>
      <c r="M419" s="339"/>
      <c r="N419" s="339"/>
      <c r="O419" s="339"/>
      <c r="P419" s="339"/>
      <c r="Q419" s="339"/>
      <c r="R419" s="339"/>
      <c r="S419" s="339"/>
      <c r="T419" s="339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38" t="s">
        <v>329</v>
      </c>
      <c r="C427" s="338"/>
      <c r="D427" s="338"/>
      <c r="E427" s="338"/>
      <c r="F427" s="338"/>
      <c r="G427" s="338"/>
      <c r="H427" s="338"/>
      <c r="I427" s="338"/>
      <c r="J427" s="338"/>
      <c r="K427" s="338"/>
      <c r="L427" s="338"/>
      <c r="M427" s="338"/>
      <c r="N427" s="338"/>
      <c r="O427" s="338"/>
      <c r="P427" s="338"/>
      <c r="Q427" s="338"/>
      <c r="R427" s="338"/>
      <c r="S427" s="338"/>
      <c r="T427" s="338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38" t="s">
        <v>344</v>
      </c>
      <c r="C432" s="338"/>
      <c r="D432" s="338"/>
      <c r="E432" s="338"/>
      <c r="F432" s="338"/>
      <c r="G432" s="338"/>
      <c r="H432" s="338"/>
      <c r="I432" s="338"/>
      <c r="J432" s="338"/>
      <c r="K432" s="338"/>
      <c r="L432" s="338"/>
      <c r="M432" s="338"/>
      <c r="N432" s="338"/>
      <c r="O432" s="338"/>
      <c r="P432" s="338"/>
      <c r="Q432" s="338"/>
      <c r="R432" s="338"/>
      <c r="S432" s="338"/>
      <c r="T432" s="338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9" t="s">
        <v>292</v>
      </c>
      <c r="E4" s="179" t="s">
        <v>293</v>
      </c>
      <c r="F4" s="179" t="s">
        <v>294</v>
      </c>
      <c r="G4" s="179" t="s">
        <v>295</v>
      </c>
      <c r="H4" s="179" t="s">
        <v>296</v>
      </c>
      <c r="I4" s="179" t="s">
        <v>297</v>
      </c>
      <c r="J4" s="179" t="s">
        <v>298</v>
      </c>
      <c r="K4" s="179" t="s">
        <v>299</v>
      </c>
      <c r="L4" s="179" t="s">
        <v>300</v>
      </c>
      <c r="M4" s="179" t="s">
        <v>301</v>
      </c>
      <c r="N4" s="179" t="s">
        <v>302</v>
      </c>
      <c r="O4" s="179" t="s">
        <v>303</v>
      </c>
    </row>
    <row r="5" spans="3:16">
      <c r="C5" s="179" t="s">
        <v>437</v>
      </c>
      <c r="D5" s="180">
        <v>62425293.156965584</v>
      </c>
      <c r="E5" s="180">
        <v>79762187.59852089</v>
      </c>
      <c r="F5" s="180">
        <v>89318688.151918903</v>
      </c>
      <c r="G5" s="180">
        <v>106294081.27535464</v>
      </c>
      <c r="H5" s="180">
        <v>97189661.825924918</v>
      </c>
      <c r="I5" s="180">
        <v>105191801.34506513</v>
      </c>
      <c r="J5" s="180">
        <v>123272889.17858437</v>
      </c>
      <c r="K5" s="180">
        <v>125579133.65326507</v>
      </c>
      <c r="L5" s="180">
        <v>121047897.33843082</v>
      </c>
      <c r="M5" s="180">
        <v>114789505.85515907</v>
      </c>
      <c r="N5" s="180">
        <v>97406301.479715049</v>
      </c>
      <c r="O5" s="180">
        <v>145778958.57826602</v>
      </c>
      <c r="P5" s="180">
        <f>+SUM(D5:O5)</f>
        <v>1268056399.4371705</v>
      </c>
    </row>
    <row r="6" spans="3:16">
      <c r="C6" s="179" t="s">
        <v>438</v>
      </c>
      <c r="D6" s="180">
        <v>70632268.589999989</v>
      </c>
      <c r="E6" s="180">
        <v>81381758.450000018</v>
      </c>
      <c r="F6" s="180">
        <v>100495765.61000001</v>
      </c>
      <c r="G6" s="180">
        <v>107356417.33534782</v>
      </c>
      <c r="H6" s="180">
        <v>98816734.644163221</v>
      </c>
      <c r="I6" s="180">
        <v>107147051.5707173</v>
      </c>
      <c r="J6" s="180">
        <v>125666748.8575906</v>
      </c>
      <c r="K6" s="180">
        <v>127890096.38694921</v>
      </c>
      <c r="L6" s="180">
        <v>123465322.33433203</v>
      </c>
      <c r="M6" s="180">
        <v>117130344.73943919</v>
      </c>
      <c r="N6" s="180">
        <v>99294843.070796907</v>
      </c>
      <c r="O6" s="180">
        <v>149056317.49743444</v>
      </c>
      <c r="P6" s="180">
        <f>+SUM(D6:O6)</f>
        <v>1308333669.0867708</v>
      </c>
    </row>
    <row r="7" spans="3:16">
      <c r="C7" s="179" t="s">
        <v>439</v>
      </c>
      <c r="D7" s="180">
        <v>54757461.979999989</v>
      </c>
      <c r="E7" s="180">
        <v>75673443.909999996</v>
      </c>
      <c r="F7" s="180">
        <v>88296245.580000013</v>
      </c>
      <c r="G7" s="180">
        <v>103948239.19999999</v>
      </c>
      <c r="H7" s="180">
        <v>93997829.679999992</v>
      </c>
      <c r="I7" s="180">
        <v>99561632.659999996</v>
      </c>
      <c r="J7" s="180">
        <v>122021331.04999998</v>
      </c>
      <c r="K7" s="180">
        <v>125053427.64999999</v>
      </c>
      <c r="L7" s="180">
        <v>116342017.78000002</v>
      </c>
      <c r="M7" s="180">
        <v>117283627.60000001</v>
      </c>
      <c r="N7" s="180">
        <v>95781753.159999996</v>
      </c>
      <c r="O7" s="180">
        <v>142429369.22999999</v>
      </c>
      <c r="P7" s="180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08">
        <v>3335894492.1291356</v>
      </c>
      <c r="D3" s="308"/>
      <c r="E3" s="301">
        <v>3516156889.9792166</v>
      </c>
      <c r="F3" s="302"/>
      <c r="G3" s="302"/>
      <c r="H3" s="303"/>
    </row>
    <row r="4" spans="2:13" ht="13.5" thickTop="1">
      <c r="E4" s="83"/>
      <c r="F4" s="83"/>
      <c r="G4" s="82"/>
      <c r="H4" s="82"/>
    </row>
    <row r="5" spans="2:13" ht="13.5" thickBot="1">
      <c r="E5" s="162"/>
      <c r="F5" s="162"/>
      <c r="G5" s="162"/>
      <c r="H5" s="162"/>
    </row>
    <row r="6" spans="2:13" ht="13.5" thickTop="1">
      <c r="B6" t="s">
        <v>126</v>
      </c>
      <c r="C6" s="299">
        <v>2013</v>
      </c>
      <c r="D6" s="300"/>
      <c r="E6" s="299" t="s">
        <v>392</v>
      </c>
      <c r="F6" s="300"/>
      <c r="G6" s="299" t="s">
        <v>426</v>
      </c>
      <c r="H6" s="300"/>
      <c r="I6" s="299" t="s">
        <v>440</v>
      </c>
      <c r="J6" s="300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82" t="s">
        <v>262</v>
      </c>
      <c r="J7" s="182" t="s">
        <v>441</v>
      </c>
    </row>
    <row r="8" spans="2:13" ht="14.25" thickTop="1" thickBot="1">
      <c r="B8" s="90" t="s">
        <v>127</v>
      </c>
      <c r="C8" s="163">
        <f>C9+C17+C22+C27+C34+C39</f>
        <v>1235146379.48</v>
      </c>
      <c r="D8" s="92">
        <f>C8/C$3*100</f>
        <v>37.025942588839719</v>
      </c>
      <c r="E8" s="163">
        <f>+E9+E17+E22+E27+E34+E39+E40</f>
        <v>1276056399.4371703</v>
      </c>
      <c r="F8" s="92">
        <f>E8/E$3*100</f>
        <v>36.291224748071834</v>
      </c>
      <c r="G8" s="160">
        <f>+G9+G17+G22+G27+G34+G39+G40</f>
        <v>1316333669.0867703</v>
      </c>
      <c r="H8" s="92">
        <f>G8/E$3*100</f>
        <v>37.436716002014087</v>
      </c>
      <c r="I8" s="160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2">
        <f>SUM(C10:C16)</f>
        <v>755696459.51000011</v>
      </c>
      <c r="D9" s="95">
        <f t="shared" ref="D9:D72" si="0">C9/C$3*100</f>
        <v>22.653488031261944</v>
      </c>
      <c r="E9" s="152">
        <f>+SUM(E10:E16)</f>
        <v>797828901.35953081</v>
      </c>
      <c r="F9" s="96">
        <f t="shared" ref="F9:F73" si="1">E9/E$3*100</f>
        <v>22.690366963808792</v>
      </c>
      <c r="G9" s="152">
        <f>+SUM(G10:G16)</f>
        <v>819077478.06873</v>
      </c>
      <c r="H9" s="96">
        <f t="shared" ref="H9:H72" si="2">G9/E$3*100</f>
        <v>23.294679495190881</v>
      </c>
      <c r="I9" s="152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3">
        <v>95618433.909999996</v>
      </c>
      <c r="D10" s="98">
        <f t="shared" si="0"/>
        <v>2.8663506635358695</v>
      </c>
      <c r="E10" s="153">
        <v>96011654.614494905</v>
      </c>
      <c r="F10" s="98">
        <f t="shared" si="1"/>
        <v>2.7305850568875618</v>
      </c>
      <c r="G10" s="154">
        <v>96781150.729929999</v>
      </c>
      <c r="H10" s="98">
        <f t="shared" si="2"/>
        <v>2.7524696354064582</v>
      </c>
      <c r="I10" s="154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4">
        <v>40638726.390000008</v>
      </c>
      <c r="D11" s="98">
        <f t="shared" si="0"/>
        <v>1.2182257708055488</v>
      </c>
      <c r="E11" s="154">
        <v>44395641.531501003</v>
      </c>
      <c r="F11" s="98">
        <f t="shared" si="1"/>
        <v>1.2626183336137604</v>
      </c>
      <c r="G11" s="154">
        <v>50018934.706970006</v>
      </c>
      <c r="H11" s="98">
        <f t="shared" si="2"/>
        <v>1.4225455880401758</v>
      </c>
      <c r="I11" s="154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4">
        <v>1440565.3199999998</v>
      </c>
      <c r="D12" s="98">
        <f t="shared" si="0"/>
        <v>4.318377944503151E-2</v>
      </c>
      <c r="E12" s="154">
        <v>1544536.6728920399</v>
      </c>
      <c r="F12" s="98">
        <f t="shared" si="1"/>
        <v>4.3926841754241781E-2</v>
      </c>
      <c r="G12" s="154">
        <v>1489198.0023599996</v>
      </c>
      <c r="H12" s="98">
        <f t="shared" si="2"/>
        <v>4.2353002125818169E-2</v>
      </c>
      <c r="I12" s="154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3">
        <v>429195069.32999998</v>
      </c>
      <c r="D13" s="98">
        <f t="shared" si="0"/>
        <v>12.865966544885122</v>
      </c>
      <c r="E13" s="153">
        <v>455945630.52919102</v>
      </c>
      <c r="F13" s="98">
        <f t="shared" si="1"/>
        <v>12.967158315051353</v>
      </c>
      <c r="G13" s="154">
        <v>473642045.78458995</v>
      </c>
      <c r="H13" s="98">
        <f t="shared" si="2"/>
        <v>13.470446871538474</v>
      </c>
      <c r="I13" s="154">
        <f t="shared" si="3"/>
        <v>17696415.255398929</v>
      </c>
      <c r="J13" s="98">
        <f t="shared" si="4"/>
        <v>3.8812555862986784</v>
      </c>
      <c r="L13" s="154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4">
        <v>161445470.17000002</v>
      </c>
      <c r="D14" s="98">
        <f t="shared" si="0"/>
        <v>4.8396455748502225</v>
      </c>
      <c r="E14" s="154">
        <v>171111988.52539012</v>
      </c>
      <c r="F14" s="98">
        <f t="shared" si="1"/>
        <v>4.8664491909631922</v>
      </c>
      <c r="G14" s="154">
        <v>169158715.98390999</v>
      </c>
      <c r="H14" s="98">
        <f t="shared" si="2"/>
        <v>4.8108978432105705</v>
      </c>
      <c r="I14" s="154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4">
        <v>22269382.640000001</v>
      </c>
      <c r="D15" s="98">
        <f t="shared" si="0"/>
        <v>0.66756855447746977</v>
      </c>
      <c r="E15" s="154">
        <v>23735353.696558259</v>
      </c>
      <c r="F15" s="98">
        <f t="shared" si="1"/>
        <v>0.67503682114419394</v>
      </c>
      <c r="G15" s="154">
        <v>22781578.440719999</v>
      </c>
      <c r="H15" s="98">
        <f t="shared" si="2"/>
        <v>0.64791131776985811</v>
      </c>
      <c r="I15" s="154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4">
        <v>5088811.75</v>
      </c>
      <c r="D16" s="98">
        <f t="shared" si="0"/>
        <v>0.15254714326267749</v>
      </c>
      <c r="E16" s="154">
        <v>5084095.7895035082</v>
      </c>
      <c r="F16" s="98">
        <f t="shared" si="1"/>
        <v>0.14459240439449103</v>
      </c>
      <c r="G16" s="154">
        <v>5205854.4202499995</v>
      </c>
      <c r="H16" s="98">
        <f t="shared" si="2"/>
        <v>0.14805523709952459</v>
      </c>
      <c r="I16" s="154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4">
        <f>SUM(C18:C21)</f>
        <v>398494284.19</v>
      </c>
      <c r="D17" s="96">
        <f t="shared" si="0"/>
        <v>11.94565011364196</v>
      </c>
      <c r="E17" s="152">
        <f>+SUM(E18:E21)</f>
        <v>397823173.70918262</v>
      </c>
      <c r="F17" s="96">
        <f t="shared" si="1"/>
        <v>11.314147410286179</v>
      </c>
      <c r="G17" s="152">
        <f>+SUM(G18:G21)</f>
        <v>417559652.73636997</v>
      </c>
      <c r="H17" s="96">
        <f t="shared" si="2"/>
        <v>11.87545566940951</v>
      </c>
      <c r="I17" s="152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4">
        <v>241949355.72999999</v>
      </c>
      <c r="D18" s="98">
        <f t="shared" si="0"/>
        <v>7.2529079172277937</v>
      </c>
      <c r="E18" s="154">
        <v>234882396.70208701</v>
      </c>
      <c r="F18" s="98">
        <f t="shared" si="1"/>
        <v>6.6800886323213922</v>
      </c>
      <c r="G18" s="154">
        <v>254875867.28178996</v>
      </c>
      <c r="H18" s="98">
        <f t="shared" si="2"/>
        <v>7.2487057676000486</v>
      </c>
      <c r="I18" s="154">
        <f t="shared" si="3"/>
        <v>19993470.579702944</v>
      </c>
      <c r="J18" s="98">
        <f t="shared" si="4"/>
        <v>8.5121196225963445</v>
      </c>
      <c r="L18" s="154">
        <f>+G18-C18</f>
        <v>12926511.551789969</v>
      </c>
    </row>
    <row r="19" spans="2:12">
      <c r="B19" s="97" t="s">
        <v>23</v>
      </c>
      <c r="C19" s="154">
        <v>134703897.09</v>
      </c>
      <c r="D19" s="98">
        <f t="shared" si="0"/>
        <v>4.038014313936686</v>
      </c>
      <c r="E19" s="154">
        <v>138667298.82084399</v>
      </c>
      <c r="F19" s="98">
        <f t="shared" si="1"/>
        <v>3.9437176201106214</v>
      </c>
      <c r="G19" s="154">
        <v>139196347.37307</v>
      </c>
      <c r="H19" s="98">
        <f t="shared" si="2"/>
        <v>3.9587638358734543</v>
      </c>
      <c r="I19" s="154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4">
        <v>10770190.189999999</v>
      </c>
      <c r="D20" s="98">
        <f t="shared" si="0"/>
        <v>0.32285763879558199</v>
      </c>
      <c r="E20" s="154">
        <v>11617385.520490499</v>
      </c>
      <c r="F20" s="98">
        <f t="shared" si="1"/>
        <v>0.33040008975706336</v>
      </c>
      <c r="G20" s="154">
        <v>11434714.104369998</v>
      </c>
      <c r="H20" s="98">
        <f t="shared" si="2"/>
        <v>0.3252048888079504</v>
      </c>
      <c r="I20" s="154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4">
        <v>11070841.180000002</v>
      </c>
      <c r="D21" s="98">
        <f t="shared" si="0"/>
        <v>0.33187024368189877</v>
      </c>
      <c r="E21" s="153">
        <v>12656092.6657611</v>
      </c>
      <c r="F21" s="98">
        <f t="shared" si="1"/>
        <v>0.3599410680971038</v>
      </c>
      <c r="G21" s="154">
        <v>12052723.97714</v>
      </c>
      <c r="H21" s="98">
        <f t="shared" si="2"/>
        <v>0.34278117712805589</v>
      </c>
      <c r="I21" s="154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2">
        <f>SUM(C23:C26)</f>
        <v>27069458</v>
      </c>
      <c r="D22" s="96">
        <f t="shared" si="0"/>
        <v>0.81146025642804165</v>
      </c>
      <c r="E22" s="152">
        <f>+SUM(E23:E26)</f>
        <v>20923047.198280636</v>
      </c>
      <c r="F22" s="96">
        <f t="shared" si="1"/>
        <v>0.59505442598166625</v>
      </c>
      <c r="G22" s="152">
        <f>+SUM(G23:G26)</f>
        <v>19923047.198280636</v>
      </c>
      <c r="H22" s="96">
        <f t="shared" si="2"/>
        <v>0.56661428433582772</v>
      </c>
      <c r="I22" s="152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4">
        <v>7881462.9399999995</v>
      </c>
      <c r="D23" s="98">
        <f t="shared" si="0"/>
        <v>0.23626235657620134</v>
      </c>
      <c r="E23" s="154">
        <v>8144616.5029747505</v>
      </c>
      <c r="F23" s="98">
        <f t="shared" si="1"/>
        <v>0.23163404699563594</v>
      </c>
      <c r="G23" s="154">
        <v>8144616.5029747505</v>
      </c>
      <c r="H23" s="98">
        <f t="shared" si="2"/>
        <v>0.23163404699563594</v>
      </c>
      <c r="I23" s="154">
        <f t="shared" si="3"/>
        <v>0</v>
      </c>
      <c r="J23" s="98">
        <f t="shared" si="4"/>
        <v>0</v>
      </c>
    </row>
    <row r="24" spans="2:12">
      <c r="B24" s="97" t="s">
        <v>32</v>
      </c>
      <c r="C24" s="154">
        <v>4557791.26</v>
      </c>
      <c r="D24" s="98">
        <f t="shared" si="0"/>
        <v>0.13662875941531916</v>
      </c>
      <c r="E24" s="154">
        <v>3676083.5729169641</v>
      </c>
      <c r="F24" s="98">
        <f t="shared" si="1"/>
        <v>0.10454833751569864</v>
      </c>
      <c r="G24" s="154">
        <v>5176083.5729169641</v>
      </c>
      <c r="H24" s="98">
        <f t="shared" si="2"/>
        <v>0.14720854998445643</v>
      </c>
      <c r="I24" s="154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4">
        <v>767936.98999999987</v>
      </c>
      <c r="D25" s="98">
        <f t="shared" si="0"/>
        <v>2.3020422013103413E-2</v>
      </c>
      <c r="E25" s="154">
        <v>762511.44191594806</v>
      </c>
      <c r="F25" s="98">
        <f t="shared" si="1"/>
        <v>2.1685933414662142E-2</v>
      </c>
      <c r="G25" s="154">
        <v>762511.44191594806</v>
      </c>
      <c r="H25" s="98">
        <f t="shared" si="2"/>
        <v>2.1685933414662142E-2</v>
      </c>
      <c r="I25" s="154">
        <f t="shared" si="3"/>
        <v>0</v>
      </c>
      <c r="J25" s="98">
        <f t="shared" si="4"/>
        <v>0</v>
      </c>
    </row>
    <row r="26" spans="2:12">
      <c r="B26" s="97" t="s">
        <v>37</v>
      </c>
      <c r="C26" s="153">
        <v>13862266.809999999</v>
      </c>
      <c r="D26" s="98">
        <f t="shared" si="0"/>
        <v>0.41554871842341756</v>
      </c>
      <c r="E26" s="153">
        <v>8339835.6804729737</v>
      </c>
      <c r="F26" s="98">
        <f t="shared" si="1"/>
        <v>0.23718610805566953</v>
      </c>
      <c r="G26" s="153">
        <v>5839835.6804729737</v>
      </c>
      <c r="H26" s="98">
        <f t="shared" si="2"/>
        <v>0.16608575394107319</v>
      </c>
      <c r="I26" s="153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2">
        <f>SUM(C28:C33)</f>
        <v>13233490.18</v>
      </c>
      <c r="D27" s="96">
        <f t="shared" si="0"/>
        <v>0.39669990196703492</v>
      </c>
      <c r="E27" s="152">
        <f>+SUM(E28:E33)</f>
        <v>13024243.76827177</v>
      </c>
      <c r="F27" s="96">
        <f t="shared" si="1"/>
        <v>0.37041133759957889</v>
      </c>
      <c r="G27" s="152">
        <f>+SUM(G28:G33)</f>
        <v>12724243.76827177</v>
      </c>
      <c r="H27" s="96">
        <f t="shared" si="2"/>
        <v>0.36187929510582734</v>
      </c>
      <c r="I27" s="152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4">
        <v>647266.8600000001</v>
      </c>
      <c r="D28" s="98">
        <f t="shared" si="0"/>
        <v>1.9403097475870164E-2</v>
      </c>
      <c r="E28" s="154">
        <v>698651.48499726248</v>
      </c>
      <c r="F28" s="98">
        <f t="shared" si="1"/>
        <v>1.9869747194397578E-2</v>
      </c>
      <c r="G28" s="154">
        <v>698651.48499726248</v>
      </c>
      <c r="H28" s="98">
        <f t="shared" si="2"/>
        <v>1.9869747194397578E-2</v>
      </c>
      <c r="I28" s="154">
        <f t="shared" si="3"/>
        <v>0</v>
      </c>
      <c r="J28" s="98">
        <f t="shared" si="4"/>
        <v>0</v>
      </c>
    </row>
    <row r="29" spans="2:12">
      <c r="B29" s="97" t="s">
        <v>42</v>
      </c>
      <c r="C29" s="154">
        <v>1995183.6300000001</v>
      </c>
      <c r="D29" s="98">
        <f t="shared" si="0"/>
        <v>5.9809554370125591E-2</v>
      </c>
      <c r="E29" s="154">
        <v>1997965.7673730874</v>
      </c>
      <c r="F29" s="98">
        <f t="shared" si="1"/>
        <v>5.6822429427627073E-2</v>
      </c>
      <c r="G29" s="154">
        <v>1997965.7673730874</v>
      </c>
      <c r="H29" s="98">
        <f t="shared" si="2"/>
        <v>5.6822429427627073E-2</v>
      </c>
      <c r="I29" s="154">
        <f t="shared" si="3"/>
        <v>0</v>
      </c>
      <c r="J29" s="98">
        <f t="shared" si="4"/>
        <v>0</v>
      </c>
    </row>
    <row r="30" spans="2:12">
      <c r="B30" s="97" t="s">
        <v>45</v>
      </c>
      <c r="C30" s="154">
        <v>309851.25</v>
      </c>
      <c r="D30" s="98">
        <f t="shared" si="0"/>
        <v>9.2884007791936302E-3</v>
      </c>
      <c r="E30" s="154">
        <v>424373.88097611902</v>
      </c>
      <c r="F30" s="98">
        <f t="shared" si="1"/>
        <v>1.2069253285755047E-2</v>
      </c>
      <c r="G30" s="154">
        <v>424373.88097611902</v>
      </c>
      <c r="H30" s="98">
        <f t="shared" si="2"/>
        <v>1.2069253285755047E-2</v>
      </c>
      <c r="I30" s="154">
        <f t="shared" si="3"/>
        <v>0</v>
      </c>
      <c r="J30" s="98">
        <f t="shared" si="4"/>
        <v>0</v>
      </c>
    </row>
    <row r="31" spans="2:12">
      <c r="B31" s="97" t="s">
        <v>47</v>
      </c>
      <c r="C31" s="154">
        <v>3324177.16</v>
      </c>
      <c r="D31" s="98">
        <f t="shared" si="0"/>
        <v>9.9648749918296836E-2</v>
      </c>
      <c r="E31" s="154">
        <v>3266343.0516235088</v>
      </c>
      <c r="F31" s="98">
        <f t="shared" si="1"/>
        <v>9.2895259052073062E-2</v>
      </c>
      <c r="G31" s="154">
        <v>3666343.0516235088</v>
      </c>
      <c r="H31" s="98">
        <f t="shared" si="2"/>
        <v>0.10427131571040847</v>
      </c>
      <c r="I31" s="154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4">
        <v>3659024.1899999995</v>
      </c>
      <c r="D32" s="98">
        <f t="shared" si="0"/>
        <v>0.10968644837638813</v>
      </c>
      <c r="E32" s="154">
        <v>3355752.0175728933</v>
      </c>
      <c r="F32" s="98">
        <f t="shared" si="1"/>
        <v>9.5438062708081514E-2</v>
      </c>
      <c r="G32" s="154">
        <v>3355752.0175728933</v>
      </c>
      <c r="H32" s="98">
        <f t="shared" si="2"/>
        <v>9.5438062708081514E-2</v>
      </c>
      <c r="I32" s="154">
        <f t="shared" si="3"/>
        <v>0</v>
      </c>
      <c r="J32" s="98">
        <f t="shared" si="4"/>
        <v>0</v>
      </c>
    </row>
    <row r="33" spans="2:10">
      <c r="B33" s="97" t="s">
        <v>51</v>
      </c>
      <c r="C33" s="154">
        <v>3297987.09</v>
      </c>
      <c r="D33" s="98">
        <f t="shared" si="0"/>
        <v>9.8863651047160633E-2</v>
      </c>
      <c r="E33" s="154">
        <v>3281157.5657288986</v>
      </c>
      <c r="F33" s="98">
        <f t="shared" si="1"/>
        <v>9.331658593164463E-2</v>
      </c>
      <c r="G33" s="154">
        <v>2581157.5657288986</v>
      </c>
      <c r="H33" s="98">
        <f t="shared" si="2"/>
        <v>7.340848677955765E-2</v>
      </c>
      <c r="I33" s="154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2">
        <f>SUM(C35:C38)</f>
        <v>33088194.540000003</v>
      </c>
      <c r="D34" s="96">
        <f t="shared" si="0"/>
        <v>0.99188372468223518</v>
      </c>
      <c r="E34" s="152">
        <f>+SUM(E35:E38)</f>
        <v>31410770.914738216</v>
      </c>
      <c r="F34" s="96">
        <f t="shared" si="1"/>
        <v>0.89332677402013982</v>
      </c>
      <c r="G34" s="152">
        <f>+SUM(G35:G38)</f>
        <v>31310770.914738216</v>
      </c>
      <c r="H34" s="96">
        <f t="shared" si="2"/>
        <v>0.89048275985555603</v>
      </c>
      <c r="I34" s="152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4">
        <v>6034873.3200000003</v>
      </c>
      <c r="D35" s="98">
        <f t="shared" si="0"/>
        <v>0.18090719998006413</v>
      </c>
      <c r="E35" s="154">
        <v>5533606.7424404304</v>
      </c>
      <c r="F35" s="98">
        <f t="shared" si="1"/>
        <v>0.15737655956737298</v>
      </c>
      <c r="G35" s="154">
        <v>6533606.7424404304</v>
      </c>
      <c r="H35" s="98">
        <f t="shared" si="2"/>
        <v>0.1858167012132115</v>
      </c>
      <c r="I35" s="154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4">
        <v>12316700.43</v>
      </c>
      <c r="D36" s="98">
        <f t="shared" si="0"/>
        <v>0.36921732563966259</v>
      </c>
      <c r="E36" s="154">
        <v>11824073.889814863</v>
      </c>
      <c r="F36" s="98">
        <f t="shared" si="1"/>
        <v>0.33627833625719566</v>
      </c>
      <c r="G36" s="154">
        <v>12424073.889814863</v>
      </c>
      <c r="H36" s="98">
        <f t="shared" si="2"/>
        <v>0.35334242124469878</v>
      </c>
      <c r="I36" s="154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4">
        <v>2179410.2600000002</v>
      </c>
      <c r="D37" s="98">
        <f t="shared" si="0"/>
        <v>6.5332110027526411E-2</v>
      </c>
      <c r="E37" s="154">
        <v>2220205.3434794326</v>
      </c>
      <c r="F37" s="98">
        <f t="shared" si="1"/>
        <v>6.3142954451402653E-2</v>
      </c>
      <c r="G37" s="154">
        <v>2220205.3434794326</v>
      </c>
      <c r="H37" s="98">
        <f t="shared" si="2"/>
        <v>6.3142954451402653E-2</v>
      </c>
      <c r="I37" s="154">
        <f t="shared" si="3"/>
        <v>0</v>
      </c>
      <c r="J37" s="98">
        <f t="shared" si="4"/>
        <v>0</v>
      </c>
    </row>
    <row r="38" spans="2:10">
      <c r="B38" s="97" t="s">
        <v>53</v>
      </c>
      <c r="C38" s="154">
        <v>12557210.530000001</v>
      </c>
      <c r="D38" s="98">
        <f t="shared" si="0"/>
        <v>0.37642708903498195</v>
      </c>
      <c r="E38" s="154">
        <v>11832884.939003492</v>
      </c>
      <c r="F38" s="98">
        <f t="shared" si="1"/>
        <v>0.33652892374416871</v>
      </c>
      <c r="G38" s="154">
        <v>10132884.939003492</v>
      </c>
      <c r="H38" s="98">
        <f t="shared" si="2"/>
        <v>0.28818068294624322</v>
      </c>
      <c r="I38" s="154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52">
        <v>7564493.0600000005</v>
      </c>
      <c r="D39" s="96">
        <f t="shared" si="0"/>
        <v>0.22676056085850488</v>
      </c>
      <c r="E39" s="152">
        <v>7046262.4871663069</v>
      </c>
      <c r="F39" s="96">
        <f t="shared" si="1"/>
        <v>0.20039670320876826</v>
      </c>
      <c r="G39" s="152">
        <v>7738476.4003799995</v>
      </c>
      <c r="H39" s="96">
        <f t="shared" si="2"/>
        <v>0.22008336494978584</v>
      </c>
      <c r="I39" s="152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4">
        <v>6615451.54</v>
      </c>
      <c r="D40" s="98">
        <f t="shared" si="0"/>
        <v>0.19831117427750797</v>
      </c>
      <c r="E40" s="152">
        <v>8000000</v>
      </c>
      <c r="F40" s="96">
        <f t="shared" si="1"/>
        <v>0.22752113316670824</v>
      </c>
      <c r="G40" s="152">
        <v>8000000</v>
      </c>
      <c r="H40" s="96">
        <f t="shared" si="2"/>
        <v>0.22752113316670824</v>
      </c>
      <c r="I40" s="152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52">
        <v>366128508.17291778</v>
      </c>
      <c r="D44" s="96">
        <f t="shared" si="0"/>
        <v>10.975422305375018</v>
      </c>
      <c r="E44" s="152">
        <v>386488693.71999997</v>
      </c>
      <c r="F44" s="96">
        <f t="shared" si="1"/>
        <v>10.991793193911903</v>
      </c>
      <c r="G44" s="152">
        <v>386488693.71999997</v>
      </c>
      <c r="H44" s="96">
        <f t="shared" si="2"/>
        <v>10.991793193911903</v>
      </c>
      <c r="I44" s="152">
        <f t="shared" si="5"/>
        <v>0</v>
      </c>
      <c r="J44" s="96">
        <f t="shared" si="4"/>
        <v>0</v>
      </c>
    </row>
    <row r="45" spans="2:10">
      <c r="B45" s="93" t="s">
        <v>74</v>
      </c>
      <c r="C45" s="152">
        <v>12022159.040000001</v>
      </c>
      <c r="D45" s="96">
        <f t="shared" si="0"/>
        <v>0.36038786803256645</v>
      </c>
      <c r="E45" s="152">
        <v>11478163.960000001</v>
      </c>
      <c r="F45" s="96">
        <f t="shared" si="1"/>
        <v>0.3264406088565589</v>
      </c>
      <c r="G45" s="152">
        <v>11478163.960000001</v>
      </c>
      <c r="H45" s="96">
        <f t="shared" si="2"/>
        <v>0.3264406088565589</v>
      </c>
      <c r="I45" s="152">
        <f t="shared" si="5"/>
        <v>0</v>
      </c>
      <c r="J45" s="96">
        <f t="shared" si="4"/>
        <v>0</v>
      </c>
    </row>
    <row r="46" spans="2:10">
      <c r="B46" s="93" t="s">
        <v>428</v>
      </c>
      <c r="C46" s="152">
        <v>90442340.840000004</v>
      </c>
      <c r="D46" s="96">
        <f t="shared" si="0"/>
        <v>2.7111870910004456</v>
      </c>
      <c r="E46" s="152">
        <v>89210330.25999999</v>
      </c>
      <c r="F46" s="96">
        <f t="shared" si="1"/>
        <v>2.5371544288664349</v>
      </c>
      <c r="G46" s="152">
        <v>29295302.830000002</v>
      </c>
      <c r="H46" s="96">
        <f t="shared" si="2"/>
        <v>0.83316256204293437</v>
      </c>
      <c r="I46" s="152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52"/>
      <c r="D47" s="96">
        <f t="shared" si="0"/>
        <v>0</v>
      </c>
      <c r="E47" s="152"/>
      <c r="F47" s="96">
        <f t="shared" si="1"/>
        <v>0</v>
      </c>
      <c r="G47" s="152">
        <v>40692845.799999997</v>
      </c>
      <c r="H47" s="96">
        <f t="shared" si="2"/>
        <v>1.1573102985242654</v>
      </c>
      <c r="I47" s="152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52">
        <v>20416485.639999997</v>
      </c>
      <c r="D48" s="96">
        <f t="shared" si="0"/>
        <v>0.61202432175752564</v>
      </c>
      <c r="E48" s="152">
        <v>21655403.200000003</v>
      </c>
      <c r="F48" s="96">
        <f t="shared" si="1"/>
        <v>0.61588273440574504</v>
      </c>
      <c r="G48" s="152">
        <v>21655403.200000003</v>
      </c>
      <c r="H48" s="96">
        <f t="shared" si="2"/>
        <v>0.61588273440574504</v>
      </c>
      <c r="I48" s="152">
        <f t="shared" si="5"/>
        <v>0</v>
      </c>
      <c r="J48" s="96">
        <f t="shared" si="4"/>
        <v>0</v>
      </c>
    </row>
    <row r="49" spans="2:10">
      <c r="B49" s="93" t="s">
        <v>79</v>
      </c>
      <c r="C49" s="152">
        <v>67427730.789999992</v>
      </c>
      <c r="D49" s="96">
        <f t="shared" si="0"/>
        <v>2.0212788788462022</v>
      </c>
      <c r="E49" s="152">
        <v>73316123.120000005</v>
      </c>
      <c r="F49" s="96">
        <f t="shared" si="1"/>
        <v>2.0851209264565371</v>
      </c>
      <c r="G49" s="152">
        <v>73316123.120000005</v>
      </c>
      <c r="H49" s="96">
        <f t="shared" si="2"/>
        <v>2.0851209264565371</v>
      </c>
      <c r="I49" s="152">
        <f t="shared" si="5"/>
        <v>0</v>
      </c>
      <c r="J49" s="96">
        <f t="shared" si="4"/>
        <v>0</v>
      </c>
    </row>
    <row r="50" spans="2:10">
      <c r="B50" s="93" t="s">
        <v>81</v>
      </c>
      <c r="C50" s="152">
        <v>7928041.8100000005</v>
      </c>
      <c r="D50" s="96">
        <f t="shared" si="0"/>
        <v>0.23765864983757101</v>
      </c>
      <c r="E50" s="152">
        <v>8172802.1399999997</v>
      </c>
      <c r="F50" s="96">
        <f t="shared" si="1"/>
        <v>0.23243565050501225</v>
      </c>
      <c r="G50" s="152">
        <v>8172802.1399999997</v>
      </c>
      <c r="H50" s="96">
        <f t="shared" si="2"/>
        <v>0.23243565050501225</v>
      </c>
      <c r="I50" s="152">
        <f t="shared" si="5"/>
        <v>0</v>
      </c>
      <c r="J50" s="96">
        <f t="shared" si="4"/>
        <v>0</v>
      </c>
    </row>
    <row r="51" spans="2:10">
      <c r="B51" s="93" t="s">
        <v>83</v>
      </c>
      <c r="C51" s="152">
        <v>17426749.959999997</v>
      </c>
      <c r="D51" s="96">
        <f t="shared" si="0"/>
        <v>0.52240111313824467</v>
      </c>
      <c r="E51" s="152">
        <v>18874600</v>
      </c>
      <c r="F51" s="96">
        <f t="shared" si="1"/>
        <v>0.53679629750854385</v>
      </c>
      <c r="G51" s="152">
        <v>18874600</v>
      </c>
      <c r="H51" s="96">
        <f t="shared" si="2"/>
        <v>0.53679629750854385</v>
      </c>
      <c r="I51" s="152">
        <f t="shared" si="5"/>
        <v>0</v>
      </c>
      <c r="J51" s="96">
        <f t="shared" si="4"/>
        <v>0</v>
      </c>
    </row>
    <row r="52" spans="2:10">
      <c r="B52" s="93" t="s">
        <v>85</v>
      </c>
      <c r="C52" s="152">
        <v>6279093.0100000007</v>
      </c>
      <c r="D52" s="96">
        <f t="shared" si="0"/>
        <v>0.18822816563339112</v>
      </c>
      <c r="E52" s="152">
        <v>5827393.7300000023</v>
      </c>
      <c r="F52" s="96">
        <f t="shared" si="1"/>
        <v>0.16573190310727137</v>
      </c>
      <c r="G52" s="152">
        <v>25049575.370000001</v>
      </c>
      <c r="H52" s="96">
        <f t="shared" si="2"/>
        <v>0.71241347169090818</v>
      </c>
      <c r="I52" s="152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52">
        <v>12216538.75</v>
      </c>
      <c r="D53" s="158">
        <f t="shared" si="0"/>
        <v>0.36621478223679643</v>
      </c>
      <c r="E53" s="152"/>
      <c r="F53" s="158">
        <f t="shared" si="1"/>
        <v>0</v>
      </c>
      <c r="G53" s="152">
        <v>10502963.32</v>
      </c>
      <c r="H53" s="158">
        <f t="shared" si="2"/>
        <v>0.2987057645218465</v>
      </c>
      <c r="I53" s="152">
        <f t="shared" si="5"/>
        <v>10502963.32</v>
      </c>
      <c r="J53" s="158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4">
        <v>64036543.990000002</v>
      </c>
      <c r="D55" s="98">
        <f t="shared" si="0"/>
        <v>1.919621383142986</v>
      </c>
      <c r="E55" s="154">
        <v>58645000</v>
      </c>
      <c r="F55" s="98">
        <f t="shared" si="1"/>
        <v>1.6678721068202007</v>
      </c>
      <c r="G55" s="154">
        <v>58645000</v>
      </c>
      <c r="H55" s="98">
        <f t="shared" si="2"/>
        <v>1.6678721068202007</v>
      </c>
      <c r="I55" s="154">
        <f t="shared" si="5"/>
        <v>0</v>
      </c>
      <c r="J55" s="98">
        <f t="shared" si="4"/>
        <v>0</v>
      </c>
    </row>
    <row r="56" spans="2:10">
      <c r="B56" s="97" t="s">
        <v>90</v>
      </c>
      <c r="C56" s="154">
        <v>13086355.520000001</v>
      </c>
      <c r="D56" s="98">
        <f t="shared" si="0"/>
        <v>0.39228925108022916</v>
      </c>
      <c r="E56" s="154">
        <v>20758124</v>
      </c>
      <c r="F56" s="98">
        <f t="shared" si="1"/>
        <v>0.59036398686188019</v>
      </c>
      <c r="G56" s="154">
        <v>20758124</v>
      </c>
      <c r="H56" s="98">
        <f t="shared" si="2"/>
        <v>0.59036398686188019</v>
      </c>
      <c r="I56" s="154">
        <f t="shared" si="5"/>
        <v>0</v>
      </c>
      <c r="J56" s="98">
        <f t="shared" si="4"/>
        <v>0</v>
      </c>
    </row>
    <row r="57" spans="2:10">
      <c r="B57" s="97" t="s">
        <v>92</v>
      </c>
      <c r="C57" s="154">
        <v>383190248.31999987</v>
      </c>
      <c r="D57" s="98">
        <f t="shared" si="0"/>
        <v>11.486881531298929</v>
      </c>
      <c r="E57" s="154">
        <v>397320274.96999997</v>
      </c>
      <c r="F57" s="98">
        <f t="shared" si="1"/>
        <v>11.299844898910312</v>
      </c>
      <c r="G57" s="154">
        <v>397320274.96999997</v>
      </c>
      <c r="H57" s="98">
        <f t="shared" si="2"/>
        <v>11.299844898910312</v>
      </c>
      <c r="I57" s="154">
        <f t="shared" si="5"/>
        <v>0</v>
      </c>
      <c r="J57" s="98">
        <f t="shared" si="4"/>
        <v>0</v>
      </c>
    </row>
    <row r="58" spans="2:10">
      <c r="B58" s="97" t="s">
        <v>94</v>
      </c>
      <c r="C58" s="154">
        <v>14792096.089999998</v>
      </c>
      <c r="D58" s="98">
        <f t="shared" si="0"/>
        <v>0.44342218031478986</v>
      </c>
      <c r="E58" s="154">
        <v>14500000</v>
      </c>
      <c r="F58" s="98">
        <f t="shared" si="1"/>
        <v>0.4123820538646587</v>
      </c>
      <c r="G58" s="154">
        <v>14500000</v>
      </c>
      <c r="H58" s="98">
        <f t="shared" si="2"/>
        <v>0.4123820538646587</v>
      </c>
      <c r="I58" s="154">
        <f t="shared" si="5"/>
        <v>0</v>
      </c>
      <c r="J58" s="98">
        <f t="shared" si="4"/>
        <v>0</v>
      </c>
    </row>
    <row r="59" spans="2:10">
      <c r="B59" s="97" t="s">
        <v>431</v>
      </c>
      <c r="C59" s="154">
        <v>7862525.3600000013</v>
      </c>
      <c r="D59" s="98">
        <f t="shared" si="0"/>
        <v>0.23569466536040659</v>
      </c>
      <c r="E59" s="154">
        <v>7000000</v>
      </c>
      <c r="F59" s="98">
        <f t="shared" si="1"/>
        <v>0.19908099152086972</v>
      </c>
      <c r="G59" s="154">
        <v>7000000</v>
      </c>
      <c r="H59" s="98">
        <f t="shared" si="2"/>
        <v>0.19908099152086972</v>
      </c>
      <c r="I59" s="154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4">
        <v>94307106.209999993</v>
      </c>
      <c r="D61" s="98">
        <f t="shared" si="0"/>
        <v>2.8270410359953697</v>
      </c>
      <c r="E61" s="154">
        <v>101040047.61999999</v>
      </c>
      <c r="F61" s="98">
        <f t="shared" si="1"/>
        <v>2.8735932662150696</v>
      </c>
      <c r="G61" s="154">
        <v>101040047.61999999</v>
      </c>
      <c r="H61" s="98">
        <f t="shared" si="2"/>
        <v>2.8735932662150696</v>
      </c>
      <c r="I61" s="154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4"/>
      <c r="D62" s="98">
        <f t="shared" si="0"/>
        <v>0</v>
      </c>
      <c r="E62" s="154"/>
      <c r="F62" s="98">
        <f t="shared" si="1"/>
        <v>0</v>
      </c>
      <c r="G62" s="154"/>
      <c r="H62" s="98">
        <f t="shared" si="2"/>
        <v>0</v>
      </c>
      <c r="I62" s="154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60">
        <v>61785502.860000007</v>
      </c>
      <c r="D63" s="92">
        <f t="shared" si="0"/>
        <v>1.8521419968700925</v>
      </c>
      <c r="E63" s="160">
        <v>101820500</v>
      </c>
      <c r="F63" s="92">
        <f t="shared" si="1"/>
        <v>2.8957894424501021</v>
      </c>
      <c r="G63" s="160">
        <v>101820500</v>
      </c>
      <c r="H63" s="92">
        <f t="shared" si="2"/>
        <v>2.8957894424501021</v>
      </c>
      <c r="I63" s="160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52">
        <v>2752781.9799999995</v>
      </c>
      <c r="D64" s="96">
        <f t="shared" si="0"/>
        <v>8.2520055310353516E-2</v>
      </c>
      <c r="E64" s="152">
        <v>2140000</v>
      </c>
      <c r="F64" s="96">
        <f t="shared" si="1"/>
        <v>6.0861903122094448E-2</v>
      </c>
      <c r="G64" s="152">
        <v>2140000</v>
      </c>
      <c r="H64" s="96">
        <f t="shared" si="2"/>
        <v>6.0861903122094448E-2</v>
      </c>
      <c r="I64" s="152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52">
        <v>14126844.789999999</v>
      </c>
      <c r="D65" s="96">
        <f t="shared" si="0"/>
        <v>0.42347996386970665</v>
      </c>
      <c r="E65" s="152">
        <v>8854649.7699999996</v>
      </c>
      <c r="F65" s="96">
        <f t="shared" si="1"/>
        <v>0.25182749368309154</v>
      </c>
      <c r="G65" s="152">
        <v>8854649.7699999996</v>
      </c>
      <c r="H65" s="96">
        <f t="shared" si="2"/>
        <v>0.25182749368309154</v>
      </c>
      <c r="I65" s="152">
        <f t="shared" si="5"/>
        <v>0</v>
      </c>
      <c r="J65" s="96">
        <f t="shared" si="4"/>
        <v>0</v>
      </c>
    </row>
    <row r="66" spans="2:10" ht="14.25" thickTop="1" thickBot="1">
      <c r="B66" s="146" t="s">
        <v>112</v>
      </c>
      <c r="C66" s="161">
        <v>107239350.92999999</v>
      </c>
      <c r="D66" s="148">
        <f t="shared" si="0"/>
        <v>3.2147105126683559</v>
      </c>
      <c r="E66" s="161">
        <v>0</v>
      </c>
      <c r="F66" s="148">
        <f t="shared" si="1"/>
        <v>0</v>
      </c>
      <c r="G66" s="161">
        <v>5153201.26</v>
      </c>
      <c r="H66" s="148">
        <f t="shared" si="2"/>
        <v>0.14655777376391357</v>
      </c>
      <c r="I66" s="161">
        <f t="shared" si="5"/>
        <v>5153201.26</v>
      </c>
      <c r="J66" s="148" t="e">
        <f t="shared" si="4"/>
        <v>#DIV/0!</v>
      </c>
    </row>
    <row r="67" spans="2:10" ht="14.25" thickTop="1" thickBot="1">
      <c r="B67" s="181" t="s">
        <v>151</v>
      </c>
      <c r="C67" s="152">
        <v>0</v>
      </c>
      <c r="D67" s="96">
        <f t="shared" si="0"/>
        <v>0</v>
      </c>
      <c r="E67" s="152">
        <v>0</v>
      </c>
      <c r="F67" s="96">
        <f t="shared" si="1"/>
        <v>0</v>
      </c>
      <c r="G67" s="152">
        <v>0</v>
      </c>
      <c r="H67" s="96">
        <f t="shared" si="2"/>
        <v>0</v>
      </c>
      <c r="I67" s="152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4">
        <v>112695950.91</v>
      </c>
      <c r="D71" s="98">
        <f t="shared" si="0"/>
        <v>3.3782828316632929</v>
      </c>
      <c r="E71" s="154">
        <v>30008345.27</v>
      </c>
      <c r="F71" s="98">
        <f t="shared" si="1"/>
        <v>0.8534415900360286</v>
      </c>
      <c r="G71" s="154">
        <v>30008345.27</v>
      </c>
      <c r="H71" s="98">
        <f t="shared" si="2"/>
        <v>0.8534415900360286</v>
      </c>
      <c r="I71" s="154">
        <f t="shared" si="5"/>
        <v>0</v>
      </c>
      <c r="J71" s="98">
        <f t="shared" si="4"/>
        <v>0</v>
      </c>
    </row>
    <row r="72" spans="2:10">
      <c r="B72" s="97" t="s">
        <v>136</v>
      </c>
      <c r="C72" s="154">
        <v>68802905.489999995</v>
      </c>
      <c r="D72" s="98">
        <f t="shared" si="0"/>
        <v>2.0625024458158605</v>
      </c>
      <c r="E72" s="154">
        <v>108080400.25</v>
      </c>
      <c r="F72" s="98">
        <f t="shared" si="1"/>
        <v>3.073821892248922</v>
      </c>
      <c r="G72" s="154">
        <v>108080400.25</v>
      </c>
      <c r="H72" s="98">
        <f t="shared" si="2"/>
        <v>3.073821892248922</v>
      </c>
      <c r="I72" s="154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4">
        <v>60278571.609999992</v>
      </c>
      <c r="D73" s="98">
        <f t="shared" ref="D73:D79" si="6">C73/C$3*100</f>
        <v>1.8069687681137414</v>
      </c>
      <c r="E73" s="154">
        <v>33338159.969999999</v>
      </c>
      <c r="F73" s="98">
        <f t="shared" si="1"/>
        <v>0.94814199175842395</v>
      </c>
      <c r="G73" s="154">
        <v>33338159.969999999</v>
      </c>
      <c r="H73" s="98">
        <f t="shared" ref="H73:H79" si="7">G73/E$3*100</f>
        <v>0.94814199175842395</v>
      </c>
      <c r="I73" s="154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4">
        <v>102834751.84999999</v>
      </c>
      <c r="D76" s="98">
        <f t="shared" si="6"/>
        <v>3.0826739902186082</v>
      </c>
      <c r="E76" s="154">
        <v>0</v>
      </c>
      <c r="F76" s="98">
        <f t="shared" si="8"/>
        <v>0</v>
      </c>
      <c r="G76" s="183">
        <v>0</v>
      </c>
      <c r="H76" s="184">
        <f t="shared" si="7"/>
        <v>0</v>
      </c>
      <c r="I76" s="154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4">
        <v>230537476.81999999</v>
      </c>
      <c r="D77" s="98">
        <f t="shared" si="6"/>
        <v>6.910814396676539</v>
      </c>
      <c r="E77" s="154">
        <v>227975575.86282945</v>
      </c>
      <c r="F77" s="98">
        <f t="shared" si="8"/>
        <v>6.4836576693304764</v>
      </c>
      <c r="G77" s="183">
        <v>227975575.86282945</v>
      </c>
      <c r="H77" s="184">
        <f t="shared" si="7"/>
        <v>6.4836576693304764</v>
      </c>
      <c r="I77" s="154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4">
        <v>11948846.35</v>
      </c>
      <c r="D78" s="104">
        <f t="shared" si="6"/>
        <v>0.35819017592410862</v>
      </c>
      <c r="E78" s="154">
        <v>5000000</v>
      </c>
      <c r="F78" s="104">
        <f t="shared" si="8"/>
        <v>0.14220070822919265</v>
      </c>
      <c r="G78" s="183">
        <v>5000000</v>
      </c>
      <c r="H78" s="184">
        <f t="shared" si="7"/>
        <v>0.14220070822919265</v>
      </c>
      <c r="I78" s="154">
        <f t="shared" si="9"/>
        <v>0</v>
      </c>
      <c r="J78" s="104">
        <f t="shared" si="10"/>
        <v>0</v>
      </c>
    </row>
    <row r="79" spans="2:10" ht="14.25" thickTop="1" thickBot="1">
      <c r="B79" s="146" t="s">
        <v>124</v>
      </c>
      <c r="C79" s="147">
        <f>-C74-SUM(C76:C78)</f>
        <v>24776977.5729177</v>
      </c>
      <c r="D79" s="148">
        <f t="shared" si="6"/>
        <v>0.74273864570290371</v>
      </c>
      <c r="E79" s="147">
        <f>-E74-SUM(E76:E78)</f>
        <v>-10502963.319999933</v>
      </c>
      <c r="F79" s="148">
        <f t="shared" si="8"/>
        <v>-0.29870576452184461</v>
      </c>
      <c r="G79" s="185">
        <f>-G74-SUM(G76:G78)</f>
        <v>-27124068.379600048</v>
      </c>
      <c r="H79" s="186">
        <f t="shared" si="7"/>
        <v>-0.77141234672723535</v>
      </c>
      <c r="I79" s="147">
        <f t="shared" si="9"/>
        <v>-16621105.059600115</v>
      </c>
      <c r="J79" s="148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444</v>
      </c>
      <c r="E4">
        <v>2015</v>
      </c>
      <c r="F4">
        <v>2016</v>
      </c>
      <c r="G4">
        <v>2017</v>
      </c>
    </row>
    <row r="5" spans="3:7">
      <c r="C5" t="s">
        <v>442</v>
      </c>
      <c r="D5" s="180">
        <v>-26424601.993229389</v>
      </c>
      <c r="E5" s="180">
        <v>-24569497.372829676</v>
      </c>
      <c r="F5" s="180">
        <v>33498994.005818129</v>
      </c>
      <c r="G5" s="180">
        <v>103834080.12588143</v>
      </c>
    </row>
    <row r="6" spans="3:7">
      <c r="C6" t="s">
        <v>443</v>
      </c>
      <c r="D6" s="180">
        <v>-51424601.993229389</v>
      </c>
      <c r="E6" s="180">
        <v>-149569497.37282968</v>
      </c>
      <c r="F6" s="180">
        <v>-191501005.99418187</v>
      </c>
      <c r="G6" s="180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2016-06-30T08:34:04Z</cp:lastPrinted>
  <dcterms:created xsi:type="dcterms:W3CDTF">2008-03-17T08:49:23Z</dcterms:created>
  <dcterms:modified xsi:type="dcterms:W3CDTF">2016-07-05T13:01:50Z</dcterms:modified>
</cp:coreProperties>
</file>