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zra.barjaktarevic\Desktop\izvršenje budzeta\"/>
    </mc:Choice>
  </mc:AlternateContent>
  <xr:revisionPtr revIDLastSave="0" documentId="13_ncr:1_{AE73ABDC-7C54-4783-ACB9-3F10F537921F}" xr6:coauthVersionLast="36" xr6:coauthVersionMax="36" xr10:uidLastSave="{00000000-0000-0000-0000-000000000000}"/>
  <workbookProtection workbookAlgorithmName="SHA-512" workbookHashValue="HsPn+5TOs+Y98SMj51C+sXEtmMcfi4PuJuLYXmE4hOy/MFfKNb5EyEm1EDlMx6uuE7Fqr4H8cX5kypiKWALX1w==" workbookSaltValue="McwEQjkG/gOE/vvjdDBI9A==" workbookSpinCount="100000" lockStructure="1"/>
  <bookViews>
    <workbookView xWindow="0" yWindow="0" windowWidth="24000" windowHeight="95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E16" i="1" l="1"/>
  <c r="R10" i="11" l="1"/>
  <c r="G55" i="26" l="1"/>
  <c r="G40" i="26"/>
  <c r="G30" i="26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6" i="11"/>
  <c r="H57" i="11"/>
  <c r="H58" i="11"/>
  <c r="H59" i="11"/>
  <c r="H62" i="11"/>
  <c r="H63" i="11"/>
  <c r="H64" i="11"/>
  <c r="H65" i="11"/>
  <c r="H10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59" i="11"/>
  <c r="O62" i="11"/>
  <c r="O63" i="11"/>
  <c r="O64" i="11"/>
  <c r="O65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I19" i="26" l="1"/>
  <c r="H19" i="26"/>
  <c r="G19" i="26"/>
  <c r="N19" i="11" s="1"/>
  <c r="A142" i="27" l="1"/>
  <c r="B142" i="27" s="1"/>
  <c r="S141" i="27"/>
  <c r="T141" i="27" s="1"/>
  <c r="S140" i="27"/>
  <c r="T140" i="27" s="1"/>
  <c r="A140" i="27"/>
  <c r="B140" i="27" s="1"/>
  <c r="S139" i="27"/>
  <c r="T139" i="27" s="1"/>
  <c r="A139" i="27"/>
  <c r="B139" i="27" s="1"/>
  <c r="S138" i="27"/>
  <c r="T138" i="27" s="1"/>
  <c r="A138" i="27"/>
  <c r="B138" i="27" s="1"/>
  <c r="A137" i="27"/>
  <c r="B137" i="27" s="1"/>
  <c r="A136" i="27"/>
  <c r="B136" i="27" s="1"/>
  <c r="S135" i="27"/>
  <c r="T135" i="27" s="1"/>
  <c r="S134" i="27"/>
  <c r="T134" i="27" s="1"/>
  <c r="A134" i="27"/>
  <c r="B134" i="27" s="1"/>
  <c r="S133" i="27"/>
  <c r="T133" i="27" s="1"/>
  <c r="A133" i="27"/>
  <c r="B133" i="27" s="1"/>
  <c r="S132" i="27"/>
  <c r="T132" i="27" s="1"/>
  <c r="A132" i="27"/>
  <c r="B132" i="27" s="1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B131" i="27" s="1"/>
  <c r="A130" i="27"/>
  <c r="B130" i="27" s="1"/>
  <c r="A129" i="27"/>
  <c r="B129" i="27" s="1"/>
  <c r="S128" i="27"/>
  <c r="T128" i="27" s="1"/>
  <c r="A128" i="27"/>
  <c r="B128" i="27" s="1"/>
  <c r="S127" i="27"/>
  <c r="T127" i="27" s="1"/>
  <c r="A127" i="27"/>
  <c r="B127" i="27" s="1"/>
  <c r="S126" i="27"/>
  <c r="T126" i="27" s="1"/>
  <c r="A126" i="27"/>
  <c r="B126" i="27" s="1"/>
  <c r="R125" i="27"/>
  <c r="S125" i="27" s="1"/>
  <c r="T125" i="27" s="1"/>
  <c r="A125" i="27"/>
  <c r="B125" i="27" s="1"/>
  <c r="S124" i="27"/>
  <c r="T124" i="27" s="1"/>
  <c r="A124" i="27"/>
  <c r="B124" i="27" s="1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B123" i="27" s="1"/>
  <c r="R122" i="27"/>
  <c r="S122" i="27" s="1"/>
  <c r="T122" i="27" s="1"/>
  <c r="A122" i="27"/>
  <c r="B122" i="27" s="1"/>
  <c r="S121" i="27"/>
  <c r="T121" i="27" s="1"/>
  <c r="A121" i="27"/>
  <c r="B121" i="27" s="1"/>
  <c r="S120" i="27"/>
  <c r="T120" i="27" s="1"/>
  <c r="A120" i="27"/>
  <c r="B120" i="27" s="1"/>
  <c r="S119" i="27"/>
  <c r="T119" i="27" s="1"/>
  <c r="A119" i="27"/>
  <c r="B119" i="27" s="1"/>
  <c r="S118" i="27"/>
  <c r="T118" i="27" s="1"/>
  <c r="A118" i="27"/>
  <c r="B118" i="27" s="1"/>
  <c r="S117" i="27"/>
  <c r="T117" i="27" s="1"/>
  <c r="A117" i="27"/>
  <c r="B117" i="27" s="1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B116" i="27" s="1"/>
  <c r="S115" i="27"/>
  <c r="T115" i="27" s="1"/>
  <c r="R115" i="27"/>
  <c r="A115" i="27"/>
  <c r="B115" i="27" s="1"/>
  <c r="T114" i="27"/>
  <c r="S114" i="27"/>
  <c r="A114" i="27"/>
  <c r="B114" i="27" s="1"/>
  <c r="R113" i="27"/>
  <c r="S113" i="27" s="1"/>
  <c r="T113" i="27" s="1"/>
  <c r="A113" i="27"/>
  <c r="B113" i="27" s="1"/>
  <c r="S112" i="27"/>
  <c r="T112" i="27" s="1"/>
  <c r="A112" i="27"/>
  <c r="B112" i="27" s="1"/>
  <c r="S111" i="27"/>
  <c r="T111" i="27" s="1"/>
  <c r="A111" i="27"/>
  <c r="B111" i="27" s="1"/>
  <c r="R110" i="27"/>
  <c r="S110" i="27" s="1"/>
  <c r="T110" i="27" s="1"/>
  <c r="A110" i="27"/>
  <c r="B110" i="27" s="1"/>
  <c r="R109" i="27"/>
  <c r="A109" i="27"/>
  <c r="B109" i="27" s="1"/>
  <c r="S108" i="27"/>
  <c r="T108" i="27" s="1"/>
  <c r="A108" i="27"/>
  <c r="B108" i="27" s="1"/>
  <c r="R107" i="27"/>
  <c r="S107" i="27" s="1"/>
  <c r="T107" i="27" s="1"/>
  <c r="A107" i="27"/>
  <c r="B107" i="27" s="1"/>
  <c r="Q106" i="27"/>
  <c r="P106" i="27"/>
  <c r="P105" i="27" s="1"/>
  <c r="O106" i="27"/>
  <c r="N106" i="27"/>
  <c r="M106" i="27"/>
  <c r="L106" i="27"/>
  <c r="L105" i="27" s="1"/>
  <c r="K106" i="27"/>
  <c r="J106" i="27"/>
  <c r="J105" i="27" s="1"/>
  <c r="I106" i="27"/>
  <c r="H106" i="27"/>
  <c r="H105" i="27" s="1"/>
  <c r="G106" i="27"/>
  <c r="A106" i="27"/>
  <c r="B106" i="27" s="1"/>
  <c r="N105" i="27"/>
  <c r="A105" i="27"/>
  <c r="B105" i="27" s="1"/>
  <c r="S104" i="27"/>
  <c r="T104" i="27" s="1"/>
  <c r="A104" i="27"/>
  <c r="B104" i="27" s="1"/>
  <c r="S103" i="27"/>
  <c r="T103" i="27" s="1"/>
  <c r="A103" i="27"/>
  <c r="B103" i="27" s="1"/>
  <c r="S102" i="27"/>
  <c r="T102" i="27" s="1"/>
  <c r="A102" i="27"/>
  <c r="B102" i="27" s="1"/>
  <c r="S101" i="27"/>
  <c r="T101" i="27" s="1"/>
  <c r="A101" i="27"/>
  <c r="B101" i="27" s="1"/>
  <c r="S100" i="27"/>
  <c r="T100" i="27" s="1"/>
  <c r="A100" i="27"/>
  <c r="B100" i="27" s="1"/>
  <c r="S99" i="27"/>
  <c r="T99" i="27" s="1"/>
  <c r="A99" i="27"/>
  <c r="B99" i="27" s="1"/>
  <c r="S98" i="27"/>
  <c r="T98" i="27" s="1"/>
  <c r="A98" i="27"/>
  <c r="B98" i="27" s="1"/>
  <c r="S97" i="27"/>
  <c r="T97" i="27" s="1"/>
  <c r="A97" i="27"/>
  <c r="B97" i="27" s="1"/>
  <c r="S96" i="27"/>
  <c r="T96" i="27" s="1"/>
  <c r="A96" i="27"/>
  <c r="B96" i="27" s="1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B95" i="27" s="1"/>
  <c r="S94" i="27"/>
  <c r="T94" i="27" s="1"/>
  <c r="A94" i="27"/>
  <c r="B94" i="27" s="1"/>
  <c r="S93" i="27"/>
  <c r="T93" i="27" s="1"/>
  <c r="A93" i="27"/>
  <c r="B93" i="27" s="1"/>
  <c r="S92" i="27"/>
  <c r="T92" i="27" s="1"/>
  <c r="A92" i="27"/>
  <c r="B92" i="27" s="1"/>
  <c r="S91" i="27"/>
  <c r="T91" i="27" s="1"/>
  <c r="A91" i="27"/>
  <c r="B91" i="27" s="1"/>
  <c r="S90" i="27"/>
  <c r="T90" i="27" s="1"/>
  <c r="A90" i="27"/>
  <c r="B90" i="27" s="1"/>
  <c r="S89" i="27"/>
  <c r="T89" i="27" s="1"/>
  <c r="A89" i="27"/>
  <c r="B89" i="27" s="1"/>
  <c r="S88" i="27"/>
  <c r="T88" i="27" s="1"/>
  <c r="A88" i="27"/>
  <c r="B88" i="27" s="1"/>
  <c r="R87" i="27"/>
  <c r="R86" i="27" s="1"/>
  <c r="Q87" i="27"/>
  <c r="Q86" i="27" s="1"/>
  <c r="P87" i="27"/>
  <c r="O87" i="27"/>
  <c r="N87" i="27"/>
  <c r="N86" i="27" s="1"/>
  <c r="M87" i="27"/>
  <c r="M86" i="27" s="1"/>
  <c r="L87" i="27"/>
  <c r="K87" i="27"/>
  <c r="J87" i="27"/>
  <c r="J86" i="27" s="1"/>
  <c r="I87" i="27"/>
  <c r="I86" i="27" s="1"/>
  <c r="H87" i="27"/>
  <c r="G87" i="27"/>
  <c r="A87" i="27"/>
  <c r="B87" i="27" s="1"/>
  <c r="P86" i="27"/>
  <c r="L86" i="27"/>
  <c r="H86" i="27"/>
  <c r="A86" i="27"/>
  <c r="B86" i="27" s="1"/>
  <c r="T84" i="27"/>
  <c r="S84" i="27"/>
  <c r="B83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B66" i="27"/>
  <c r="S65" i="27"/>
  <c r="T65" i="27" s="1"/>
  <c r="S64" i="27"/>
  <c r="T64" i="27" s="1"/>
  <c r="B64" i="27"/>
  <c r="S63" i="27"/>
  <c r="T63" i="27" s="1"/>
  <c r="B63" i="27"/>
  <c r="S62" i="27"/>
  <c r="T62" i="27" s="1"/>
  <c r="B62" i="27"/>
  <c r="B61" i="27"/>
  <c r="B60" i="27"/>
  <c r="S59" i="27"/>
  <c r="T59" i="27" s="1"/>
  <c r="B59" i="27"/>
  <c r="S58" i="27"/>
  <c r="T58" i="27" s="1"/>
  <c r="B58" i="27"/>
  <c r="S57" i="27"/>
  <c r="T57" i="27" s="1"/>
  <c r="B57" i="27"/>
  <c r="S56" i="27"/>
  <c r="T56" i="27" s="1"/>
  <c r="B56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B55" i="27"/>
  <c r="B54" i="27"/>
  <c r="B53" i="27"/>
  <c r="S52" i="27"/>
  <c r="T52" i="27" s="1"/>
  <c r="B52" i="27"/>
  <c r="S51" i="27"/>
  <c r="T51" i="27" s="1"/>
  <c r="B51" i="27"/>
  <c r="S50" i="27"/>
  <c r="T50" i="27" s="1"/>
  <c r="B50" i="27"/>
  <c r="S49" i="27"/>
  <c r="T49" i="27" s="1"/>
  <c r="B49" i="27"/>
  <c r="S48" i="27"/>
  <c r="T48" i="27" s="1"/>
  <c r="B48" i="27"/>
  <c r="S47" i="27"/>
  <c r="T47" i="27" s="1"/>
  <c r="B47" i="27"/>
  <c r="S46" i="27"/>
  <c r="T46" i="27" s="1"/>
  <c r="B46" i="27"/>
  <c r="S45" i="27"/>
  <c r="T45" i="27" s="1"/>
  <c r="B45" i="27"/>
  <c r="S44" i="27"/>
  <c r="T44" i="27" s="1"/>
  <c r="B44" i="27"/>
  <c r="S43" i="27"/>
  <c r="T43" i="27" s="1"/>
  <c r="B43" i="27"/>
  <c r="S42" i="27"/>
  <c r="T42" i="27" s="1"/>
  <c r="B42" i="27"/>
  <c r="S41" i="27"/>
  <c r="T41" i="27" s="1"/>
  <c r="B41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B40" i="27"/>
  <c r="S39" i="27"/>
  <c r="T39" i="27" s="1"/>
  <c r="B39" i="27"/>
  <c r="S38" i="27"/>
  <c r="T38" i="27" s="1"/>
  <c r="B38" i="27"/>
  <c r="S37" i="27"/>
  <c r="T37" i="27" s="1"/>
  <c r="B37" i="27"/>
  <c r="S36" i="27"/>
  <c r="T36" i="27" s="1"/>
  <c r="B36" i="27"/>
  <c r="S35" i="27"/>
  <c r="T35" i="27" s="1"/>
  <c r="B35" i="27"/>
  <c r="S34" i="27"/>
  <c r="T34" i="27" s="1"/>
  <c r="B34" i="27"/>
  <c r="S33" i="27"/>
  <c r="T33" i="27" s="1"/>
  <c r="B33" i="27"/>
  <c r="S32" i="27"/>
  <c r="T32" i="27" s="1"/>
  <c r="B32" i="27"/>
  <c r="S31" i="27"/>
  <c r="T31" i="27" s="1"/>
  <c r="B31" i="27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H29" i="27" s="1"/>
  <c r="G30" i="27"/>
  <c r="B30" i="27"/>
  <c r="I29" i="27"/>
  <c r="B29" i="27"/>
  <c r="S28" i="27"/>
  <c r="T28" i="27" s="1"/>
  <c r="B28" i="27"/>
  <c r="S27" i="27"/>
  <c r="T27" i="27" s="1"/>
  <c r="B27" i="27"/>
  <c r="S26" i="27"/>
  <c r="T26" i="27" s="1"/>
  <c r="B26" i="27"/>
  <c r="S25" i="27"/>
  <c r="T25" i="27" s="1"/>
  <c r="B25" i="27"/>
  <c r="S24" i="27"/>
  <c r="T24" i="27" s="1"/>
  <c r="B24" i="27"/>
  <c r="S23" i="27"/>
  <c r="T23" i="27" s="1"/>
  <c r="B23" i="27"/>
  <c r="S22" i="27"/>
  <c r="T22" i="27" s="1"/>
  <c r="B22" i="27"/>
  <c r="S21" i="27"/>
  <c r="T21" i="27" s="1"/>
  <c r="B21" i="27"/>
  <c r="S20" i="27"/>
  <c r="T20" i="27" s="1"/>
  <c r="B20" i="27"/>
  <c r="R19" i="27"/>
  <c r="Q19" i="27"/>
  <c r="P19" i="27"/>
  <c r="O19" i="27"/>
  <c r="N19" i="27"/>
  <c r="M19" i="27"/>
  <c r="L19" i="27"/>
  <c r="K19" i="27"/>
  <c r="J19" i="27"/>
  <c r="B19" i="27"/>
  <c r="S18" i="27"/>
  <c r="T18" i="27" s="1"/>
  <c r="B18" i="27"/>
  <c r="S17" i="27"/>
  <c r="T17" i="27" s="1"/>
  <c r="B17" i="27"/>
  <c r="S16" i="27"/>
  <c r="T16" i="27" s="1"/>
  <c r="B16" i="27"/>
  <c r="S15" i="27"/>
  <c r="T15" i="27" s="1"/>
  <c r="B15" i="27"/>
  <c r="S14" i="27"/>
  <c r="T14" i="27" s="1"/>
  <c r="B14" i="27"/>
  <c r="S13" i="27"/>
  <c r="T13" i="27" s="1"/>
  <c r="B13" i="27"/>
  <c r="S12" i="27"/>
  <c r="T12" i="27" s="1"/>
  <c r="B12" i="27"/>
  <c r="R11" i="27"/>
  <c r="Q11" i="27"/>
  <c r="Q10" i="27" s="1"/>
  <c r="P11" i="27"/>
  <c r="O11" i="27"/>
  <c r="O10" i="27" s="1"/>
  <c r="N11" i="27"/>
  <c r="N10" i="27" s="1"/>
  <c r="M11" i="27"/>
  <c r="M10" i="27" s="1"/>
  <c r="L11" i="27"/>
  <c r="K11" i="27"/>
  <c r="K10" i="27" s="1"/>
  <c r="J11" i="27"/>
  <c r="I11" i="27"/>
  <c r="I10" i="27" s="1"/>
  <c r="H11" i="27"/>
  <c r="H10" i="27" s="1"/>
  <c r="G11" i="27"/>
  <c r="B11" i="27"/>
  <c r="R10" i="27"/>
  <c r="P10" i="27"/>
  <c r="J10" i="27"/>
  <c r="B10" i="27"/>
  <c r="T9" i="27"/>
  <c r="T85" i="27" s="1"/>
  <c r="S8" i="27"/>
  <c r="R8" i="27"/>
  <c r="R84" i="27" s="1"/>
  <c r="Q8" i="27"/>
  <c r="Q84" i="27" s="1"/>
  <c r="P8" i="27"/>
  <c r="P84" i="27" s="1"/>
  <c r="O8" i="27"/>
  <c r="O84" i="27" s="1"/>
  <c r="N8" i="27"/>
  <c r="N84" i="27" s="1"/>
  <c r="M8" i="27"/>
  <c r="M84" i="27" s="1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S7" i="27"/>
  <c r="S83" i="27" s="1"/>
  <c r="B7" i="27"/>
  <c r="R5" i="27"/>
  <c r="Q5" i="27"/>
  <c r="P5" i="27"/>
  <c r="O5" i="27"/>
  <c r="N5" i="27"/>
  <c r="M5" i="27"/>
  <c r="L5" i="27"/>
  <c r="K5" i="27"/>
  <c r="J5" i="27"/>
  <c r="I5" i="27"/>
  <c r="H5" i="27"/>
  <c r="G5" i="27"/>
  <c r="E4" i="27"/>
  <c r="E3" i="27"/>
  <c r="E2" i="27"/>
  <c r="K29" i="27" l="1"/>
  <c r="P29" i="27"/>
  <c r="J29" i="27"/>
  <c r="J129" i="27"/>
  <c r="N129" i="27"/>
  <c r="H129" i="27"/>
  <c r="H130" i="27" s="1"/>
  <c r="P129" i="27"/>
  <c r="G86" i="27"/>
  <c r="K86" i="27"/>
  <c r="S86" i="27" s="1"/>
  <c r="T86" i="27" s="1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K30" i="11"/>
  <c r="R30" i="11"/>
  <c r="L129" i="27"/>
  <c r="L130" i="27" s="1"/>
  <c r="G29" i="27"/>
  <c r="R40" i="11"/>
  <c r="K40" i="11"/>
  <c r="O29" i="27"/>
  <c r="O53" i="27" s="1"/>
  <c r="O60" i="27" s="1"/>
  <c r="O66" i="27" s="1"/>
  <c r="O61" i="27" s="1"/>
  <c r="G10" i="27"/>
  <c r="K11" i="11"/>
  <c r="R11" i="11"/>
  <c r="K55" i="11"/>
  <c r="R55" i="11"/>
  <c r="S95" i="27"/>
  <c r="T95" i="27" s="1"/>
  <c r="S87" i="27"/>
  <c r="T87" i="27" s="1"/>
  <c r="S131" i="27"/>
  <c r="T131" i="27" s="1"/>
  <c r="S55" i="27"/>
  <c r="T55" i="27" s="1"/>
  <c r="K53" i="27"/>
  <c r="K60" i="27" s="1"/>
  <c r="K66" i="27" s="1"/>
  <c r="K61" i="27" s="1"/>
  <c r="I53" i="27"/>
  <c r="I60" i="27" s="1"/>
  <c r="I66" i="27" s="1"/>
  <c r="I61" i="27" s="1"/>
  <c r="P53" i="27"/>
  <c r="P54" i="27" s="1"/>
  <c r="L53" i="27"/>
  <c r="L54" i="27" s="1"/>
  <c r="H53" i="27"/>
  <c r="H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G53" i="27"/>
  <c r="S10" i="27"/>
  <c r="T10" i="27" s="1"/>
  <c r="N136" i="27"/>
  <c r="N142" i="27" s="1"/>
  <c r="N137" i="27" s="1"/>
  <c r="N130" i="27"/>
  <c r="S40" i="27"/>
  <c r="T40" i="27" s="1"/>
  <c r="J136" i="27"/>
  <c r="J142" i="27" s="1"/>
  <c r="J137" i="27" s="1"/>
  <c r="J130" i="27"/>
  <c r="L136" i="27"/>
  <c r="L142" i="27" s="1"/>
  <c r="L137" i="27" s="1"/>
  <c r="P130" i="27"/>
  <c r="P136" i="27"/>
  <c r="P142" i="27" s="1"/>
  <c r="P137" i="27" s="1"/>
  <c r="S11" i="27"/>
  <c r="T11" i="27" s="1"/>
  <c r="I129" i="27"/>
  <c r="S116" i="27"/>
  <c r="T116" i="27" s="1"/>
  <c r="S109" i="27"/>
  <c r="T109" i="27" s="1"/>
  <c r="K54" i="27" l="1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K10" i="11"/>
  <c r="R29" i="11"/>
  <c r="K29" i="11"/>
  <c r="R53" i="11"/>
  <c r="K53" i="11"/>
  <c r="S106" i="27"/>
  <c r="T106" i="27" s="1"/>
  <c r="H60" i="27"/>
  <c r="H66" i="27" s="1"/>
  <c r="H61" i="27" s="1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O130" i="27" l="1"/>
  <c r="O136" i="27"/>
  <c r="O142" i="27" s="1"/>
  <c r="O137" i="27" s="1"/>
  <c r="G66" i="27"/>
  <c r="K60" i="11"/>
  <c r="R60" i="11"/>
  <c r="R54" i="11"/>
  <c r="K54" i="11"/>
  <c r="S54" i="27"/>
  <c r="T54" i="27" s="1"/>
  <c r="S130" i="27"/>
  <c r="T130" i="27" s="1"/>
  <c r="G142" i="27"/>
  <c r="S136" i="27"/>
  <c r="T136" i="27" s="1"/>
  <c r="S60" i="27"/>
  <c r="T53" i="27"/>
  <c r="S59" i="11"/>
  <c r="P59" i="11"/>
  <c r="G61" i="27" l="1"/>
  <c r="R66" i="11"/>
  <c r="K66" i="11"/>
  <c r="S142" i="27"/>
  <c r="T142" i="27" s="1"/>
  <c r="G137" i="27"/>
  <c r="S137" i="27" s="1"/>
  <c r="T137" i="27" s="1"/>
  <c r="T60" i="27"/>
  <c r="S66" i="27"/>
  <c r="T66" i="27" s="1"/>
  <c r="S141" i="26"/>
  <c r="T141" i="26" l="1"/>
  <c r="R61" i="11"/>
  <c r="K61" i="11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40" i="26"/>
  <c r="I30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40" i="26"/>
  <c r="H30" i="26"/>
  <c r="H11" i="26"/>
  <c r="H10" i="26" s="1"/>
  <c r="H8" i="26"/>
  <c r="H84" i="26" s="1"/>
  <c r="H5" i="26"/>
  <c r="G131" i="26"/>
  <c r="G116" i="26"/>
  <c r="G106" i="26"/>
  <c r="G95" i="26"/>
  <c r="G87" i="26"/>
  <c r="G82" i="26"/>
  <c r="N55" i="11"/>
  <c r="N40" i="11"/>
  <c r="N30" i="11"/>
  <c r="G11" i="26"/>
  <c r="G8" i="26"/>
  <c r="G84" i="26" s="1"/>
  <c r="G5" i="26"/>
  <c r="G10" i="26" l="1"/>
  <c r="N10" i="11" s="1"/>
  <c r="N11" i="11"/>
  <c r="O55" i="11"/>
  <c r="H55" i="11"/>
  <c r="H40" i="11"/>
  <c r="O40" i="11"/>
  <c r="H30" i="11"/>
  <c r="O30" i="11"/>
  <c r="G29" i="26"/>
  <c r="L86" i="26"/>
  <c r="L29" i="26"/>
  <c r="H29" i="26"/>
  <c r="H53" i="26" s="1"/>
  <c r="H60" i="26" s="1"/>
  <c r="H66" i="26" s="1"/>
  <c r="H61" i="26" s="1"/>
  <c r="J10" i="26"/>
  <c r="J29" i="26"/>
  <c r="J86" i="26"/>
  <c r="H86" i="26"/>
  <c r="K29" i="26"/>
  <c r="L10" i="26"/>
  <c r="L105" i="26"/>
  <c r="L129" i="26" s="1"/>
  <c r="L136" i="26" s="1"/>
  <c r="L142" i="26" s="1"/>
  <c r="I29" i="26"/>
  <c r="I53" i="26" s="1"/>
  <c r="I60" i="26" s="1"/>
  <c r="I66" i="26" s="1"/>
  <c r="I61" i="26" s="1"/>
  <c r="I86" i="26"/>
  <c r="G105" i="26"/>
  <c r="H105" i="26"/>
  <c r="K10" i="26"/>
  <c r="I105" i="26"/>
  <c r="K86" i="26"/>
  <c r="G86" i="26"/>
  <c r="J105" i="26"/>
  <c r="K105" i="26"/>
  <c r="G53" i="26" l="1"/>
  <c r="H29" i="11"/>
  <c r="O29" i="11"/>
  <c r="I129" i="26"/>
  <c r="G54" i="26"/>
  <c r="N54" i="11" s="1"/>
  <c r="G60" i="26"/>
  <c r="G66" i="26" s="1"/>
  <c r="G61" i="26" s="1"/>
  <c r="N29" i="11"/>
  <c r="H129" i="26"/>
  <c r="L53" i="26"/>
  <c r="L54" i="26" s="1"/>
  <c r="J129" i="26"/>
  <c r="J53" i="26"/>
  <c r="J54" i="26" s="1"/>
  <c r="K53" i="26"/>
  <c r="K54" i="26" s="1"/>
  <c r="I54" i="26"/>
  <c r="G129" i="26"/>
  <c r="G136" i="26" s="1"/>
  <c r="G142" i="26" s="1"/>
  <c r="H54" i="26"/>
  <c r="K129" i="26"/>
  <c r="K136" i="26" s="1"/>
  <c r="K142" i="26" s="1"/>
  <c r="L130" i="26"/>
  <c r="L137" i="26"/>
  <c r="I130" i="26"/>
  <c r="H130" i="26" l="1"/>
  <c r="H136" i="26"/>
  <c r="H142" i="26" s="1"/>
  <c r="H137" i="26" s="1"/>
  <c r="I136" i="26"/>
  <c r="I142" i="26" s="1"/>
  <c r="I137" i="26" s="1"/>
  <c r="J130" i="26"/>
  <c r="J136" i="26"/>
  <c r="J142" i="26" s="1"/>
  <c r="H53" i="11"/>
  <c r="O53" i="11"/>
  <c r="N53" i="11"/>
  <c r="J137" i="26"/>
  <c r="J60" i="26"/>
  <c r="J66" i="26" s="1"/>
  <c r="J61" i="26" s="1"/>
  <c r="L60" i="26"/>
  <c r="L66" i="26" s="1"/>
  <c r="L61" i="26" s="1"/>
  <c r="K60" i="26"/>
  <c r="K66" i="26" s="1"/>
  <c r="K61" i="26" s="1"/>
  <c r="G130" i="26"/>
  <c r="K130" i="26"/>
  <c r="T65" i="11"/>
  <c r="S65" i="11"/>
  <c r="H54" i="11" l="1"/>
  <c r="O54" i="11"/>
  <c r="O60" i="11"/>
  <c r="H60" i="11"/>
  <c r="N60" i="11"/>
  <c r="K137" i="26"/>
  <c r="S59" i="26"/>
  <c r="S65" i="26"/>
  <c r="S59" i="25"/>
  <c r="S65" i="25"/>
  <c r="N61" i="11" l="1"/>
  <c r="N66" i="11"/>
  <c r="H66" i="11"/>
  <c r="O66" i="11"/>
  <c r="G137" i="26"/>
  <c r="T59" i="26"/>
  <c r="G59" i="11"/>
  <c r="T65" i="26"/>
  <c r="G65" i="11"/>
  <c r="T65" i="25"/>
  <c r="H61" i="11" l="1"/>
  <c r="O61" i="11"/>
  <c r="L59" i="1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50" i="26"/>
  <c r="S49" i="26"/>
  <c r="G49" i="11" s="1"/>
  <c r="I49" i="11" s="1"/>
  <c r="S48" i="26"/>
  <c r="S47" i="26"/>
  <c r="S46" i="26"/>
  <c r="S45" i="26"/>
  <c r="S44" i="26"/>
  <c r="S43" i="26"/>
  <c r="S42" i="26"/>
  <c r="S41" i="26"/>
  <c r="Q40" i="26"/>
  <c r="P40" i="26"/>
  <c r="O40" i="26"/>
  <c r="N40" i="26"/>
  <c r="M40" i="26"/>
  <c r="S39" i="26"/>
  <c r="S38" i="26"/>
  <c r="S37" i="26"/>
  <c r="S36" i="26"/>
  <c r="S35" i="26"/>
  <c r="S34" i="26"/>
  <c r="S33" i="26"/>
  <c r="S32" i="26"/>
  <c r="S31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50" i="26"/>
  <c r="G50" i="11"/>
  <c r="T49" i="26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T31" i="26"/>
  <c r="G31" i="11"/>
  <c r="M31" i="11" s="1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S40" i="26"/>
  <c r="O10" i="26"/>
  <c r="P10" i="26"/>
  <c r="M10" i="26"/>
  <c r="S11" i="26"/>
  <c r="S30" i="26"/>
  <c r="S87" i="26"/>
  <c r="T87" i="26" s="1"/>
  <c r="N53" i="26" l="1"/>
  <c r="N54" i="26" s="1"/>
  <c r="D12" i="1"/>
  <c r="E12" i="1" s="1"/>
  <c r="Q53" i="26"/>
  <c r="Q60" i="26" s="1"/>
  <c r="O129" i="26"/>
  <c r="O136" i="26" s="1"/>
  <c r="O142" i="26" s="1"/>
  <c r="M53" i="26"/>
  <c r="M60" i="26" s="1"/>
  <c r="N129" i="26"/>
  <c r="N136" i="26" s="1"/>
  <c r="N142" i="26" s="1"/>
  <c r="R53" i="26"/>
  <c r="R129" i="26"/>
  <c r="P53" i="26"/>
  <c r="T55" i="26"/>
  <c r="G55" i="11"/>
  <c r="T40" i="26"/>
  <c r="G40" i="11"/>
  <c r="D16" i="1"/>
  <c r="T19" i="26"/>
  <c r="G19" i="11"/>
  <c r="T11" i="26"/>
  <c r="G11" i="11"/>
  <c r="T30" i="26"/>
  <c r="G30" i="11"/>
  <c r="O53" i="26"/>
  <c r="P129" i="26"/>
  <c r="P136" i="26" s="1"/>
  <c r="P142" i="26" s="1"/>
  <c r="S29" i="26"/>
  <c r="G29" i="11" s="1"/>
  <c r="T106" i="26"/>
  <c r="Q129" i="26"/>
  <c r="M129" i="26"/>
  <c r="M136" i="26" s="1"/>
  <c r="M142" i="26" s="1"/>
  <c r="S105" i="26"/>
  <c r="S86" i="26"/>
  <c r="T86" i="26" s="1"/>
  <c r="S10" i="26"/>
  <c r="R130" i="26" l="1"/>
  <c r="R136" i="26"/>
  <c r="R142" i="26" s="1"/>
  <c r="R137" i="26" s="1"/>
  <c r="Q136" i="26"/>
  <c r="Q142" i="26" s="1"/>
  <c r="Q137" i="26" s="1"/>
  <c r="P130" i="26"/>
  <c r="P60" i="26"/>
  <c r="D20" i="1"/>
  <c r="E20" i="1" s="1"/>
  <c r="O130" i="26"/>
  <c r="O60" i="26"/>
  <c r="N130" i="26"/>
  <c r="Q54" i="26"/>
  <c r="N60" i="26"/>
  <c r="M54" i="26"/>
  <c r="R54" i="26"/>
  <c r="R60" i="26"/>
  <c r="R66" i="26" s="1"/>
  <c r="R61" i="26" s="1"/>
  <c r="P54" i="26"/>
  <c r="M66" i="26"/>
  <c r="O54" i="26"/>
  <c r="Q66" i="26"/>
  <c r="Q61" i="26" s="1"/>
  <c r="T29" i="26"/>
  <c r="T10" i="26"/>
  <c r="G10" i="11"/>
  <c r="T105" i="26"/>
  <c r="Q130" i="26"/>
  <c r="M130" i="26"/>
  <c r="S129" i="26"/>
  <c r="T129" i="26" s="1"/>
  <c r="S53" i="26"/>
  <c r="S60" i="26" s="1"/>
  <c r="G11" i="2"/>
  <c r="P60" i="11" l="1"/>
  <c r="P66" i="26"/>
  <c r="P61" i="26" s="1"/>
  <c r="O66" i="26"/>
  <c r="O61" i="26" s="1"/>
  <c r="N66" i="26"/>
  <c r="N61" i="26" s="1"/>
  <c r="M61" i="26"/>
  <c r="I10" i="11"/>
  <c r="T53" i="26"/>
  <c r="G53" i="11"/>
  <c r="S54" i="26"/>
  <c r="S130" i="26"/>
  <c r="T130" i="26" s="1"/>
  <c r="S136" i="26"/>
  <c r="T136" i="26" s="1"/>
  <c r="S66" i="26"/>
  <c r="P137" i="26" l="1"/>
  <c r="O137" i="26"/>
  <c r="N137" i="26"/>
  <c r="M137" i="26"/>
  <c r="Q65" i="11"/>
  <c r="J65" i="11"/>
  <c r="I65" i="11"/>
  <c r="P65" i="11"/>
  <c r="T54" i="26"/>
  <c r="G54" i="11"/>
  <c r="T60" i="26"/>
  <c r="G60" i="11"/>
  <c r="S142" i="26"/>
  <c r="T142" i="26" s="1"/>
  <c r="J19" i="25"/>
  <c r="J11" i="25"/>
  <c r="P61" i="11" l="1"/>
  <c r="J10" i="25"/>
  <c r="S137" i="26"/>
  <c r="T137" i="26" s="1"/>
  <c r="T66" i="26"/>
  <c r="G66" i="11"/>
  <c r="S61" i="26"/>
  <c r="T61" i="26" s="1"/>
  <c r="G61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L60" i="11" l="1"/>
  <c r="O61" i="25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L61" i="11" l="1"/>
  <c r="S61" i="25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4" i="11"/>
  <c r="Q62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3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60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6" i="11" l="1"/>
  <c r="M54" i="11"/>
  <c r="L54" i="11"/>
  <c r="M60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1" i="11" l="1"/>
  <c r="L66" i="11"/>
  <c r="M66" i="11"/>
  <c r="S153" i="19"/>
  <c r="T153" i="19" s="1"/>
  <c r="S60" i="19"/>
  <c r="T60" i="19" s="1"/>
  <c r="G14" i="2"/>
  <c r="M61" i="11" l="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B59" i="11" s="1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B65" i="11" s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S350" i="6" s="1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CZ50" i="6"/>
  <c r="CY50" i="6"/>
  <c r="CX50" i="6"/>
  <c r="DI49" i="6"/>
  <c r="DH49" i="6"/>
  <c r="DG49" i="6"/>
  <c r="DF49" i="6"/>
  <c r="DE49" i="6"/>
  <c r="DD49" i="6"/>
  <c r="DC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DE350" i="6"/>
  <c r="DP385" i="6"/>
  <c r="ED217" i="6" l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CM190" i="6"/>
  <c r="CN190" i="6"/>
  <c r="CP190" i="6"/>
  <c r="CQ190" i="6"/>
  <c r="G276" i="2"/>
  <c r="G275" i="2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60" i="11"/>
  <c r="S64" i="11"/>
  <c r="S63" i="11"/>
  <c r="S58" i="11"/>
  <c r="S48" i="11" s="1"/>
  <c r="S62" i="11"/>
  <c r="CU190" i="6"/>
  <c r="S66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1" i="11" l="1"/>
  <c r="P16" i="11"/>
  <c r="P45" i="11"/>
  <c r="P49" i="11"/>
  <c r="P56" i="11"/>
  <c r="P62" i="11"/>
  <c r="P63" i="11"/>
  <c r="P64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Q46" i="11"/>
  <c r="P129" i="25"/>
  <c r="R130" i="25" l="1"/>
  <c r="R140" i="25"/>
  <c r="R136" i="25" s="1"/>
  <c r="Q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60" i="11"/>
  <c r="J60" i="11"/>
  <c r="I60" i="11"/>
  <c r="T140" i="25" l="1"/>
  <c r="J66" i="11"/>
  <c r="I66" i="11"/>
  <c r="S136" i="25"/>
  <c r="T136" i="25" s="1"/>
  <c r="Q66" i="11"/>
  <c r="P66" i="11"/>
  <c r="Q61" i="11" l="1"/>
  <c r="J61" i="11"/>
  <c r="I6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<sst xmlns="http://schemas.openxmlformats.org/spreadsheetml/2006/main" count="1859" uniqueCount="869">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</sst>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8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4" fillId="3" borderId="30" xfId="0" applyNumberFormat="1" applyFont="1" applyFill="1" applyBorder="1" applyAlignment="1" applyProtection="1">
      <alignment horizontal="center" vertical="center"/>
      <protection hidden="1"/>
    </xf>
    <xf numFmtId="167" fontId="4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4" fillId="3" borderId="33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4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67" fontId="4" fillId="3" borderId="14" xfId="0" applyNumberFormat="1" applyFont="1" applyFill="1" applyBorder="1" applyAlignment="1" applyProtection="1">
      <alignment horizontal="center" vertical="center"/>
      <protection hidden="1"/>
    </xf>
    <xf numFmtId="178" fontId="6" fillId="9" borderId="15" xfId="0" applyNumberFormat="1" applyFont="1" applyFill="1" applyBorder="1" applyAlignment="1">
      <alignment horizontal="center"/>
    </xf>
    <xf numFmtId="167" fontId="66" fillId="3" borderId="14" xfId="0" applyNumberFormat="1" applyFont="1" applyFill="1" applyBorder="1" applyAlignment="1" applyProtection="1">
      <alignment horizontal="center" vertical="center"/>
      <protection hidden="1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133351</xdr:colOff>
      <xdr:row>6</xdr:row>
      <xdr:rowOff>180976</xdr:rowOff>
    </xdr:from>
    <xdr:to>
      <xdr:col>12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januaru mjesecu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153,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2,2%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5,0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manji za 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4,2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8,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mjesecu iznosili su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1,9%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8% dok su u odnosu na isti period 2023. godine veći za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22,1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9,3%.</a:t>
          </a:r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januaru mjesecu 2024. godine zabilježen je suficit budžeta u iznosu od 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16,3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0,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2%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procijenjenog BDP-a.</a:t>
          </a:r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323850</xdr:colOff>
      <xdr:row>6</xdr:row>
      <xdr:rowOff>180976</xdr:rowOff>
    </xdr:from>
    <xdr:to>
      <xdr:col>20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14</xdr:col>
      <xdr:colOff>641306</xdr:colOff>
      <xdr:row>1</xdr:row>
      <xdr:rowOff>122092</xdr:rowOff>
    </xdr:from>
    <xdr:to>
      <xdr:col>17</xdr:col>
      <xdr:colOff>513082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18</xdr:col>
      <xdr:colOff>73260</xdr:colOff>
      <xdr:row>2</xdr:row>
      <xdr:rowOff>9524</xdr:rowOff>
    </xdr:from>
    <xdr:to>
      <xdr:col>20</xdr:col>
      <xdr:colOff>564557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2024-01</v>
      </c>
      <c r="O6" s="128" t="str">
        <f>+CONCATENATE(N6,"p")</f>
        <v>2024-01p</v>
      </c>
      <c r="P6" s="116"/>
      <c r="Q6" s="116"/>
      <c r="R6" s="128" t="str">
        <f>+IF(Master!B3-10&gt;=0,CONCATENATE(Master!B4-1,"-",Master!B3),CONCATENATE(Master!B4-1,"-0",Master!B3))</f>
        <v>2023-01</v>
      </c>
      <c r="S6" s="116"/>
      <c r="T6" s="116"/>
    </row>
    <row r="7" spans="1:20">
      <c r="A7" s="129"/>
      <c r="B7" s="593" t="s">
        <v>691</v>
      </c>
      <c r="C7" s="594"/>
      <c r="D7" s="594"/>
      <c r="E7" s="594"/>
      <c r="F7" s="594"/>
      <c r="G7" s="602" t="s">
        <v>690</v>
      </c>
      <c r="H7" s="603"/>
      <c r="I7" s="603"/>
      <c r="J7" s="603"/>
      <c r="K7" s="603"/>
      <c r="L7" s="603"/>
      <c r="M7" s="604"/>
      <c r="N7" s="605" t="str">
        <f>+Master!G243</f>
        <v>Decembar</v>
      </c>
      <c r="O7" s="603"/>
      <c r="P7" s="603"/>
      <c r="Q7" s="603"/>
      <c r="R7" s="603"/>
      <c r="S7" s="603"/>
      <c r="T7" s="606"/>
    </row>
    <row r="8" spans="1:20">
      <c r="A8" s="129"/>
      <c r="B8" s="595"/>
      <c r="C8" s="596"/>
      <c r="D8" s="596"/>
      <c r="E8" s="596"/>
      <c r="F8" s="597"/>
      <c r="G8" s="130" t="str">
        <f>+Master!G26</f>
        <v>Ostvarenje</v>
      </c>
      <c r="H8" s="130" t="str">
        <f>+Master!G25</f>
        <v>Plan</v>
      </c>
      <c r="I8" s="591" t="str">
        <f>+Master!G261</f>
        <v>Odstupanje</v>
      </c>
      <c r="J8" s="591"/>
      <c r="K8" s="130" t="str">
        <f>+CONCATENATE(Master!G246," ",Master!B4-1)</f>
        <v>Jan - Jan 2023</v>
      </c>
      <c r="L8" s="591" t="str">
        <f>+I8</f>
        <v>Odstupanje</v>
      </c>
      <c r="M8" s="601"/>
      <c r="N8" s="131" t="str">
        <f>+G8</f>
        <v>Ostvarenje</v>
      </c>
      <c r="O8" s="130" t="str">
        <f>+H8</f>
        <v>Plan</v>
      </c>
      <c r="P8" s="591" t="str">
        <f>+I8</f>
        <v>Odstupanje</v>
      </c>
      <c r="Q8" s="591"/>
      <c r="R8" s="130" t="str">
        <f>+CONCATENATE(Master!G245," ",Master!B4-1)</f>
        <v>Januar 2023</v>
      </c>
      <c r="S8" s="591" t="str">
        <f>+P8</f>
        <v>Odstupanje</v>
      </c>
      <c r="T8" s="592"/>
    </row>
    <row r="9" spans="1:20" ht="15.7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61" t="str">
        <f>+VLOOKUP($A10,Master!$D$30:$G$226,4,FALSE)</f>
        <v>Prihodi budžeta</v>
      </c>
      <c r="C10" s="562"/>
      <c r="D10" s="562"/>
      <c r="E10" s="562"/>
      <c r="F10" s="562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65" t="e">
        <f>+VLOOKUP($A18,Master!$D$30:$G$226,4,FALSE)</f>
        <v>#N/A</v>
      </c>
      <c r="C18" s="566"/>
      <c r="D18" s="566"/>
      <c r="E18" s="566"/>
      <c r="F18" s="566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65" t="str">
        <f>+VLOOKUP($A19,Master!$D$30:$G$226,4,FALSE)</f>
        <v>Ostali državni porezi</v>
      </c>
      <c r="C19" s="566"/>
      <c r="D19" s="566"/>
      <c r="E19" s="566"/>
      <c r="F19" s="566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69" t="str">
        <f>+VLOOKUP($A20,Master!$D$30:$G$226,4,FALSE)</f>
        <v>Doprinosi</v>
      </c>
      <c r="C20" s="570"/>
      <c r="D20" s="570"/>
      <c r="E20" s="570"/>
      <c r="F20" s="570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65" t="str">
        <f>+VLOOKUP($A21,Master!$D$30:$G$226,4,FALSE)</f>
        <v>Doprinosi za penzijsko i invalidsko osiguranje</v>
      </c>
      <c r="C21" s="566"/>
      <c r="D21" s="566"/>
      <c r="E21" s="566"/>
      <c r="F21" s="566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65" t="str">
        <f>+VLOOKUP($A22,Master!$D$30:$G$226,4,FALSE)</f>
        <v>Doprinosi za zdravstveno osiguranje</v>
      </c>
      <c r="C22" s="566"/>
      <c r="D22" s="566"/>
      <c r="E22" s="566"/>
      <c r="F22" s="566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65" t="str">
        <f>+VLOOKUP($A23,Master!$D$30:$G$226,4,FALSE)</f>
        <v>Doprinosi za osiguranje od nezaposlenosti</v>
      </c>
      <c r="C23" s="566"/>
      <c r="D23" s="566"/>
      <c r="E23" s="566"/>
      <c r="F23" s="566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65" t="str">
        <f>+VLOOKUP($A24,Master!$D$30:$G$226,4,FALSE)</f>
        <v>Ostali doprinosi</v>
      </c>
      <c r="C24" s="566"/>
      <c r="D24" s="566"/>
      <c r="E24" s="566"/>
      <c r="F24" s="566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67" t="str">
        <f>+VLOOKUP($A25,Master!$D$30:$G$226,4,FALSE)</f>
        <v>Takse</v>
      </c>
      <c r="C25" s="568"/>
      <c r="D25" s="568"/>
      <c r="E25" s="568"/>
      <c r="F25" s="568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67" t="str">
        <f>+VLOOKUP($A26,Master!$D$30:$G$226,4,FALSE)</f>
        <v>Naknade</v>
      </c>
      <c r="C26" s="568"/>
      <c r="D26" s="568"/>
      <c r="E26" s="568"/>
      <c r="F26" s="568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67" t="str">
        <f>+VLOOKUP($A27,Master!$D$30:$G$226,4,FALSE)</f>
        <v>Ostali prihodi</v>
      </c>
      <c r="C27" s="568"/>
      <c r="D27" s="568"/>
      <c r="E27" s="568"/>
      <c r="F27" s="568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67" t="str">
        <f>+VLOOKUP($A28,Master!$D$30:$G$226,4,FALSE)</f>
        <v>Primici od otplate kredita i sredstva prenesena iz prethodne godine</v>
      </c>
      <c r="C28" s="568"/>
      <c r="D28" s="568"/>
      <c r="E28" s="568"/>
      <c r="F28" s="568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71" t="str">
        <f>+VLOOKUP($A29,Master!$D$30:$G$226,4,FALSE)</f>
        <v>Donacije i transferi</v>
      </c>
      <c r="C29" s="572"/>
      <c r="D29" s="572"/>
      <c r="E29" s="572"/>
      <c r="F29" s="572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3" t="str">
        <f>+VLOOKUP($A30,Master!$D$30:$G$226,4,FALSE)</f>
        <v>Izdaci budžeta</v>
      </c>
      <c r="C30" s="574"/>
      <c r="D30" s="574"/>
      <c r="E30" s="574"/>
      <c r="F30" s="574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75" t="str">
        <f>+VLOOKUP($A31,Master!$D$30:$G$226,4,FALSE)</f>
        <v>Tekući izdaci</v>
      </c>
      <c r="C31" s="576"/>
      <c r="D31" s="576"/>
      <c r="E31" s="576"/>
      <c r="F31" s="576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77" t="str">
        <f>+VLOOKUP($A32,Master!$D$30:$G$226,4,FALSE)</f>
        <v>Tekuća budžetska potrošnja</v>
      </c>
      <c r="C32" s="578"/>
      <c r="D32" s="578"/>
      <c r="E32" s="578"/>
      <c r="F32" s="578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65" t="str">
        <f>+VLOOKUP($A33,Master!$D$30:$G$226,4,FALSE)</f>
        <v>Bruto zarade i doprinosi na teret poslodavca</v>
      </c>
      <c r="C33" s="566"/>
      <c r="D33" s="566"/>
      <c r="E33" s="566"/>
      <c r="F33" s="566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65" t="str">
        <f>+VLOOKUP($A34,Master!$D$30:$G$226,4,FALSE)</f>
        <v>Ostala lična primanja</v>
      </c>
      <c r="C34" s="566"/>
      <c r="D34" s="566"/>
      <c r="E34" s="566"/>
      <c r="F34" s="566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65" t="str">
        <f>+VLOOKUP($A35,Master!$D$30:$G$226,4,FALSE)</f>
        <v>Rashodi za materijal</v>
      </c>
      <c r="C35" s="566"/>
      <c r="D35" s="566"/>
      <c r="E35" s="566"/>
      <c r="F35" s="566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65" t="str">
        <f>+VLOOKUP($A36,Master!$D$30:$G$226,4,FALSE)</f>
        <v>Rashodi za usluge</v>
      </c>
      <c r="C36" s="566"/>
      <c r="D36" s="566"/>
      <c r="E36" s="566"/>
      <c r="F36" s="566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65" t="str">
        <f>+VLOOKUP($A37,Master!$D$30:$G$226,4,FALSE)</f>
        <v>Rashodi za tekuće održavanje</v>
      </c>
      <c r="C37" s="566"/>
      <c r="D37" s="566"/>
      <c r="E37" s="566"/>
      <c r="F37" s="566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65" t="str">
        <f>+VLOOKUP($A38,Master!$D$30:$G$226,4,FALSE)</f>
        <v>Kamate</v>
      </c>
      <c r="C38" s="566"/>
      <c r="D38" s="566"/>
      <c r="E38" s="566"/>
      <c r="F38" s="566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65" t="str">
        <f>+VLOOKUP($A39,Master!$D$30:$G$226,4,FALSE)</f>
        <v>Renta</v>
      </c>
      <c r="C39" s="566"/>
      <c r="D39" s="566"/>
      <c r="E39" s="566"/>
      <c r="F39" s="566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65" t="str">
        <f>+VLOOKUP($A40,Master!$D$30:$G$226,4,FALSE)</f>
        <v>Subvencije</v>
      </c>
      <c r="C40" s="566"/>
      <c r="D40" s="566"/>
      <c r="E40" s="566"/>
      <c r="F40" s="566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65" t="str">
        <f>+VLOOKUP($A41,Master!$D$30:$G$226,4,FALSE)</f>
        <v>Ostali izdaci</v>
      </c>
      <c r="C41" s="566"/>
      <c r="D41" s="566"/>
      <c r="E41" s="566"/>
      <c r="F41" s="566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65" t="e">
        <f>+VLOOKUP($A42,Master!$D$30:$G$226,4,FALSE)</f>
        <v>#N/A</v>
      </c>
      <c r="C42" s="566"/>
      <c r="D42" s="566"/>
      <c r="E42" s="566"/>
      <c r="F42" s="566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1" t="str">
        <f>+VLOOKUP($A43,Master!$D$30:$G$226,4,FALSE)</f>
        <v>Transferi za socijalnu zaštitu</v>
      </c>
      <c r="C43" s="582"/>
      <c r="D43" s="582"/>
      <c r="E43" s="582"/>
      <c r="F43" s="582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65" t="str">
        <f>+VLOOKUP($A44,Master!$D$30:$G$226,4,FALSE)</f>
        <v>Prava iz oblasti socijalne zaštite</v>
      </c>
      <c r="C44" s="566"/>
      <c r="D44" s="566"/>
      <c r="E44" s="566"/>
      <c r="F44" s="566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65" t="str">
        <f>+VLOOKUP($A45,Master!$D$30:$G$226,4,FALSE)</f>
        <v>Sredstva za tehnološke viškove</v>
      </c>
      <c r="C45" s="566"/>
      <c r="D45" s="566"/>
      <c r="E45" s="566"/>
      <c r="F45" s="566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65" t="str">
        <f>+VLOOKUP($A46,Master!$D$30:$G$226,4,FALSE)</f>
        <v>Prava iz oblasti penzijskog i invalidskog osiguranja</v>
      </c>
      <c r="C46" s="566"/>
      <c r="D46" s="566"/>
      <c r="E46" s="566"/>
      <c r="F46" s="566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65" t="str">
        <f>+VLOOKUP($A47,Master!$D$30:$G$226,4,FALSE)</f>
        <v>Ostala prava iz oblasti zdravstvene zaštite</v>
      </c>
      <c r="C47" s="566"/>
      <c r="D47" s="566"/>
      <c r="E47" s="566"/>
      <c r="F47" s="566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65" t="str">
        <f>+VLOOKUP($A48,Master!$D$30:$G$226,4,FALSE)</f>
        <v>Ostala prava iz zdravstvenog osiguranja</v>
      </c>
      <c r="C48" s="566"/>
      <c r="D48" s="566"/>
      <c r="E48" s="566"/>
      <c r="F48" s="566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79" t="str">
        <f>+VLOOKUP($A49,Master!$D$30:$G$226,4,FALSE)</f>
        <v xml:space="preserve">Transferi institucijama, pojedincima, nevladinom i javnom sektoru </v>
      </c>
      <c r="C49" s="580"/>
      <c r="D49" s="580"/>
      <c r="E49" s="580"/>
      <c r="F49" s="580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79" t="str">
        <f>+VLOOKUP($A50,Master!$D$30:$G$226,4,FALSE)</f>
        <v>Kapitalni izdaci</v>
      </c>
      <c r="C50" s="580"/>
      <c r="D50" s="580"/>
      <c r="E50" s="580"/>
      <c r="F50" s="580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83" t="str">
        <f>+VLOOKUP($A51,Master!$D$30:$G$226,4,FALSE)</f>
        <v>Pozajmice i krediti</v>
      </c>
      <c r="C51" s="584"/>
      <c r="D51" s="584"/>
      <c r="E51" s="584"/>
      <c r="F51" s="584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83" t="str">
        <f>+VLOOKUP($A52,Master!$D$30:$G$226,4,FALSE)</f>
        <v>Rezerve</v>
      </c>
      <c r="C52" s="584"/>
      <c r="D52" s="584"/>
      <c r="E52" s="584"/>
      <c r="F52" s="584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5" t="str">
        <f>+VLOOKUP($A53,Master!$D$30:$G$226,4,FALSE)</f>
        <v>Otplata garancija</v>
      </c>
      <c r="C53" s="586"/>
      <c r="D53" s="586"/>
      <c r="E53" s="586"/>
      <c r="F53" s="586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5" t="str">
        <f>+VLOOKUP($A54,Master!$D$30:$G$226,4,FALSE)</f>
        <v>Otplata obaveza iz prethodnog perioda</v>
      </c>
      <c r="C54" s="586"/>
      <c r="D54" s="586"/>
      <c r="E54" s="586"/>
      <c r="F54" s="586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5" t="str">
        <f>+VLOOKUP($A55,Master!$D$30:$G$228,4,FALSE)</f>
        <v>Neto povećanje obaveza</v>
      </c>
      <c r="C55" s="586"/>
      <c r="D55" s="586"/>
      <c r="E55" s="586"/>
      <c r="F55" s="586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7" t="str">
        <f>+VLOOKUP($A56,Master!$D$30:$G$226,4,FALSE)</f>
        <v>Suficit / deficit</v>
      </c>
      <c r="C56" s="588"/>
      <c r="D56" s="588"/>
      <c r="E56" s="588"/>
      <c r="F56" s="588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9" t="str">
        <f>+VLOOKUP($A57,Master!$D$30:$G$226,4,FALSE)</f>
        <v>Primarni suficit/deficit</v>
      </c>
      <c r="C57" s="590"/>
      <c r="D57" s="590"/>
      <c r="E57" s="590"/>
      <c r="F57" s="590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1" t="str">
        <f>+VLOOKUP($A58,Master!$D$30:$G$226,4,FALSE)</f>
        <v>Otplata dugova</v>
      </c>
      <c r="C58" s="582"/>
      <c r="D58" s="582"/>
      <c r="E58" s="582"/>
      <c r="F58" s="582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07" t="str">
        <f>+VLOOKUP($A59,Master!$D$30:$G$226,4,FALSE)</f>
        <v>Otplata hartija od vrijednosti i kredita rezidentima</v>
      </c>
      <c r="C59" s="608"/>
      <c r="D59" s="608"/>
      <c r="E59" s="608"/>
      <c r="F59" s="608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83" t="str">
        <f>+VLOOKUP($A60,Master!$D$30:$G$226,4,FALSE)</f>
        <v>Otplata hartija od vrijednosti i kredita nerezidentima</v>
      </c>
      <c r="C60" s="584"/>
      <c r="D60" s="584"/>
      <c r="E60" s="584"/>
      <c r="F60" s="584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09" t="str">
        <f>+VLOOKUP($A62,Master!$D$30:$G$226,4,FALSE)</f>
        <v>Nedostajuća sredstva</v>
      </c>
      <c r="C62" s="610"/>
      <c r="D62" s="610"/>
      <c r="E62" s="610"/>
      <c r="F62" s="610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3" t="str">
        <f>+VLOOKUP($A63,Master!$D$30:$G$226,4,FALSE)</f>
        <v>Finansiranje</v>
      </c>
      <c r="C63" s="574"/>
      <c r="D63" s="574"/>
      <c r="E63" s="574"/>
      <c r="F63" s="574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07" t="str">
        <f>+VLOOKUP($A64,Master!$D$30:$G$226,4,FALSE)</f>
        <v>Pozajmice i krediti od domaćih izvora</v>
      </c>
      <c r="C64" s="608"/>
      <c r="D64" s="608"/>
      <c r="E64" s="608"/>
      <c r="F64" s="608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83" t="str">
        <f>+VLOOKUP($A65,Master!$D$30:$G$226,4,FALSE)</f>
        <v>Pozajmice i krediti od inostranih izvora</v>
      </c>
      <c r="C65" s="584"/>
      <c r="D65" s="584"/>
      <c r="E65" s="584"/>
      <c r="F65" s="584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83" t="str">
        <f>+VLOOKUP($A66,Master!$D$30:$G$226,4,FALSE)</f>
        <v>Primici od prodaje imovine</v>
      </c>
      <c r="C66" s="584"/>
      <c r="D66" s="584"/>
      <c r="E66" s="584"/>
      <c r="F66" s="584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93" t="s">
        <v>553</v>
      </c>
      <c r="C7" s="594"/>
      <c r="D7" s="594"/>
      <c r="E7" s="594"/>
      <c r="F7" s="594"/>
      <c r="G7" s="602">
        <v>2018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">
        <v>419</v>
      </c>
      <c r="T7" s="221">
        <v>4663130000</v>
      </c>
    </row>
    <row r="8" spans="1:20" ht="16.5" customHeight="1">
      <c r="A8" s="129"/>
      <c r="B8" s="595"/>
      <c r="C8" s="596"/>
      <c r="D8" s="596"/>
      <c r="E8" s="596"/>
      <c r="F8" s="597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2" t="s">
        <v>806</v>
      </c>
      <c r="T8" s="606"/>
    </row>
    <row r="9" spans="1:20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1" t="s">
        <v>680</v>
      </c>
      <c r="C10" s="562"/>
      <c r="D10" s="562"/>
      <c r="E10" s="562"/>
      <c r="F10" s="562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63" t="s">
        <v>21</v>
      </c>
      <c r="C11" s="564"/>
      <c r="D11" s="564"/>
      <c r="E11" s="564"/>
      <c r="F11" s="564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65" t="s">
        <v>23</v>
      </c>
      <c r="C12" s="566"/>
      <c r="D12" s="566"/>
      <c r="E12" s="566"/>
      <c r="F12" s="566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65" t="s">
        <v>25</v>
      </c>
      <c r="C13" s="566"/>
      <c r="D13" s="566"/>
      <c r="E13" s="566"/>
      <c r="F13" s="566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65" t="s">
        <v>27</v>
      </c>
      <c r="C14" s="566"/>
      <c r="D14" s="566"/>
      <c r="E14" s="566"/>
      <c r="F14" s="566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65" t="s">
        <v>29</v>
      </c>
      <c r="C15" s="566"/>
      <c r="D15" s="566"/>
      <c r="E15" s="566"/>
      <c r="F15" s="566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65" t="s">
        <v>31</v>
      </c>
      <c r="C16" s="566"/>
      <c r="D16" s="566"/>
      <c r="E16" s="566"/>
      <c r="F16" s="566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65" t="s">
        <v>33</v>
      </c>
      <c r="C17" s="566"/>
      <c r="D17" s="566"/>
      <c r="E17" s="566"/>
      <c r="F17" s="566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65" t="s">
        <v>721</v>
      </c>
      <c r="C18" s="566"/>
      <c r="D18" s="566"/>
      <c r="E18" s="566"/>
      <c r="F18" s="566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69" t="s">
        <v>37</v>
      </c>
      <c r="C19" s="570"/>
      <c r="D19" s="570"/>
      <c r="E19" s="570"/>
      <c r="F19" s="570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65" t="s">
        <v>39</v>
      </c>
      <c r="C20" s="566"/>
      <c r="D20" s="566"/>
      <c r="E20" s="566"/>
      <c r="F20" s="566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65" t="s">
        <v>41</v>
      </c>
      <c r="C21" s="566"/>
      <c r="D21" s="566"/>
      <c r="E21" s="566"/>
      <c r="F21" s="566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65" t="s">
        <v>43</v>
      </c>
      <c r="C22" s="566"/>
      <c r="D22" s="566"/>
      <c r="E22" s="566"/>
      <c r="F22" s="566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65" t="s">
        <v>45</v>
      </c>
      <c r="C23" s="566"/>
      <c r="D23" s="566"/>
      <c r="E23" s="566"/>
      <c r="F23" s="566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67" t="s">
        <v>47</v>
      </c>
      <c r="C24" s="568"/>
      <c r="D24" s="568"/>
      <c r="E24" s="568"/>
      <c r="F24" s="568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67" t="s">
        <v>61</v>
      </c>
      <c r="C25" s="568"/>
      <c r="D25" s="568"/>
      <c r="E25" s="568"/>
      <c r="F25" s="568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67" t="s">
        <v>81</v>
      </c>
      <c r="C26" s="568"/>
      <c r="D26" s="568"/>
      <c r="E26" s="568"/>
      <c r="F26" s="568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67" t="s">
        <v>99</v>
      </c>
      <c r="C27" s="568"/>
      <c r="D27" s="568"/>
      <c r="E27" s="568"/>
      <c r="F27" s="568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71" t="s">
        <v>105</v>
      </c>
      <c r="C28" s="572"/>
      <c r="D28" s="572"/>
      <c r="E28" s="572"/>
      <c r="F28" s="572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3" t="s">
        <v>801</v>
      </c>
      <c r="C29" s="574"/>
      <c r="D29" s="574"/>
      <c r="E29" s="574"/>
      <c r="F29" s="574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75" t="s">
        <v>773</v>
      </c>
      <c r="C30" s="576"/>
      <c r="D30" s="576"/>
      <c r="E30" s="576"/>
      <c r="F30" s="576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77" t="s">
        <v>120</v>
      </c>
      <c r="C31" s="578"/>
      <c r="D31" s="578"/>
      <c r="E31" s="578"/>
      <c r="F31" s="578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65" t="s">
        <v>122</v>
      </c>
      <c r="C32" s="566"/>
      <c r="D32" s="566"/>
      <c r="E32" s="566"/>
      <c r="F32" s="566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65" t="s">
        <v>133</v>
      </c>
      <c r="C33" s="566"/>
      <c r="D33" s="566"/>
      <c r="E33" s="566"/>
      <c r="F33" s="566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65" t="s">
        <v>148</v>
      </c>
      <c r="C34" s="566"/>
      <c r="D34" s="566"/>
      <c r="E34" s="566"/>
      <c r="F34" s="566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65" t="s">
        <v>162</v>
      </c>
      <c r="C35" s="566"/>
      <c r="D35" s="566"/>
      <c r="E35" s="566"/>
      <c r="F35" s="566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65" t="s">
        <v>182</v>
      </c>
      <c r="C36" s="566"/>
      <c r="D36" s="566"/>
      <c r="E36" s="566"/>
      <c r="F36" s="566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65" t="s">
        <v>190</v>
      </c>
      <c r="C37" s="566"/>
      <c r="D37" s="566"/>
      <c r="E37" s="566"/>
      <c r="F37" s="566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65" t="s">
        <v>196</v>
      </c>
      <c r="C38" s="566"/>
      <c r="D38" s="566"/>
      <c r="E38" s="566"/>
      <c r="F38" s="566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65" t="s">
        <v>204</v>
      </c>
      <c r="C39" s="566"/>
      <c r="D39" s="566"/>
      <c r="E39" s="566"/>
      <c r="F39" s="566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65" t="s">
        <v>212</v>
      </c>
      <c r="C40" s="566"/>
      <c r="D40" s="566"/>
      <c r="E40" s="566"/>
      <c r="F40" s="566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65" t="s">
        <v>802</v>
      </c>
      <c r="C41" s="566"/>
      <c r="D41" s="566"/>
      <c r="E41" s="566"/>
      <c r="F41" s="566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1" t="s">
        <v>230</v>
      </c>
      <c r="C42" s="582"/>
      <c r="D42" s="582"/>
      <c r="E42" s="582"/>
      <c r="F42" s="582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65" t="s">
        <v>232</v>
      </c>
      <c r="C43" s="566"/>
      <c r="D43" s="566"/>
      <c r="E43" s="566"/>
      <c r="F43" s="566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65" t="s">
        <v>248</v>
      </c>
      <c r="C44" s="566"/>
      <c r="D44" s="566"/>
      <c r="E44" s="566"/>
      <c r="F44" s="566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65" t="s">
        <v>259</v>
      </c>
      <c r="C45" s="566"/>
      <c r="D45" s="566"/>
      <c r="E45" s="566"/>
      <c r="F45" s="566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65" t="s">
        <v>274</v>
      </c>
      <c r="C46" s="566"/>
      <c r="D46" s="566"/>
      <c r="E46" s="566"/>
      <c r="F46" s="566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2" t="s">
        <v>278</v>
      </c>
      <c r="C47" s="673"/>
      <c r="D47" s="673"/>
      <c r="E47" s="673"/>
      <c r="F47" s="673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79" t="s">
        <v>286</v>
      </c>
      <c r="C48" s="580"/>
      <c r="D48" s="580"/>
      <c r="E48" s="580"/>
      <c r="F48" s="580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79" t="s">
        <v>320</v>
      </c>
      <c r="C49" s="580"/>
      <c r="D49" s="580"/>
      <c r="E49" s="580"/>
      <c r="F49" s="580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58" t="s">
        <v>113</v>
      </c>
      <c r="C50" s="659"/>
      <c r="D50" s="659"/>
      <c r="E50" s="659"/>
      <c r="F50" s="659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83" t="s">
        <v>366</v>
      </c>
      <c r="C51" s="584"/>
      <c r="D51" s="584"/>
      <c r="E51" s="584"/>
      <c r="F51" s="584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5" t="s">
        <v>359</v>
      </c>
      <c r="C52" s="586"/>
      <c r="D52" s="586"/>
      <c r="E52" s="586"/>
      <c r="F52" s="586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52" t="s">
        <v>794</v>
      </c>
      <c r="C53" s="653"/>
      <c r="D53" s="653"/>
      <c r="E53" s="653"/>
      <c r="F53" s="653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54" t="s">
        <v>684</v>
      </c>
      <c r="C54" s="655"/>
      <c r="D54" s="655"/>
      <c r="E54" s="655"/>
      <c r="F54" s="655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7" t="s">
        <v>545</v>
      </c>
      <c r="C55" s="588"/>
      <c r="D55" s="588"/>
      <c r="E55" s="588"/>
      <c r="F55" s="588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9" t="s">
        <v>793</v>
      </c>
      <c r="C57" s="590"/>
      <c r="D57" s="590"/>
      <c r="E57" s="590"/>
      <c r="F57" s="590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1" t="s">
        <v>352</v>
      </c>
      <c r="C58" s="612"/>
      <c r="D58" s="612"/>
      <c r="E58" s="612"/>
      <c r="F58" s="612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07" t="s">
        <v>355</v>
      </c>
      <c r="C59" s="608"/>
      <c r="D59" s="608"/>
      <c r="E59" s="608"/>
      <c r="F59" s="608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83" t="s">
        <v>357</v>
      </c>
      <c r="C60" s="584"/>
      <c r="D60" s="584"/>
      <c r="E60" s="584"/>
      <c r="F60" s="584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4" t="s">
        <v>336</v>
      </c>
      <c r="C61" s="675"/>
      <c r="D61" s="675"/>
      <c r="E61" s="675"/>
      <c r="F61" s="675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09" t="s">
        <v>543</v>
      </c>
      <c r="C62" s="610"/>
      <c r="D62" s="610"/>
      <c r="E62" s="610"/>
      <c r="F62" s="610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3" t="s">
        <v>544</v>
      </c>
      <c r="C63" s="574"/>
      <c r="D63" s="574"/>
      <c r="E63" s="574"/>
      <c r="F63" s="574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07" t="s">
        <v>114</v>
      </c>
      <c r="C64" s="608"/>
      <c r="D64" s="608"/>
      <c r="E64" s="608"/>
      <c r="F64" s="608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83" t="s">
        <v>116</v>
      </c>
      <c r="C65" s="584"/>
      <c r="D65" s="584"/>
      <c r="E65" s="584"/>
      <c r="F65" s="584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83" t="s">
        <v>93</v>
      </c>
      <c r="C66" s="584"/>
      <c r="D66" s="584"/>
      <c r="E66" s="584"/>
      <c r="F66" s="584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9" t="s">
        <v>551</v>
      </c>
      <c r="C103" s="640"/>
      <c r="D103" s="640"/>
      <c r="E103" s="640"/>
      <c r="F103" s="640"/>
      <c r="G103" s="647">
        <v>2018</v>
      </c>
      <c r="H103" s="648"/>
      <c r="I103" s="648"/>
      <c r="J103" s="648"/>
      <c r="K103" s="648"/>
      <c r="L103" s="648"/>
      <c r="M103" s="648"/>
      <c r="N103" s="648"/>
      <c r="O103" s="648"/>
      <c r="P103" s="648"/>
      <c r="Q103" s="648"/>
      <c r="R103" s="649"/>
      <c r="S103" s="96" t="str">
        <f>+S7</f>
        <v>BDP</v>
      </c>
      <c r="T103" s="97">
        <f>+T7</f>
        <v>4663130000</v>
      </c>
    </row>
    <row r="104" spans="1:21" ht="15.75" customHeight="1">
      <c r="B104" s="641"/>
      <c r="C104" s="642"/>
      <c r="D104" s="642"/>
      <c r="E104" s="642"/>
      <c r="F104" s="643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47" t="s">
        <v>806</v>
      </c>
      <c r="T104" s="649">
        <f>+T8</f>
        <v>0</v>
      </c>
    </row>
    <row r="105" spans="1:21" ht="13.5" thickBot="1">
      <c r="B105" s="644"/>
      <c r="C105" s="645"/>
      <c r="D105" s="645"/>
      <c r="E105" s="645"/>
      <c r="F105" s="646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2" t="s">
        <v>680</v>
      </c>
      <c r="C106" s="663"/>
      <c r="D106" s="663"/>
      <c r="E106" s="663"/>
      <c r="F106" s="663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7" t="s">
        <v>21</v>
      </c>
      <c r="C107" s="638"/>
      <c r="D107" s="638"/>
      <c r="E107" s="638"/>
      <c r="F107" s="638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9" t="s">
        <v>23</v>
      </c>
      <c r="C108" s="630"/>
      <c r="D108" s="630"/>
      <c r="E108" s="630"/>
      <c r="F108" s="630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9" t="s">
        <v>25</v>
      </c>
      <c r="C109" s="630"/>
      <c r="D109" s="630"/>
      <c r="E109" s="630"/>
      <c r="F109" s="630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9" t="s">
        <v>27</v>
      </c>
      <c r="C110" s="630"/>
      <c r="D110" s="630"/>
      <c r="E110" s="630"/>
      <c r="F110" s="630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9" t="s">
        <v>29</v>
      </c>
      <c r="C111" s="630"/>
      <c r="D111" s="630"/>
      <c r="E111" s="630"/>
      <c r="F111" s="630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9" t="s">
        <v>31</v>
      </c>
      <c r="C112" s="630"/>
      <c r="D112" s="630"/>
      <c r="E112" s="630"/>
      <c r="F112" s="630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9" t="s">
        <v>33</v>
      </c>
      <c r="C113" s="630"/>
      <c r="D113" s="630"/>
      <c r="E113" s="630"/>
      <c r="F113" s="630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9" t="s">
        <v>721</v>
      </c>
      <c r="C114" s="630"/>
      <c r="D114" s="630"/>
      <c r="E114" s="630"/>
      <c r="F114" s="630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4" t="s">
        <v>37</v>
      </c>
      <c r="C115" s="665"/>
      <c r="D115" s="665"/>
      <c r="E115" s="665"/>
      <c r="F115" s="665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9" t="s">
        <v>39</v>
      </c>
      <c r="C116" s="630"/>
      <c r="D116" s="630"/>
      <c r="E116" s="630"/>
      <c r="F116" s="630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9" t="s">
        <v>41</v>
      </c>
      <c r="C117" s="630"/>
      <c r="D117" s="630"/>
      <c r="E117" s="630"/>
      <c r="F117" s="630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9" t="s">
        <v>43</v>
      </c>
      <c r="C118" s="630"/>
      <c r="D118" s="630"/>
      <c r="E118" s="630"/>
      <c r="F118" s="630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9" t="s">
        <v>45</v>
      </c>
      <c r="C119" s="630"/>
      <c r="D119" s="630"/>
      <c r="E119" s="630"/>
      <c r="F119" s="630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5" t="s">
        <v>47</v>
      </c>
      <c r="C120" s="636"/>
      <c r="D120" s="636"/>
      <c r="E120" s="636"/>
      <c r="F120" s="636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5" t="s">
        <v>61</v>
      </c>
      <c r="C121" s="636"/>
      <c r="D121" s="636"/>
      <c r="E121" s="636"/>
      <c r="F121" s="636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5" t="s">
        <v>81</v>
      </c>
      <c r="C122" s="636"/>
      <c r="D122" s="636"/>
      <c r="E122" s="636"/>
      <c r="F122" s="636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5" t="s">
        <v>99</v>
      </c>
      <c r="C123" s="636"/>
      <c r="D123" s="636"/>
      <c r="E123" s="636"/>
      <c r="F123" s="636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1" t="s">
        <v>105</v>
      </c>
      <c r="C124" s="632"/>
      <c r="D124" s="632"/>
      <c r="E124" s="632"/>
      <c r="F124" s="632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13" t="s">
        <v>808</v>
      </c>
      <c r="C125" s="614"/>
      <c r="D125" s="614"/>
      <c r="E125" s="614"/>
      <c r="F125" s="614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8" t="s">
        <v>773</v>
      </c>
      <c r="C126" s="669"/>
      <c r="D126" s="669"/>
      <c r="E126" s="669"/>
      <c r="F126" s="669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33" t="s">
        <v>120</v>
      </c>
      <c r="C127" s="634"/>
      <c r="D127" s="634"/>
      <c r="E127" s="634"/>
      <c r="F127" s="634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9" t="s">
        <v>122</v>
      </c>
      <c r="C128" s="630"/>
      <c r="D128" s="630"/>
      <c r="E128" s="630"/>
      <c r="F128" s="630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9" t="s">
        <v>133</v>
      </c>
      <c r="C129" s="630"/>
      <c r="D129" s="630"/>
      <c r="E129" s="630"/>
      <c r="F129" s="630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9" t="s">
        <v>148</v>
      </c>
      <c r="C130" s="630"/>
      <c r="D130" s="630"/>
      <c r="E130" s="630"/>
      <c r="F130" s="630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9" t="s">
        <v>162</v>
      </c>
      <c r="C131" s="630"/>
      <c r="D131" s="630"/>
      <c r="E131" s="630"/>
      <c r="F131" s="630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9" t="s">
        <v>182</v>
      </c>
      <c r="C132" s="630"/>
      <c r="D132" s="630"/>
      <c r="E132" s="630"/>
      <c r="F132" s="630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9" t="s">
        <v>190</v>
      </c>
      <c r="C133" s="630"/>
      <c r="D133" s="630"/>
      <c r="E133" s="630"/>
      <c r="F133" s="630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9" t="s">
        <v>196</v>
      </c>
      <c r="C134" s="630"/>
      <c r="D134" s="630"/>
      <c r="E134" s="630"/>
      <c r="F134" s="630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9" t="s">
        <v>204</v>
      </c>
      <c r="C135" s="630"/>
      <c r="D135" s="630"/>
      <c r="E135" s="630"/>
      <c r="F135" s="630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9" t="s">
        <v>212</v>
      </c>
      <c r="C136" s="630"/>
      <c r="D136" s="630"/>
      <c r="E136" s="630"/>
      <c r="F136" s="630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9" t="s">
        <v>802</v>
      </c>
      <c r="C137" s="630"/>
      <c r="D137" s="630"/>
      <c r="E137" s="630"/>
      <c r="F137" s="630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25" t="s">
        <v>230</v>
      </c>
      <c r="C138" s="626"/>
      <c r="D138" s="626"/>
      <c r="E138" s="626"/>
      <c r="F138" s="626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9" t="s">
        <v>232</v>
      </c>
      <c r="C139" s="630"/>
      <c r="D139" s="630"/>
      <c r="E139" s="630"/>
      <c r="F139" s="630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9" t="s">
        <v>248</v>
      </c>
      <c r="C140" s="630"/>
      <c r="D140" s="630"/>
      <c r="E140" s="630"/>
      <c r="F140" s="630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9" t="s">
        <v>259</v>
      </c>
      <c r="C141" s="630"/>
      <c r="D141" s="630"/>
      <c r="E141" s="630"/>
      <c r="F141" s="630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9" t="s">
        <v>274</v>
      </c>
      <c r="C142" s="630"/>
      <c r="D142" s="630"/>
      <c r="E142" s="630"/>
      <c r="F142" s="630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9" t="s">
        <v>278</v>
      </c>
      <c r="C143" s="630"/>
      <c r="D143" s="630"/>
      <c r="E143" s="630"/>
      <c r="F143" s="630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27" t="s">
        <v>286</v>
      </c>
      <c r="C144" s="628"/>
      <c r="D144" s="628"/>
      <c r="E144" s="628"/>
      <c r="F144" s="628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27" t="s">
        <v>809</v>
      </c>
      <c r="C145" s="628"/>
      <c r="D145" s="628"/>
      <c r="E145" s="628"/>
      <c r="F145" s="628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19" t="s">
        <v>113</v>
      </c>
      <c r="C146" s="620"/>
      <c r="D146" s="620"/>
      <c r="E146" s="620"/>
      <c r="F146" s="620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19" t="s">
        <v>366</v>
      </c>
      <c r="C147" s="620"/>
      <c r="D147" s="620"/>
      <c r="E147" s="620"/>
      <c r="F147" s="620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19" t="s">
        <v>359</v>
      </c>
      <c r="C148" s="620"/>
      <c r="D148" s="620"/>
      <c r="E148" s="620"/>
      <c r="F148" s="620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21" t="s">
        <v>545</v>
      </c>
      <c r="C150" s="622"/>
      <c r="D150" s="622"/>
      <c r="E150" s="622"/>
      <c r="F150" s="622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23" t="s">
        <v>810</v>
      </c>
      <c r="C151" s="624"/>
      <c r="D151" s="624"/>
      <c r="E151" s="624"/>
      <c r="F151" s="624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25" t="s">
        <v>352</v>
      </c>
      <c r="C152" s="626"/>
      <c r="D152" s="626"/>
      <c r="E152" s="626"/>
      <c r="F152" s="626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17" t="s">
        <v>355</v>
      </c>
      <c r="C153" s="618"/>
      <c r="D153" s="618"/>
      <c r="E153" s="618"/>
      <c r="F153" s="618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19" t="s">
        <v>357</v>
      </c>
      <c r="C154" s="620"/>
      <c r="D154" s="620"/>
      <c r="E154" s="620"/>
      <c r="F154" s="620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19" t="s">
        <v>365</v>
      </c>
      <c r="C155" s="620"/>
      <c r="D155" s="620"/>
      <c r="E155" s="620"/>
      <c r="F155" s="620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15" t="s">
        <v>543</v>
      </c>
      <c r="C157" s="616"/>
      <c r="D157" s="616"/>
      <c r="E157" s="616"/>
      <c r="F157" s="616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13" t="s">
        <v>544</v>
      </c>
      <c r="C158" s="614"/>
      <c r="D158" s="614"/>
      <c r="E158" s="614"/>
      <c r="F158" s="614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17" t="s">
        <v>114</v>
      </c>
      <c r="C159" s="618"/>
      <c r="D159" s="618"/>
      <c r="E159" s="618"/>
      <c r="F159" s="618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19" t="s">
        <v>116</v>
      </c>
      <c r="C160" s="620"/>
      <c r="D160" s="620"/>
      <c r="E160" s="620"/>
      <c r="F160" s="620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19" t="s">
        <v>93</v>
      </c>
      <c r="C161" s="620"/>
      <c r="D161" s="620"/>
      <c r="E161" s="620"/>
      <c r="F161" s="620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9" t="s">
        <v>554</v>
      </c>
      <c r="F6" s="677">
        <v>2006</v>
      </c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8"/>
      <c r="R6" s="677">
        <v>2007</v>
      </c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8"/>
      <c r="AD6" s="677">
        <v>2008</v>
      </c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8"/>
      <c r="AP6" s="677">
        <v>2009</v>
      </c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8"/>
      <c r="BB6" s="677">
        <v>2010</v>
      </c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8"/>
      <c r="BN6" s="677">
        <v>2011</v>
      </c>
      <c r="BO6" s="676"/>
      <c r="BP6" s="676"/>
      <c r="BQ6" s="676"/>
      <c r="BR6" s="676"/>
      <c r="BS6" s="676"/>
      <c r="BT6" s="676"/>
      <c r="BU6" s="676"/>
      <c r="BV6" s="676"/>
      <c r="BW6" s="676"/>
      <c r="BX6" s="676"/>
      <c r="BY6" s="678"/>
      <c r="BZ6" s="676">
        <v>2012</v>
      </c>
      <c r="CA6" s="676"/>
      <c r="CB6" s="676"/>
      <c r="CC6" s="676"/>
      <c r="CD6" s="676"/>
      <c r="CE6" s="676"/>
      <c r="CF6" s="676"/>
      <c r="CG6" s="676"/>
      <c r="CH6" s="676"/>
      <c r="CI6" s="676"/>
      <c r="CJ6" s="676"/>
      <c r="CK6" s="676"/>
      <c r="CL6" s="677">
        <v>2013</v>
      </c>
      <c r="CM6" s="676"/>
      <c r="CN6" s="676"/>
      <c r="CO6" s="676"/>
      <c r="CP6" s="676"/>
      <c r="CQ6" s="676"/>
      <c r="CR6" s="676"/>
      <c r="CS6" s="676"/>
      <c r="CT6" s="676"/>
      <c r="CU6" s="676"/>
      <c r="CV6" s="676"/>
      <c r="CW6" s="678"/>
      <c r="CX6" s="677">
        <v>2014</v>
      </c>
      <c r="CY6" s="676"/>
      <c r="CZ6" s="676"/>
      <c r="DA6" s="676"/>
      <c r="DB6" s="676"/>
      <c r="DC6" s="676"/>
      <c r="DD6" s="676"/>
      <c r="DE6" s="676"/>
      <c r="DF6" s="676"/>
      <c r="DG6" s="676"/>
      <c r="DH6" s="676"/>
      <c r="DI6" s="678"/>
      <c r="DJ6" s="677">
        <v>2015</v>
      </c>
      <c r="DK6" s="676"/>
      <c r="DL6" s="676"/>
      <c r="DM6" s="676"/>
      <c r="DN6" s="676"/>
      <c r="DO6" s="676"/>
      <c r="DP6" s="676"/>
      <c r="DQ6" s="676"/>
      <c r="DR6" s="676"/>
      <c r="DS6" s="676"/>
      <c r="DT6" s="676"/>
      <c r="DU6" s="678"/>
    </row>
    <row r="7" spans="1:321">
      <c r="E7" s="679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9" t="s">
        <v>675</v>
      </c>
      <c r="F214" s="677">
        <v>2006</v>
      </c>
      <c r="G214" s="676"/>
      <c r="H214" s="676"/>
      <c r="I214" s="676"/>
      <c r="J214" s="676"/>
      <c r="K214" s="676"/>
      <c r="L214" s="676"/>
      <c r="M214" s="676"/>
      <c r="N214" s="676"/>
      <c r="O214" s="676"/>
      <c r="P214" s="676"/>
      <c r="Q214" s="678"/>
      <c r="R214" s="677">
        <v>2007</v>
      </c>
      <c r="S214" s="676"/>
      <c r="T214" s="676"/>
      <c r="U214" s="676"/>
      <c r="V214" s="676"/>
      <c r="W214" s="676"/>
      <c r="X214" s="676"/>
      <c r="Y214" s="676"/>
      <c r="Z214" s="676"/>
      <c r="AA214" s="676"/>
      <c r="AB214" s="676"/>
      <c r="AC214" s="678"/>
      <c r="AD214" s="677">
        <v>2008</v>
      </c>
      <c r="AE214" s="676"/>
      <c r="AF214" s="676"/>
      <c r="AG214" s="676"/>
      <c r="AH214" s="676"/>
      <c r="AI214" s="676"/>
      <c r="AJ214" s="676"/>
      <c r="AK214" s="676"/>
      <c r="AL214" s="676"/>
      <c r="AM214" s="676"/>
      <c r="AN214" s="676"/>
      <c r="AO214" s="678"/>
      <c r="AP214" s="677">
        <v>2009</v>
      </c>
      <c r="AQ214" s="676"/>
      <c r="AR214" s="676"/>
      <c r="AS214" s="676"/>
      <c r="AT214" s="676"/>
      <c r="AU214" s="676"/>
      <c r="AV214" s="676"/>
      <c r="AW214" s="676"/>
      <c r="AX214" s="676"/>
      <c r="AY214" s="676"/>
      <c r="AZ214" s="676"/>
      <c r="BA214" s="678"/>
      <c r="BB214" s="677">
        <v>2010</v>
      </c>
      <c r="BC214" s="676"/>
      <c r="BD214" s="676"/>
      <c r="BE214" s="676"/>
      <c r="BF214" s="676"/>
      <c r="BG214" s="676"/>
      <c r="BH214" s="676"/>
      <c r="BI214" s="676"/>
      <c r="BJ214" s="676"/>
      <c r="BK214" s="676"/>
      <c r="BL214" s="676"/>
      <c r="BM214" s="678"/>
      <c r="BN214" s="677">
        <v>2011</v>
      </c>
      <c r="BO214" s="676"/>
      <c r="BP214" s="676"/>
      <c r="BQ214" s="676"/>
      <c r="BR214" s="676"/>
      <c r="BS214" s="676"/>
      <c r="BT214" s="676"/>
      <c r="BU214" s="676"/>
      <c r="BV214" s="676"/>
      <c r="BW214" s="676"/>
      <c r="BX214" s="676"/>
      <c r="BY214" s="678"/>
      <c r="BZ214" s="676">
        <v>2012</v>
      </c>
      <c r="CA214" s="676"/>
      <c r="CB214" s="676"/>
      <c r="CC214" s="676"/>
      <c r="CD214" s="676"/>
      <c r="CE214" s="676"/>
      <c r="CF214" s="676"/>
      <c r="CG214" s="676"/>
      <c r="CH214" s="676"/>
      <c r="CI214" s="676"/>
      <c r="CJ214" s="676"/>
      <c r="CK214" s="676"/>
      <c r="CL214" s="677">
        <v>2013</v>
      </c>
      <c r="CM214" s="676"/>
      <c r="CN214" s="676"/>
      <c r="CO214" s="676"/>
      <c r="CP214" s="676"/>
      <c r="CQ214" s="676"/>
      <c r="CR214" s="676"/>
      <c r="CS214" s="676"/>
      <c r="CT214" s="676"/>
      <c r="CU214" s="676"/>
      <c r="CV214" s="676"/>
      <c r="CW214" s="678"/>
      <c r="CX214" s="677">
        <v>2014</v>
      </c>
      <c r="CY214" s="676"/>
      <c r="CZ214" s="676"/>
      <c r="DA214" s="676"/>
      <c r="DB214" s="676"/>
      <c r="DC214" s="676"/>
      <c r="DD214" s="676"/>
      <c r="DE214" s="676"/>
      <c r="DF214" s="676"/>
      <c r="DG214" s="676"/>
      <c r="DH214" s="676"/>
      <c r="DI214" s="678"/>
      <c r="DJ214" s="677">
        <v>2015</v>
      </c>
      <c r="DK214" s="676"/>
      <c r="DL214" s="676"/>
      <c r="DM214" s="676"/>
      <c r="DN214" s="676"/>
      <c r="DO214" s="676"/>
      <c r="DP214" s="676"/>
      <c r="DQ214" s="676"/>
      <c r="DR214" s="676"/>
      <c r="DS214" s="676"/>
      <c r="DT214" s="676"/>
      <c r="DU214" s="678"/>
    </row>
    <row r="215" spans="1:187">
      <c r="E215" s="679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5" sqref="B5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Januar</v>
      </c>
    </row>
    <row r="246" spans="4:7">
      <c r="D246" s="41"/>
      <c r="G246" s="44" t="str">
        <f>+CONCATENATE("Jan - ",LEFT(G245,3))</f>
        <v>Jan - Jan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Jan</v>
      </c>
      <c r="F254" s="6" t="str">
        <f>+CONCATENATE("Analytics for period ",G246)</f>
        <v>Analytics for period Jan - Jan</v>
      </c>
      <c r="G254" s="44" t="str">
        <f>+IF(ISBLANK(IF($B$2=1,E254,F254)),"",IF($B$2=1,E254,F254))</f>
        <v>Analitika za period Jan - Jan</v>
      </c>
    </row>
    <row r="255" spans="4:7">
      <c r="E255" s="5" t="str">
        <f>+CONCATENATE("Analitika za period ",G245)</f>
        <v>Analitika za period Januar</v>
      </c>
      <c r="F255" s="6" t="str">
        <f>+CONCATENATE("Analytics for period ",G245)</f>
        <v>Analytics for period Januar</v>
      </c>
      <c r="G255" s="44" t="str">
        <f>+IF(ISBLANK(IF($B$2=1,E255,F255)),"",IF($B$2=1,E255,F255))</f>
        <v>Analitika za period Januar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Januar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Januar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Januar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Januar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Januar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Januar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H32"/>
  <sheetViews>
    <sheetView showRowColHeaders="0" tabSelected="1" zoomScale="90" zoomScaleNormal="90" workbookViewId="0">
      <pane ySplit="5" topLeftCell="A6" activePane="bottomLeft" state="frozen"/>
      <selection activeCell="DK219" sqref="DK219"/>
      <selection pane="bottomLeft" activeCell="M26" sqref="M26"/>
    </sheetView>
  </sheetViews>
  <sheetFormatPr defaultColWidth="9.140625" defaultRowHeight="15"/>
  <cols>
    <col min="1" max="3" width="9.140625" style="116"/>
    <col min="4" max="4" width="10" style="116" bestFit="1" customWidth="1"/>
    <col min="5" max="16384" width="9.140625" style="116"/>
  </cols>
  <sheetData>
    <row r="1" spans="3:7" s="113" customFormat="1"/>
    <row r="2" spans="3:7" s="113" customFormat="1">
      <c r="C2" s="114"/>
      <c r="E2" s="484" t="str">
        <f>+Master!G6</f>
        <v>Crna Gora</v>
      </c>
      <c r="F2" s="484"/>
    </row>
    <row r="3" spans="3:7" s="113" customFormat="1">
      <c r="E3" s="485" t="str">
        <f>+Master!G7</f>
        <v>Ministarstvo finansija</v>
      </c>
      <c r="F3" s="484"/>
    </row>
    <row r="4" spans="3:7" s="113" customFormat="1">
      <c r="E4" s="485" t="str">
        <f>+Master!G8</f>
        <v>Direktorat za državni budžet</v>
      </c>
      <c r="F4" s="484"/>
    </row>
    <row r="5" spans="3:7" s="113" customFormat="1"/>
    <row r="7" spans="3:7" ht="15.75" thickBot="1"/>
    <row r="8" spans="3:7">
      <c r="C8" s="117"/>
      <c r="D8" s="118"/>
      <c r="E8" s="118"/>
      <c r="F8" s="118"/>
      <c r="G8" s="119"/>
    </row>
    <row r="9" spans="3:7">
      <c r="C9" s="120"/>
      <c r="G9" s="121"/>
    </row>
    <row r="10" spans="3:7">
      <c r="C10" s="120"/>
      <c r="G10" s="121"/>
    </row>
    <row r="11" spans="3:7">
      <c r="C11" s="120"/>
      <c r="D11" s="122" t="str">
        <f>+Master!G270</f>
        <v>Prihodi za mjesec Januar</v>
      </c>
      <c r="G11" s="121"/>
    </row>
    <row r="12" spans="3:7">
      <c r="C12" s="120"/>
      <c r="D12" s="123">
        <f>+'Analitika 2024'!N10</f>
        <v>153484375.23000002</v>
      </c>
      <c r="E12" s="427">
        <f>+D12/'2024'!T7</f>
        <v>2.1820354738413424E-2</v>
      </c>
      <c r="G12" s="121"/>
    </row>
    <row r="13" spans="3:7">
      <c r="C13" s="120"/>
      <c r="D13" s="124" t="s">
        <v>417</v>
      </c>
      <c r="E13" s="124" t="str">
        <f>+Master!G250</f>
        <v>% BDP</v>
      </c>
      <c r="G13" s="121"/>
    </row>
    <row r="14" spans="3:7">
      <c r="C14" s="120"/>
      <c r="G14" s="121"/>
    </row>
    <row r="15" spans="3:7">
      <c r="C15" s="120"/>
      <c r="D15" s="122" t="str">
        <f>+Master!G271</f>
        <v>Rashodi za mjesec Januar</v>
      </c>
      <c r="G15" s="121"/>
    </row>
    <row r="16" spans="3:7">
      <c r="C16" s="120"/>
      <c r="D16" s="123">
        <f>+'Analitika 2024'!N29</f>
        <v>137139676.92000005</v>
      </c>
      <c r="E16" s="427">
        <f>+D16/'2024'!T7</f>
        <v>1.9496684236565261E-2</v>
      </c>
      <c r="G16" s="121"/>
    </row>
    <row r="17" spans="3:8">
      <c r="C17" s="120"/>
      <c r="D17" s="124" t="str">
        <f>+D13</f>
        <v>mil. €</v>
      </c>
      <c r="E17" s="124" t="str">
        <f>+E13</f>
        <v>% BDP</v>
      </c>
      <c r="G17" s="121"/>
    </row>
    <row r="18" spans="3:8">
      <c r="C18" s="120"/>
      <c r="G18" s="121"/>
    </row>
    <row r="19" spans="3:8">
      <c r="C19" s="120"/>
      <c r="D19" s="122" t="str">
        <f>+Master!G272</f>
        <v>Suficit/Deficit za mjesec Januar</v>
      </c>
      <c r="G19" s="121"/>
    </row>
    <row r="20" spans="3:8">
      <c r="C20" s="120"/>
      <c r="D20" s="123">
        <f>+'Analitika 2024'!N53</f>
        <v>16344698.309999973</v>
      </c>
      <c r="E20" s="427">
        <f>+D20/'2024'!T7</f>
        <v>2.3236705018481623E-3</v>
      </c>
      <c r="G20" s="121"/>
    </row>
    <row r="21" spans="3:8">
      <c r="C21" s="120"/>
      <c r="D21" s="124" t="str">
        <f>+D17</f>
        <v>mil. €</v>
      </c>
      <c r="E21" s="124" t="str">
        <f>+E17</f>
        <v>% BDP</v>
      </c>
      <c r="G21" s="121"/>
    </row>
    <row r="22" spans="3:8" ht="15.75" thickBot="1">
      <c r="C22" s="125"/>
      <c r="D22" s="126"/>
      <c r="E22" s="126"/>
      <c r="F22" s="126"/>
      <c r="G22" s="127"/>
    </row>
    <row r="32" spans="3:8">
      <c r="H32" s="428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7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R10" sqref="R10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hidden="1" customWidth="1"/>
    <col min="8" max="8" width="12.42578125" style="4" hidden="1" customWidth="1"/>
    <col min="9" max="9" width="12.5703125" style="4" hidden="1" customWidth="1"/>
    <col min="10" max="10" width="12.7109375" style="4" hidden="1" customWidth="1"/>
    <col min="11" max="13" width="12.42578125" style="4" hidden="1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2024-01</v>
      </c>
      <c r="O6" s="128" t="str">
        <f>+CONCATENATE(N6,"p")</f>
        <v>2024-01p</v>
      </c>
      <c r="P6" s="116"/>
      <c r="Q6" s="116"/>
      <c r="R6" s="128" t="str">
        <f>+IF(Master!B3-10&gt;=0,CONCATENATE(Master!B4-1,"-",Master!B3),CONCATENATE(Master!B4-1,"-0",Master!B3))</f>
        <v>2023-01</v>
      </c>
      <c r="S6" s="116"/>
      <c r="T6" s="116"/>
    </row>
    <row r="7" spans="1:25" ht="14.25" customHeight="1">
      <c r="A7" s="129"/>
      <c r="B7" s="593" t="str">
        <f>+Master!G254</f>
        <v>Analitika za period Jan - Jan</v>
      </c>
      <c r="C7" s="594"/>
      <c r="D7" s="594"/>
      <c r="E7" s="594"/>
      <c r="F7" s="594"/>
      <c r="G7" s="602" t="str">
        <f>+Master!G246</f>
        <v>Jan - Jan</v>
      </c>
      <c r="H7" s="603"/>
      <c r="I7" s="603"/>
      <c r="J7" s="603"/>
      <c r="K7" s="603"/>
      <c r="L7" s="603"/>
      <c r="M7" s="606"/>
      <c r="N7" s="603" t="str">
        <f>+Master!G245</f>
        <v>Januar</v>
      </c>
      <c r="O7" s="603"/>
      <c r="P7" s="603"/>
      <c r="Q7" s="603"/>
      <c r="R7" s="603"/>
      <c r="S7" s="603"/>
      <c r="T7" s="606"/>
    </row>
    <row r="8" spans="1:25" ht="29.25" customHeight="1">
      <c r="A8" s="129"/>
      <c r="B8" s="595"/>
      <c r="C8" s="596"/>
      <c r="D8" s="596"/>
      <c r="E8" s="596"/>
      <c r="F8" s="597"/>
      <c r="G8" s="487" t="str">
        <f>+Master!G26</f>
        <v>Ostvarenje</v>
      </c>
      <c r="H8" s="330" t="str">
        <f>+Master!G25</f>
        <v>Plan</v>
      </c>
      <c r="I8" s="591" t="str">
        <f>+Master!G261</f>
        <v>Odstupanje</v>
      </c>
      <c r="J8" s="591"/>
      <c r="K8" s="130" t="str">
        <f>+CONCATENATE(Master!G246," ",Master!B4-1)</f>
        <v>Jan - Jan 2023</v>
      </c>
      <c r="L8" s="591" t="str">
        <f>+I8</f>
        <v>Odstupanje</v>
      </c>
      <c r="M8" s="592"/>
      <c r="N8" s="487" t="str">
        <f>+G8</f>
        <v>Ostvarenje</v>
      </c>
      <c r="O8" s="130" t="str">
        <f>+H8</f>
        <v>Plan</v>
      </c>
      <c r="P8" s="591" t="str">
        <f>+I8</f>
        <v>Odstupanje</v>
      </c>
      <c r="Q8" s="591"/>
      <c r="R8" s="130" t="str">
        <f>+CONCATENATE(Master!G245," ",Master!B4-1)</f>
        <v>Januar 2023</v>
      </c>
      <c r="S8" s="591" t="str">
        <f>+P8</f>
        <v>Odstupanje</v>
      </c>
      <c r="T8" s="592"/>
    </row>
    <row r="9" spans="1:25" ht="15.75" thickBot="1">
      <c r="A9" s="129"/>
      <c r="B9" s="598"/>
      <c r="C9" s="599"/>
      <c r="D9" s="599"/>
      <c r="E9" s="599"/>
      <c r="F9" s="600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136">
        <f>'2024'!S10</f>
        <v>153484375.23000002</v>
      </c>
      <c r="H10" s="136">
        <f>SUM('2024'!G86:G86)</f>
        <v>148772496.12504369</v>
      </c>
      <c r="I10" s="137">
        <f>+G10-H10</f>
        <v>4711879.1049563289</v>
      </c>
      <c r="J10" s="139">
        <f>IF(+IF(ISERROR(G10/H10),"…",G10/H10-1)&gt;200%,"...",IF(ISERROR(G10/H10),"…",G10/H10-1))</f>
        <v>3.1671708331061366E-2</v>
      </c>
      <c r="K10" s="136">
        <f>SUM('2023'!G10:G10)</f>
        <v>167639562.44999999</v>
      </c>
      <c r="L10" s="137">
        <f>+G10-K10</f>
        <v>-14155187.219999969</v>
      </c>
      <c r="M10" s="141">
        <f>IF(+IF(ISERROR(G10/K10),"…",G10/K10-1)&gt;200%,"...",IF(ISERROR(G10/K10),"…",G10/K10-1))</f>
        <v>-8.4438225757251573E-2</v>
      </c>
      <c r="N10" s="136">
        <f>'2024'!G10</f>
        <v>153484375.23000002</v>
      </c>
      <c r="O10" s="136">
        <f>'2024'!G86</f>
        <v>148772496.12504369</v>
      </c>
      <c r="P10" s="137">
        <f>+N10-O10</f>
        <v>4711879.1049563289</v>
      </c>
      <c r="Q10" s="139">
        <f>IF(+IF(ISERROR(N10/O10),"…",N10/O10-1)&gt;200%,"...",IF(ISERROR(N10/O10),"…",N10/O10-1))</f>
        <v>3.1671708331061366E-2</v>
      </c>
      <c r="R10" s="136">
        <f>'2023'!G10</f>
        <v>167639562.44999999</v>
      </c>
      <c r="S10" s="137">
        <f>+N10-R10</f>
        <v>-14155187.219999969</v>
      </c>
      <c r="T10" s="141">
        <f>IF(+IF(ISERROR(N10/R10),"…",N10/R10-1)&gt;200%,"...",IF(ISERROR(N10/R10),"…",N10/R10-1))</f>
        <v>-8.4438225757251573E-2</v>
      </c>
      <c r="W10" s="470"/>
      <c r="Y10" s="470"/>
    </row>
    <row r="11" spans="1:25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262">
        <f>'2024'!S11</f>
        <v>122011952.05999999</v>
      </c>
      <c r="H11" s="262">
        <f>SUM('2024'!G87:G87)</f>
        <v>120138427.04115422</v>
      </c>
      <c r="I11" s="143">
        <f t="shared" ref="I11:I57" si="0">+G11-H11</f>
        <v>1873525.0188457668</v>
      </c>
      <c r="J11" s="145">
        <f t="shared" ref="J11:J66" si="1">IF(+IF(ISERROR(G11/H11-1),"…",G11/H11-1)&gt;200%,"...",IF(ISERROR(G11/H11-1),"…",G11/H11-1))</f>
        <v>1.5594719066897467E-2</v>
      </c>
      <c r="K11" s="262">
        <f>SUM('2023'!G11:G11)</f>
        <v>103490146.19</v>
      </c>
      <c r="L11" s="143">
        <f>+G11-K11</f>
        <v>18521805.86999999</v>
      </c>
      <c r="M11" s="147">
        <f t="shared" ref="M11:M66" si="2">IF(+IF(ISERROR(G11/K11),"…",G11/K11-1)&gt;200%,"...",IF(ISERROR(G11/K11),"…",G11/K11-1))</f>
        <v>0.17897168524620088</v>
      </c>
      <c r="N11" s="262">
        <f>'2024'!G11</f>
        <v>122011952.05999999</v>
      </c>
      <c r="O11" s="262">
        <f>'2024'!G87</f>
        <v>120138427.04115422</v>
      </c>
      <c r="P11" s="143">
        <f>+N11-O11</f>
        <v>1873525.0188457668</v>
      </c>
      <c r="Q11" s="145">
        <f t="shared" ref="Q11:Q66" si="3">IF(+IF(ISERROR(N11/O11),"…",N11/O11-1)&gt;200%,"...",IF(ISERROR(N11/O11),"…",N11/O11-1))</f>
        <v>1.5594719066897467E-2</v>
      </c>
      <c r="R11" s="262">
        <f>'2023'!G11</f>
        <v>103490146.19</v>
      </c>
      <c r="S11" s="143">
        <f t="shared" ref="S11:S57" si="4">+N11-R11</f>
        <v>18521805.86999999</v>
      </c>
      <c r="T11" s="147">
        <f t="shared" ref="T11:T66" si="5">IF(+IF(ISERROR(N11/R11),"…",N11/R11-1)&gt;200%,"...",IF(ISERROR(N11/R11),"…",N11/R11-1))</f>
        <v>0.17897168524620088</v>
      </c>
      <c r="W11" s="470"/>
      <c r="Y11" s="470"/>
    </row>
    <row r="12" spans="1:25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f>'2024'!S12</f>
        <v>1998079.1499999992</v>
      </c>
      <c r="H12" s="148">
        <f>SUM('2024'!G88:G88)</f>
        <v>1801825.5334530019</v>
      </c>
      <c r="I12" s="149">
        <f t="shared" si="0"/>
        <v>196253.61654699733</v>
      </c>
      <c r="J12" s="151">
        <f t="shared" si="1"/>
        <v>0.10891932259995163</v>
      </c>
      <c r="K12" s="148">
        <f>SUM('2023'!G12:G12)</f>
        <v>1481487.87</v>
      </c>
      <c r="L12" s="149">
        <f>+G12-K12</f>
        <v>516591.2799999991</v>
      </c>
      <c r="M12" s="153">
        <f t="shared" si="2"/>
        <v>0.34869761032872915</v>
      </c>
      <c r="N12" s="148">
        <f>'2024'!G12</f>
        <v>1998079.1499999992</v>
      </c>
      <c r="O12" s="148">
        <f>'2024'!G88</f>
        <v>1801825.5334530019</v>
      </c>
      <c r="P12" s="149">
        <f t="shared" ref="P12:P57" si="6">+N12-O12</f>
        <v>196253.61654699733</v>
      </c>
      <c r="Q12" s="151">
        <f t="shared" si="3"/>
        <v>0.10891932259995163</v>
      </c>
      <c r="R12" s="148">
        <f>'2023'!G12</f>
        <v>1481487.87</v>
      </c>
      <c r="S12" s="149">
        <f t="shared" si="4"/>
        <v>516591.2799999991</v>
      </c>
      <c r="T12" s="153">
        <f t="shared" si="5"/>
        <v>0.34869761032872915</v>
      </c>
      <c r="W12" s="470"/>
      <c r="Y12" s="470"/>
    </row>
    <row r="13" spans="1:25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f>'2024'!S13</f>
        <v>1951464.9</v>
      </c>
      <c r="H13" s="148">
        <f>SUM('2024'!G89:G89)</f>
        <v>1369765.6788657729</v>
      </c>
      <c r="I13" s="149">
        <f t="shared" si="0"/>
        <v>581699.221134227</v>
      </c>
      <c r="J13" s="151">
        <f t="shared" si="1"/>
        <v>0.42467060615498853</v>
      </c>
      <c r="K13" s="148">
        <f>SUM('2023'!G13:G13)</f>
        <v>1258566.3799999999</v>
      </c>
      <c r="L13" s="149">
        <f t="shared" ref="L13:L57" si="7">+G13-K13</f>
        <v>692898.52</v>
      </c>
      <c r="M13" s="153">
        <f t="shared" si="2"/>
        <v>0.55054586791043958</v>
      </c>
      <c r="N13" s="148">
        <f>'2024'!G13</f>
        <v>1951464.9</v>
      </c>
      <c r="O13" s="148">
        <f>'2024'!G89</f>
        <v>1369765.6788657729</v>
      </c>
      <c r="P13" s="149">
        <f t="shared" si="6"/>
        <v>581699.221134227</v>
      </c>
      <c r="Q13" s="151">
        <f t="shared" si="3"/>
        <v>0.42467060615498853</v>
      </c>
      <c r="R13" s="148">
        <f>'2023'!G13</f>
        <v>1258566.3799999999</v>
      </c>
      <c r="S13" s="149">
        <f t="shared" si="4"/>
        <v>692898.52</v>
      </c>
      <c r="T13" s="153">
        <f t="shared" si="5"/>
        <v>0.55054586791043958</v>
      </c>
      <c r="W13" s="470"/>
      <c r="Y13" s="470"/>
    </row>
    <row r="14" spans="1:25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f>'2024'!S14</f>
        <v>0</v>
      </c>
      <c r="H14" s="148">
        <f>SUM('2024'!G90:G90)</f>
        <v>0</v>
      </c>
      <c r="I14" s="149">
        <f t="shared" si="0"/>
        <v>0</v>
      </c>
      <c r="J14" s="151" t="str">
        <f t="shared" si="1"/>
        <v>...</v>
      </c>
      <c r="K14" s="148">
        <f>SUM('2023'!G14:G14)</f>
        <v>0</v>
      </c>
      <c r="L14" s="149">
        <f t="shared" si="7"/>
        <v>0</v>
      </c>
      <c r="M14" s="153" t="str">
        <f t="shared" si="2"/>
        <v>...</v>
      </c>
      <c r="N14" s="148">
        <f>'2024'!G14</f>
        <v>0</v>
      </c>
      <c r="O14" s="148">
        <f>'2024'!G90</f>
        <v>0</v>
      </c>
      <c r="P14" s="149">
        <f t="shared" si="6"/>
        <v>0</v>
      </c>
      <c r="Q14" s="151" t="str">
        <f t="shared" si="3"/>
        <v>...</v>
      </c>
      <c r="R14" s="148">
        <f>'2023'!G14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f>'2024'!S15</f>
        <v>91572726.909999996</v>
      </c>
      <c r="H15" s="148">
        <f>SUM('2024'!G91:G91)</f>
        <v>90392579.434542105</v>
      </c>
      <c r="I15" s="149">
        <f t="shared" si="0"/>
        <v>1180147.4754578918</v>
      </c>
      <c r="J15" s="151">
        <f t="shared" si="1"/>
        <v>1.3055800407958174E-2</v>
      </c>
      <c r="K15" s="148">
        <f>SUM('2023'!G15:G15)</f>
        <v>79816016.629999995</v>
      </c>
      <c r="L15" s="149">
        <f t="shared" si="7"/>
        <v>11756710.280000001</v>
      </c>
      <c r="M15" s="153">
        <f t="shared" si="2"/>
        <v>0.14729763243510541</v>
      </c>
      <c r="N15" s="148">
        <f>'2024'!G15</f>
        <v>91572726.909999996</v>
      </c>
      <c r="O15" s="148">
        <f>'2024'!G91</f>
        <v>90392579.434542105</v>
      </c>
      <c r="P15" s="149">
        <f t="shared" si="6"/>
        <v>1180147.4754578918</v>
      </c>
      <c r="Q15" s="151">
        <f t="shared" si="3"/>
        <v>1.3055800407958174E-2</v>
      </c>
      <c r="R15" s="148">
        <f>'2023'!G15</f>
        <v>79816016.629999995</v>
      </c>
      <c r="S15" s="149">
        <f t="shared" si="4"/>
        <v>11756710.280000001</v>
      </c>
      <c r="T15" s="153">
        <f t="shared" si="5"/>
        <v>0.14729763243510541</v>
      </c>
      <c r="W15" s="470"/>
      <c r="Y15" s="470"/>
    </row>
    <row r="16" spans="1:25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f>'2024'!S16</f>
        <v>22556344.95999999</v>
      </c>
      <c r="H16" s="148">
        <f>SUM('2024'!G92:G92)</f>
        <v>22805003.605203237</v>
      </c>
      <c r="I16" s="149">
        <f t="shared" si="0"/>
        <v>-248658.64520324767</v>
      </c>
      <c r="J16" s="151">
        <f t="shared" si="1"/>
        <v>-1.0903688046184468E-2</v>
      </c>
      <c r="K16" s="148">
        <f>SUM('2023'!G16:G16)</f>
        <v>17494328.440000001</v>
      </c>
      <c r="L16" s="149">
        <f t="shared" si="7"/>
        <v>5062016.5199999884</v>
      </c>
      <c r="M16" s="153">
        <f t="shared" si="2"/>
        <v>0.28935186265429391</v>
      </c>
      <c r="N16" s="148">
        <f>'2024'!G16</f>
        <v>22556344.95999999</v>
      </c>
      <c r="O16" s="148">
        <f>'2024'!G92</f>
        <v>22805003.605203237</v>
      </c>
      <c r="P16" s="149">
        <f t="shared" si="6"/>
        <v>-248658.64520324767</v>
      </c>
      <c r="Q16" s="151">
        <f t="shared" si="3"/>
        <v>-1.0903688046184468E-2</v>
      </c>
      <c r="R16" s="148">
        <f>'2023'!G16</f>
        <v>17494328.440000001</v>
      </c>
      <c r="S16" s="149">
        <f t="shared" si="4"/>
        <v>5062016.5199999884</v>
      </c>
      <c r="T16" s="153">
        <f t="shared" si="5"/>
        <v>0.28935186265429391</v>
      </c>
      <c r="W16" s="470"/>
      <c r="Y16" s="470"/>
    </row>
    <row r="17" spans="1:25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f>'2024'!S17</f>
        <v>2997811.1100000008</v>
      </c>
      <c r="H17" s="148">
        <f>SUM('2024'!G93:G93)</f>
        <v>2756177.5797694027</v>
      </c>
      <c r="I17" s="149">
        <f t="shared" si="0"/>
        <v>241633.53023059806</v>
      </c>
      <c r="J17" s="151">
        <f t="shared" si="1"/>
        <v>8.7669797477568423E-2</v>
      </c>
      <c r="K17" s="148">
        <f>SUM('2023'!G17:G17)</f>
        <v>2467588.1800000002</v>
      </c>
      <c r="L17" s="149">
        <f t="shared" si="7"/>
        <v>530222.93000000063</v>
      </c>
      <c r="M17" s="153">
        <f t="shared" si="2"/>
        <v>0.21487496750774704</v>
      </c>
      <c r="N17" s="148">
        <f>'2024'!G17</f>
        <v>2997811.1100000008</v>
      </c>
      <c r="O17" s="148">
        <f>'2024'!G93</f>
        <v>2756177.5797694027</v>
      </c>
      <c r="P17" s="149">
        <f t="shared" si="6"/>
        <v>241633.53023059806</v>
      </c>
      <c r="Q17" s="151">
        <f>IF(+IF(ISERROR(N17/O17),"…",N17/O17-1)&gt;200%,"...",IF(ISERROR(N17/O17),"…",N17/O17-1))</f>
        <v>8.7669797477568423E-2</v>
      </c>
      <c r="R17" s="148">
        <f>'2023'!G17</f>
        <v>2467588.1800000002</v>
      </c>
      <c r="S17" s="149">
        <f t="shared" si="4"/>
        <v>530222.93000000063</v>
      </c>
      <c r="T17" s="153">
        <f t="shared" si="5"/>
        <v>0.21487496750774704</v>
      </c>
      <c r="W17" s="470"/>
      <c r="Y17" s="470"/>
    </row>
    <row r="18" spans="1:25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f>'2024'!S18</f>
        <v>935525.02999999991</v>
      </c>
      <c r="H18" s="148">
        <f>SUM('2024'!G94:G94)</f>
        <v>1013075.2093207003</v>
      </c>
      <c r="I18" s="149">
        <f t="shared" si="0"/>
        <v>-77550.17932070035</v>
      </c>
      <c r="J18" s="151">
        <f t="shared" si="1"/>
        <v>-7.6549281442490624E-2</v>
      </c>
      <c r="K18" s="148">
        <f>SUM('2023'!G18:G18)</f>
        <v>972158.69</v>
      </c>
      <c r="L18" s="149">
        <f t="shared" si="7"/>
        <v>-36633.660000000033</v>
      </c>
      <c r="M18" s="153">
        <f t="shared" si="2"/>
        <v>-3.7682798473981705E-2</v>
      </c>
      <c r="N18" s="148">
        <f>'2024'!G18</f>
        <v>935525.02999999991</v>
      </c>
      <c r="O18" s="148">
        <f>'2024'!G94</f>
        <v>1013075.2093207003</v>
      </c>
      <c r="P18" s="149">
        <f t="shared" si="6"/>
        <v>-77550.17932070035</v>
      </c>
      <c r="Q18" s="151">
        <f t="shared" si="3"/>
        <v>-7.6549281442490624E-2</v>
      </c>
      <c r="R18" s="148">
        <f>'2023'!G18</f>
        <v>972158.69</v>
      </c>
      <c r="S18" s="149">
        <f t="shared" si="4"/>
        <v>-36633.660000000033</v>
      </c>
      <c r="T18" s="153">
        <f t="shared" si="5"/>
        <v>-3.7682798473981705E-2</v>
      </c>
      <c r="W18" s="470"/>
      <c r="Y18" s="470"/>
    </row>
    <row r="19" spans="1:25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154">
        <f>'2024'!S19</f>
        <v>13548213.420000004</v>
      </c>
      <c r="H19" s="154">
        <f>SUM('2024'!G95:G95)</f>
        <v>16352055.41693222</v>
      </c>
      <c r="I19" s="155">
        <f t="shared" si="0"/>
        <v>-2803841.996932216</v>
      </c>
      <c r="J19" s="157">
        <f t="shared" si="1"/>
        <v>-0.17146725139084928</v>
      </c>
      <c r="K19" s="154">
        <f>SUM('2023'!G19:G19)</f>
        <v>15617329.630000003</v>
      </c>
      <c r="L19" s="155">
        <f t="shared" si="7"/>
        <v>-2069116.209999999</v>
      </c>
      <c r="M19" s="159">
        <f t="shared" si="2"/>
        <v>-0.13248847652068152</v>
      </c>
      <c r="N19" s="154">
        <f>'2024'!G19</f>
        <v>13548213.420000004</v>
      </c>
      <c r="O19" s="154">
        <f>'2024'!G95</f>
        <v>16352055.41693222</v>
      </c>
      <c r="P19" s="155">
        <f t="shared" si="6"/>
        <v>-2803841.996932216</v>
      </c>
      <c r="Q19" s="157">
        <f t="shared" si="3"/>
        <v>-0.17146725139084928</v>
      </c>
      <c r="R19" s="154">
        <f>'2023'!G19</f>
        <v>15617329.630000003</v>
      </c>
      <c r="S19" s="155">
        <f t="shared" si="4"/>
        <v>-2069116.209999999</v>
      </c>
      <c r="T19" s="159">
        <f t="shared" si="5"/>
        <v>-0.13248847652068152</v>
      </c>
      <c r="W19" s="470"/>
      <c r="Y19" s="470"/>
    </row>
    <row r="20" spans="1:25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f>'2024'!S20</f>
        <v>12277377.310000004</v>
      </c>
      <c r="H20" s="148">
        <f>SUM('2024'!G96:G96)</f>
        <v>15107540.897000929</v>
      </c>
      <c r="I20" s="149">
        <f t="shared" si="0"/>
        <v>-2830163.5870009251</v>
      </c>
      <c r="J20" s="151">
        <f t="shared" si="1"/>
        <v>-0.18733449780452061</v>
      </c>
      <c r="K20" s="148">
        <f>SUM('2023'!G20:G20)</f>
        <v>14209639.380000001</v>
      </c>
      <c r="L20" s="149">
        <f t="shared" si="7"/>
        <v>-1932262.0699999966</v>
      </c>
      <c r="M20" s="153">
        <f t="shared" si="2"/>
        <v>-0.13598248472932017</v>
      </c>
      <c r="N20" s="148">
        <f>'2024'!G20</f>
        <v>12277377.310000004</v>
      </c>
      <c r="O20" s="148">
        <f>'2024'!G96</f>
        <v>15107540.897000929</v>
      </c>
      <c r="P20" s="149">
        <f t="shared" si="6"/>
        <v>-2830163.5870009251</v>
      </c>
      <c r="Q20" s="151">
        <f t="shared" si="3"/>
        <v>-0.18733449780452061</v>
      </c>
      <c r="R20" s="148">
        <f>'2023'!G20</f>
        <v>14209639.380000001</v>
      </c>
      <c r="S20" s="149">
        <f t="shared" si="4"/>
        <v>-1932262.0699999966</v>
      </c>
      <c r="T20" s="153">
        <f t="shared" si="5"/>
        <v>-0.13598248472932017</v>
      </c>
      <c r="W20" s="470"/>
      <c r="Y20" s="470"/>
    </row>
    <row r="21" spans="1:25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f>'2024'!S21</f>
        <v>307850.36</v>
      </c>
      <c r="H21" s="148">
        <f>SUM('2024'!G97:G97)</f>
        <v>128998.53121441192</v>
      </c>
      <c r="I21" s="149">
        <f t="shared" si="0"/>
        <v>178851.82878558806</v>
      </c>
      <c r="J21" s="151">
        <f t="shared" si="1"/>
        <v>1.3864640713491041</v>
      </c>
      <c r="K21" s="148">
        <f>SUM('2023'!G21:G21)</f>
        <v>302309.90000000002</v>
      </c>
      <c r="L21" s="149">
        <f t="shared" si="7"/>
        <v>5540.4599999999627</v>
      </c>
      <c r="M21" s="153">
        <f t="shared" si="2"/>
        <v>1.8327087535009445E-2</v>
      </c>
      <c r="N21" s="148">
        <f>'2024'!G21</f>
        <v>307850.36</v>
      </c>
      <c r="O21" s="148">
        <f>'2024'!G97</f>
        <v>128998.53121441192</v>
      </c>
      <c r="P21" s="149">
        <f t="shared" si="6"/>
        <v>178851.82878558806</v>
      </c>
      <c r="Q21" s="151">
        <f t="shared" si="3"/>
        <v>1.3864640713491041</v>
      </c>
      <c r="R21" s="148">
        <f>'2023'!G21</f>
        <v>302309.90000000002</v>
      </c>
      <c r="S21" s="149">
        <f t="shared" si="4"/>
        <v>5540.4599999999627</v>
      </c>
      <c r="T21" s="153">
        <f t="shared" si="5"/>
        <v>1.8327087535009445E-2</v>
      </c>
      <c r="W21" s="470"/>
      <c r="Y21" s="470"/>
    </row>
    <row r="22" spans="1:25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f>'2024'!S22</f>
        <v>569229.31000000017</v>
      </c>
      <c r="H22" s="148">
        <f>SUM('2024'!G98:G98)</f>
        <v>652800.53008117527</v>
      </c>
      <c r="I22" s="149">
        <f t="shared" si="0"/>
        <v>-83571.220081175095</v>
      </c>
      <c r="J22" s="151">
        <f t="shared" si="1"/>
        <v>-0.1280195346513936</v>
      </c>
      <c r="K22" s="148">
        <f>SUM('2023'!G22:G22)</f>
        <v>658854.47</v>
      </c>
      <c r="L22" s="149">
        <f t="shared" si="7"/>
        <v>-89625.1599999998</v>
      </c>
      <c r="M22" s="153">
        <f t="shared" si="2"/>
        <v>-0.13603180077081334</v>
      </c>
      <c r="N22" s="148">
        <f>'2024'!G22</f>
        <v>569229.31000000017</v>
      </c>
      <c r="O22" s="148">
        <f>'2024'!G98</f>
        <v>652800.53008117527</v>
      </c>
      <c r="P22" s="149">
        <f t="shared" si="6"/>
        <v>-83571.220081175095</v>
      </c>
      <c r="Q22" s="151">
        <f t="shared" si="3"/>
        <v>-0.1280195346513936</v>
      </c>
      <c r="R22" s="148">
        <f>'2023'!G22</f>
        <v>658854.47</v>
      </c>
      <c r="S22" s="149">
        <f t="shared" si="4"/>
        <v>-89625.1599999998</v>
      </c>
      <c r="T22" s="153">
        <f t="shared" si="5"/>
        <v>-0.13603180077081334</v>
      </c>
      <c r="W22" s="470"/>
      <c r="Y22" s="470"/>
    </row>
    <row r="23" spans="1:25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f>'2024'!S23</f>
        <v>393756.44</v>
      </c>
      <c r="H23" s="148">
        <f>SUM('2024'!G99:G99)</f>
        <v>462715.45863570302</v>
      </c>
      <c r="I23" s="149">
        <f t="shared" si="0"/>
        <v>-68959.018635703018</v>
      </c>
      <c r="J23" s="151">
        <f t="shared" si="1"/>
        <v>-0.14903115370086351</v>
      </c>
      <c r="K23" s="148">
        <f>SUM('2023'!G23:G23)</f>
        <v>446525.88</v>
      </c>
      <c r="L23" s="149">
        <f t="shared" si="7"/>
        <v>-52769.440000000002</v>
      </c>
      <c r="M23" s="153">
        <f t="shared" si="2"/>
        <v>-0.11817778624611863</v>
      </c>
      <c r="N23" s="148">
        <f>'2024'!G23</f>
        <v>393756.44</v>
      </c>
      <c r="O23" s="148">
        <f>'2024'!G99</f>
        <v>462715.45863570302</v>
      </c>
      <c r="P23" s="149">
        <f t="shared" si="6"/>
        <v>-68959.018635703018</v>
      </c>
      <c r="Q23" s="151">
        <f t="shared" si="3"/>
        <v>-0.14903115370086351</v>
      </c>
      <c r="R23" s="148">
        <f>'2023'!G23</f>
        <v>446525.88</v>
      </c>
      <c r="S23" s="149">
        <f t="shared" si="4"/>
        <v>-52769.440000000002</v>
      </c>
      <c r="T23" s="153">
        <f t="shared" si="5"/>
        <v>-0.11817778624611863</v>
      </c>
      <c r="W23" s="470"/>
      <c r="Y23" s="470"/>
    </row>
    <row r="24" spans="1:25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f>'2024'!S24</f>
        <v>836827.13</v>
      </c>
      <c r="H24" s="160">
        <f>SUM('2024'!G100:G100)</f>
        <v>748860.49593329686</v>
      </c>
      <c r="I24" s="161">
        <f t="shared" si="0"/>
        <v>87966.634066703147</v>
      </c>
      <c r="J24" s="163">
        <f t="shared" si="1"/>
        <v>0.1174673180711332</v>
      </c>
      <c r="K24" s="160">
        <f>SUM('2023'!G24:G24)</f>
        <v>747597.87999999989</v>
      </c>
      <c r="L24" s="161">
        <f t="shared" si="7"/>
        <v>89229.250000000116</v>
      </c>
      <c r="M24" s="165">
        <f t="shared" si="2"/>
        <v>0.11935460544644694</v>
      </c>
      <c r="N24" s="160">
        <f>'2024'!G24</f>
        <v>836827.13</v>
      </c>
      <c r="O24" s="160">
        <f>'2024'!G100</f>
        <v>748860.49593329686</v>
      </c>
      <c r="P24" s="161">
        <f t="shared" si="6"/>
        <v>87966.634066703147</v>
      </c>
      <c r="Q24" s="163">
        <f t="shared" si="3"/>
        <v>0.1174673180711332</v>
      </c>
      <c r="R24" s="160">
        <f>'2023'!G24</f>
        <v>747597.87999999989</v>
      </c>
      <c r="S24" s="161">
        <f t="shared" si="4"/>
        <v>89229.250000000116</v>
      </c>
      <c r="T24" s="165">
        <f t="shared" si="5"/>
        <v>0.11935460544644694</v>
      </c>
      <c r="W24" s="470"/>
      <c r="Y24" s="470"/>
    </row>
    <row r="25" spans="1:25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f>'2024'!S25</f>
        <v>2491580.6800000006</v>
      </c>
      <c r="H25" s="160">
        <f>SUM('2024'!G101:G101)</f>
        <v>2682300.8007396669</v>
      </c>
      <c r="I25" s="161">
        <f t="shared" si="0"/>
        <v>-190720.12073966628</v>
      </c>
      <c r="J25" s="163">
        <f t="shared" si="1"/>
        <v>-7.110318152500783E-2</v>
      </c>
      <c r="K25" s="160">
        <f>SUM('2023'!G25:G25)</f>
        <v>11787074.770000001</v>
      </c>
      <c r="L25" s="161">
        <f t="shared" si="7"/>
        <v>-9295494.0899999999</v>
      </c>
      <c r="M25" s="165">
        <f t="shared" si="2"/>
        <v>-0.7886175553631446</v>
      </c>
      <c r="N25" s="160">
        <f>'2024'!G25</f>
        <v>2491580.6800000006</v>
      </c>
      <c r="O25" s="160">
        <f>'2024'!G101</f>
        <v>2682300.8007396669</v>
      </c>
      <c r="P25" s="161">
        <f t="shared" si="6"/>
        <v>-190720.12073966628</v>
      </c>
      <c r="Q25" s="163">
        <f t="shared" si="3"/>
        <v>-7.110318152500783E-2</v>
      </c>
      <c r="R25" s="160">
        <f>'2023'!G25</f>
        <v>11787074.770000001</v>
      </c>
      <c r="S25" s="161">
        <f t="shared" si="4"/>
        <v>-9295494.0899999999</v>
      </c>
      <c r="T25" s="165">
        <f t="shared" si="5"/>
        <v>-0.7886175553631446</v>
      </c>
      <c r="W25" s="470"/>
      <c r="Y25" s="470"/>
    </row>
    <row r="26" spans="1:25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f>'2024'!S26</f>
        <v>10363477.580000004</v>
      </c>
      <c r="H26" s="160">
        <f>SUM('2024'!G102:G102)</f>
        <v>4850852.370284291</v>
      </c>
      <c r="I26" s="161">
        <f t="shared" si="0"/>
        <v>5512625.2097157128</v>
      </c>
      <c r="J26" s="163">
        <f t="shared" si="1"/>
        <v>1.136424032090805</v>
      </c>
      <c r="K26" s="160">
        <f>SUM('2023'!G26:G26)</f>
        <v>34581504.68</v>
      </c>
      <c r="L26" s="161">
        <f t="shared" si="7"/>
        <v>-24218027.099999994</v>
      </c>
      <c r="M26" s="165">
        <f t="shared" si="2"/>
        <v>-0.70031733217225633</v>
      </c>
      <c r="N26" s="160">
        <f>'2024'!G26</f>
        <v>10363477.580000004</v>
      </c>
      <c r="O26" s="160">
        <f>'2024'!G102</f>
        <v>4850852.370284291</v>
      </c>
      <c r="P26" s="161">
        <f t="shared" si="6"/>
        <v>5512625.2097157128</v>
      </c>
      <c r="Q26" s="163">
        <f t="shared" si="3"/>
        <v>1.136424032090805</v>
      </c>
      <c r="R26" s="160">
        <f>'2023'!G26</f>
        <v>34581504.68</v>
      </c>
      <c r="S26" s="161">
        <f t="shared" si="4"/>
        <v>-24218027.099999994</v>
      </c>
      <c r="T26" s="165">
        <f t="shared" si="5"/>
        <v>-0.70031733217225633</v>
      </c>
      <c r="W26" s="470"/>
      <c r="Y26" s="470"/>
    </row>
    <row r="27" spans="1:25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f>'2024'!S27</f>
        <v>0</v>
      </c>
      <c r="H27" s="160">
        <f>SUM('2024'!G103:G103)</f>
        <v>0</v>
      </c>
      <c r="I27" s="161">
        <f t="shared" si="0"/>
        <v>0</v>
      </c>
      <c r="J27" s="163" t="str">
        <f t="shared" si="1"/>
        <v>...</v>
      </c>
      <c r="K27" s="160">
        <f>SUM('2023'!G27:G27)</f>
        <v>0</v>
      </c>
      <c r="L27" s="161">
        <f t="shared" si="7"/>
        <v>0</v>
      </c>
      <c r="M27" s="165" t="str">
        <f t="shared" si="2"/>
        <v>...</v>
      </c>
      <c r="N27" s="160">
        <f>'2024'!G27</f>
        <v>0</v>
      </c>
      <c r="O27" s="160">
        <f>'2024'!G103</f>
        <v>0</v>
      </c>
      <c r="P27" s="161">
        <f t="shared" si="6"/>
        <v>0</v>
      </c>
      <c r="Q27" s="163" t="str">
        <f t="shared" si="3"/>
        <v>...</v>
      </c>
      <c r="R27" s="160">
        <f>'2023'!G27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f>'2024'!S28</f>
        <v>4232324.3599999994</v>
      </c>
      <c r="H28" s="160">
        <f>SUM('2024'!G104:G104)</f>
        <v>4000000</v>
      </c>
      <c r="I28" s="161">
        <f t="shared" si="0"/>
        <v>232324.3599999994</v>
      </c>
      <c r="J28" s="163">
        <f t="shared" si="1"/>
        <v>5.8081089999999946E-2</v>
      </c>
      <c r="K28" s="160">
        <f>SUM('2023'!G28:G28)</f>
        <v>1415909.3</v>
      </c>
      <c r="L28" s="161">
        <f t="shared" si="7"/>
        <v>2816415.0599999996</v>
      </c>
      <c r="M28" s="165">
        <f t="shared" si="2"/>
        <v>1.9891210969516191</v>
      </c>
      <c r="N28" s="160">
        <f>'2024'!G28</f>
        <v>4232324.3599999994</v>
      </c>
      <c r="O28" s="160">
        <f>'2024'!G104</f>
        <v>4000000</v>
      </c>
      <c r="P28" s="161">
        <f t="shared" si="6"/>
        <v>232324.3599999994</v>
      </c>
      <c r="Q28" s="163">
        <f t="shared" si="3"/>
        <v>5.8081089999999946E-2</v>
      </c>
      <c r="R28" s="160">
        <f>'2023'!G28</f>
        <v>1415909.3</v>
      </c>
      <c r="S28" s="161">
        <f t="shared" si="4"/>
        <v>2816415.0599999996</v>
      </c>
      <c r="T28" s="165">
        <f t="shared" si="5"/>
        <v>1.9891210969516191</v>
      </c>
      <c r="W28" s="470"/>
      <c r="Y28" s="470"/>
    </row>
    <row r="29" spans="1:25" ht="15.7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'2024'!S29</f>
        <v>137139676.92000005</v>
      </c>
      <c r="H29" s="136">
        <f>SUM('2024'!G105:G105)</f>
        <v>184919053.78499997</v>
      </c>
      <c r="I29" s="137">
        <f t="shared" si="0"/>
        <v>-47779376.86499992</v>
      </c>
      <c r="J29" s="139">
        <f t="shared" si="1"/>
        <v>-0.25837995537524017</v>
      </c>
      <c r="K29" s="136">
        <f>SUM('2023'!G29:G29)</f>
        <v>114994087.69</v>
      </c>
      <c r="L29" s="137">
        <f t="shared" si="7"/>
        <v>22145589.230000049</v>
      </c>
      <c r="M29" s="141">
        <f t="shared" si="2"/>
        <v>0.19258024194861156</v>
      </c>
      <c r="N29" s="136">
        <f>'2024'!G29</f>
        <v>137139676.92000005</v>
      </c>
      <c r="O29" s="136">
        <f>'2024'!G105</f>
        <v>184919053.78499997</v>
      </c>
      <c r="P29" s="137">
        <f t="shared" si="6"/>
        <v>-47779376.86499992</v>
      </c>
      <c r="Q29" s="139">
        <f t="shared" si="3"/>
        <v>-0.25837995537524017</v>
      </c>
      <c r="R29" s="136">
        <f>'2023'!G29</f>
        <v>114994087.69</v>
      </c>
      <c r="S29" s="137">
        <f t="shared" si="4"/>
        <v>22145589.230000049</v>
      </c>
      <c r="T29" s="141">
        <f t="shared" si="5"/>
        <v>0.19258024194861156</v>
      </c>
      <c r="W29" s="470"/>
      <c r="Y29" s="470"/>
    </row>
    <row r="30" spans="1:25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294">
        <f>'2024'!S30</f>
        <v>61434219.910000026</v>
      </c>
      <c r="H30" s="294">
        <f>SUM('2024'!G106:G106)</f>
        <v>87878650.644999996</v>
      </c>
      <c r="I30" s="173">
        <f t="shared" si="0"/>
        <v>-26444430.73499997</v>
      </c>
      <c r="J30" s="175">
        <f t="shared" si="1"/>
        <v>-0.30091985415008837</v>
      </c>
      <c r="K30" s="294">
        <f>SUM('2023'!G30:G30)</f>
        <v>53320798.629999995</v>
      </c>
      <c r="L30" s="173">
        <f t="shared" si="7"/>
        <v>8113421.280000031</v>
      </c>
      <c r="M30" s="177">
        <f t="shared" si="2"/>
        <v>0.15216241107527528</v>
      </c>
      <c r="N30" s="294">
        <f>'2024'!G30</f>
        <v>61434219.910000026</v>
      </c>
      <c r="O30" s="294">
        <f>'2024'!G106</f>
        <v>87878650.644999996</v>
      </c>
      <c r="P30" s="173">
        <f t="shared" si="6"/>
        <v>-26444430.73499997</v>
      </c>
      <c r="Q30" s="175">
        <f t="shared" si="3"/>
        <v>-0.30091985415008837</v>
      </c>
      <c r="R30" s="294">
        <f>'2023'!G30</f>
        <v>53320798.629999995</v>
      </c>
      <c r="S30" s="173">
        <f t="shared" si="4"/>
        <v>8113421.280000031</v>
      </c>
      <c r="T30" s="177">
        <f t="shared" si="5"/>
        <v>0.15216241107527528</v>
      </c>
      <c r="W30" s="470"/>
      <c r="Y30" s="470"/>
    </row>
    <row r="31" spans="1:25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f>'2024'!S31</f>
        <v>55136615.75000003</v>
      </c>
      <c r="H31" s="148">
        <f>SUM('2024'!G107:G107)</f>
        <v>57236559.594999999</v>
      </c>
      <c r="I31" s="149">
        <f t="shared" si="0"/>
        <v>-2099943.844999969</v>
      </c>
      <c r="J31" s="151">
        <f t="shared" si="1"/>
        <v>-3.668885516283571E-2</v>
      </c>
      <c r="K31" s="148">
        <f>SUM('2023'!G31:G31)</f>
        <v>45778601.380000003</v>
      </c>
      <c r="L31" s="149">
        <f t="shared" si="7"/>
        <v>9358014.3700000271</v>
      </c>
      <c r="M31" s="153">
        <f t="shared" si="2"/>
        <v>0.20441896623972444</v>
      </c>
      <c r="N31" s="148">
        <f>'2024'!G31</f>
        <v>55136615.75000003</v>
      </c>
      <c r="O31" s="148">
        <f>'2024'!G107</f>
        <v>57236559.594999999</v>
      </c>
      <c r="P31" s="149">
        <f>+N31-O31</f>
        <v>-2099943.844999969</v>
      </c>
      <c r="Q31" s="151">
        <f>IF(+IF(ISERROR(N31/O31),"…",N31/O31-1)&gt;200%,"...",IF(ISERROR(N31/O31),"…",N31/O31-1))</f>
        <v>-3.668885516283571E-2</v>
      </c>
      <c r="R31" s="148">
        <f>'2023'!G31</f>
        <v>45778601.380000003</v>
      </c>
      <c r="S31" s="149">
        <f t="shared" si="4"/>
        <v>9358014.3700000271</v>
      </c>
      <c r="T31" s="153">
        <f t="shared" si="5"/>
        <v>0.20441896623972444</v>
      </c>
      <c r="W31" s="470"/>
      <c r="Y31" s="470"/>
    </row>
    <row r="32" spans="1:25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f>'2024'!S32</f>
        <v>104790.61</v>
      </c>
      <c r="H32" s="148">
        <f>SUM('2024'!G108:G108)</f>
        <v>2100463.6400000006</v>
      </c>
      <c r="I32" s="149">
        <f t="shared" si="0"/>
        <v>-1995673.0300000005</v>
      </c>
      <c r="J32" s="151">
        <f t="shared" si="1"/>
        <v>-0.95011072412565067</v>
      </c>
      <c r="K32" s="148">
        <f>SUM('2023'!G32:G32)</f>
        <v>299493.63000000006</v>
      </c>
      <c r="L32" s="149">
        <f t="shared" si="7"/>
        <v>-194703.02000000008</v>
      </c>
      <c r="M32" s="153">
        <f t="shared" si="2"/>
        <v>-0.65010738291829451</v>
      </c>
      <c r="N32" s="148">
        <f>'2024'!G32</f>
        <v>104790.61</v>
      </c>
      <c r="O32" s="148">
        <f>'2024'!G108</f>
        <v>2100463.6400000006</v>
      </c>
      <c r="P32" s="149">
        <f t="shared" si="6"/>
        <v>-1995673.0300000005</v>
      </c>
      <c r="Q32" s="151">
        <f t="shared" si="3"/>
        <v>-0.95011072412565067</v>
      </c>
      <c r="R32" s="148">
        <f>'2023'!G32</f>
        <v>299493.63000000006</v>
      </c>
      <c r="S32" s="149">
        <f t="shared" si="4"/>
        <v>-194703.02000000008</v>
      </c>
      <c r="T32" s="153">
        <f t="shared" si="5"/>
        <v>-0.65010738291829451</v>
      </c>
      <c r="W32" s="470"/>
      <c r="Y32" s="470"/>
    </row>
    <row r="33" spans="1:25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f>'2024'!S33</f>
        <v>201738.93999999997</v>
      </c>
      <c r="H33" s="148">
        <f>SUM('2024'!G109:G109)</f>
        <v>2592981.6999999997</v>
      </c>
      <c r="I33" s="149">
        <f t="shared" si="0"/>
        <v>-2391242.7599999998</v>
      </c>
      <c r="J33" s="151">
        <f t="shared" si="1"/>
        <v>-0.92219808570187745</v>
      </c>
      <c r="K33" s="148">
        <f>SUM('2023'!G33:G33)</f>
        <v>94282.16</v>
      </c>
      <c r="L33" s="149">
        <f t="shared" si="7"/>
        <v>107456.77999999997</v>
      </c>
      <c r="M33" s="153">
        <f t="shared" si="2"/>
        <v>1.1397360858088099</v>
      </c>
      <c r="N33" s="148">
        <f>'2024'!G33</f>
        <v>201738.93999999997</v>
      </c>
      <c r="O33" s="148">
        <f>'2024'!G109</f>
        <v>2592981.6999999997</v>
      </c>
      <c r="P33" s="149">
        <f t="shared" si="6"/>
        <v>-2391242.7599999998</v>
      </c>
      <c r="Q33" s="151">
        <f t="shared" si="3"/>
        <v>-0.92219808570187745</v>
      </c>
      <c r="R33" s="148">
        <f>'2023'!G33</f>
        <v>94282.16</v>
      </c>
      <c r="S33" s="149">
        <f t="shared" si="4"/>
        <v>107456.77999999997</v>
      </c>
      <c r="T33" s="153">
        <f t="shared" si="5"/>
        <v>1.1397360858088099</v>
      </c>
      <c r="W33" s="470"/>
      <c r="Y33" s="470"/>
    </row>
    <row r="34" spans="1:25">
      <c r="A34" s="135">
        <v>414</v>
      </c>
      <c r="B34" s="565" t="str">
        <f>+VLOOKUP($A34,Master!$D$30:$G$226,4,FALSE)</f>
        <v>Rashodi za usluge</v>
      </c>
      <c r="C34" s="566"/>
      <c r="D34" s="566"/>
      <c r="E34" s="566"/>
      <c r="F34" s="566"/>
      <c r="G34" s="148">
        <f>'2024'!S34</f>
        <v>597454.64</v>
      </c>
      <c r="H34" s="148">
        <f>SUM('2024'!G110:G110)</f>
        <v>3340743.4700000011</v>
      </c>
      <c r="I34" s="149">
        <f t="shared" si="0"/>
        <v>-2743288.830000001</v>
      </c>
      <c r="J34" s="151">
        <f t="shared" si="1"/>
        <v>-0.82116117404249545</v>
      </c>
      <c r="K34" s="148">
        <f>SUM('2023'!G34:G34)</f>
        <v>877592.34</v>
      </c>
      <c r="L34" s="149">
        <f t="shared" si="7"/>
        <v>-280137.69999999995</v>
      </c>
      <c r="M34" s="153">
        <f t="shared" si="2"/>
        <v>-0.31921165127763074</v>
      </c>
      <c r="N34" s="148">
        <f>'2024'!G34</f>
        <v>597454.64</v>
      </c>
      <c r="O34" s="148">
        <f>'2024'!G110</f>
        <v>3340743.4700000011</v>
      </c>
      <c r="P34" s="149">
        <f t="shared" si="6"/>
        <v>-2743288.830000001</v>
      </c>
      <c r="Q34" s="151">
        <f t="shared" si="3"/>
        <v>-0.82116117404249545</v>
      </c>
      <c r="R34" s="148">
        <f>'2023'!G34</f>
        <v>877592.34</v>
      </c>
      <c r="S34" s="149">
        <f t="shared" si="4"/>
        <v>-280137.69999999995</v>
      </c>
      <c r="T34" s="153">
        <f t="shared" si="5"/>
        <v>-0.31921165127763074</v>
      </c>
      <c r="W34" s="470"/>
      <c r="Y34" s="470"/>
    </row>
    <row r="35" spans="1:25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f>'2024'!S35</f>
        <v>4201.6000000000004</v>
      </c>
      <c r="H35" s="148">
        <f>SUM('2024'!G111:G111)</f>
        <v>1533230.38</v>
      </c>
      <c r="I35" s="149">
        <f t="shared" si="0"/>
        <v>-1529028.7799999998</v>
      </c>
      <c r="J35" s="151">
        <f t="shared" si="1"/>
        <v>-0.99725964208979478</v>
      </c>
      <c r="K35" s="148">
        <f>SUM('2023'!G35:G35)</f>
        <v>4072.0400000000004</v>
      </c>
      <c r="L35" s="149">
        <f t="shared" si="7"/>
        <v>129.55999999999995</v>
      </c>
      <c r="M35" s="153">
        <f t="shared" si="2"/>
        <v>3.1816976257600604E-2</v>
      </c>
      <c r="N35" s="148">
        <f>'2024'!G35</f>
        <v>4201.6000000000004</v>
      </c>
      <c r="O35" s="148">
        <f>'2024'!G111</f>
        <v>1533230.38</v>
      </c>
      <c r="P35" s="149">
        <f t="shared" si="6"/>
        <v>-1529028.7799999998</v>
      </c>
      <c r="Q35" s="151">
        <f t="shared" si="3"/>
        <v>-0.99725964208979478</v>
      </c>
      <c r="R35" s="148">
        <f>'2023'!G35</f>
        <v>4072.0400000000004</v>
      </c>
      <c r="S35" s="149">
        <f t="shared" si="4"/>
        <v>129.55999999999995</v>
      </c>
      <c r="T35" s="153">
        <f t="shared" si="5"/>
        <v>3.1816976257600604E-2</v>
      </c>
      <c r="W35" s="470"/>
      <c r="Y35" s="470"/>
    </row>
    <row r="36" spans="1:25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f>'2024'!S36</f>
        <v>4029329.47</v>
      </c>
      <c r="H36" s="148">
        <f>SUM('2024'!G112:G112)</f>
        <v>7863506.3399999999</v>
      </c>
      <c r="I36" s="149">
        <f t="shared" si="0"/>
        <v>-3834176.8699999996</v>
      </c>
      <c r="J36" s="151">
        <f t="shared" si="1"/>
        <v>-0.48759124800298692</v>
      </c>
      <c r="K36" s="148">
        <f>SUM('2023'!G36:G36)</f>
        <v>3966895.7600000002</v>
      </c>
      <c r="L36" s="149">
        <f t="shared" si="7"/>
        <v>62433.709999999963</v>
      </c>
      <c r="M36" s="153">
        <f t="shared" si="2"/>
        <v>1.573868177468829E-2</v>
      </c>
      <c r="N36" s="148">
        <f>'2024'!G36</f>
        <v>4029329.47</v>
      </c>
      <c r="O36" s="148">
        <f>'2024'!G112</f>
        <v>7863506.3399999999</v>
      </c>
      <c r="P36" s="149">
        <f t="shared" si="6"/>
        <v>-3834176.8699999996</v>
      </c>
      <c r="Q36" s="151">
        <f t="shared" si="3"/>
        <v>-0.48759124800298692</v>
      </c>
      <c r="R36" s="148">
        <f>'2023'!G36</f>
        <v>3966895.7600000002</v>
      </c>
      <c r="S36" s="149">
        <f t="shared" si="4"/>
        <v>62433.709999999963</v>
      </c>
      <c r="T36" s="153">
        <f t="shared" si="5"/>
        <v>1.573868177468829E-2</v>
      </c>
      <c r="W36" s="470"/>
      <c r="Y36" s="470"/>
    </row>
    <row r="37" spans="1:25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f>'2024'!S37</f>
        <v>155.47</v>
      </c>
      <c r="H37" s="148">
        <f>SUM('2024'!G113:G113)</f>
        <v>1176076.0799999998</v>
      </c>
      <c r="I37" s="149">
        <f t="shared" si="0"/>
        <v>-1175920.6099999999</v>
      </c>
      <c r="J37" s="151">
        <f t="shared" si="1"/>
        <v>-0.99986780617117899</v>
      </c>
      <c r="K37" s="148">
        <f>SUM('2023'!G37:G37)</f>
        <v>2378.37</v>
      </c>
      <c r="L37" s="149">
        <f t="shared" si="7"/>
        <v>-2222.9</v>
      </c>
      <c r="M37" s="153">
        <f t="shared" si="2"/>
        <v>-0.93463170154349406</v>
      </c>
      <c r="N37" s="148">
        <f>'2024'!G37</f>
        <v>155.47</v>
      </c>
      <c r="O37" s="148">
        <f>'2024'!G113</f>
        <v>1176076.0799999998</v>
      </c>
      <c r="P37" s="149">
        <f t="shared" si="6"/>
        <v>-1175920.6099999999</v>
      </c>
      <c r="Q37" s="151">
        <f t="shared" si="3"/>
        <v>-0.99986780617117899</v>
      </c>
      <c r="R37" s="148">
        <f>'2023'!G37</f>
        <v>2378.37</v>
      </c>
      <c r="S37" s="149">
        <f t="shared" si="4"/>
        <v>-2222.9</v>
      </c>
      <c r="T37" s="153">
        <f t="shared" si="5"/>
        <v>-0.93463170154349406</v>
      </c>
      <c r="W37" s="470"/>
      <c r="Y37" s="470"/>
    </row>
    <row r="38" spans="1:25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f>'2024'!S38</f>
        <v>1261570.0099999988</v>
      </c>
      <c r="H38" s="148">
        <f>SUM('2024'!G114:G114)</f>
        <v>2842083.57</v>
      </c>
      <c r="I38" s="149">
        <f t="shared" si="0"/>
        <v>-1580513.560000001</v>
      </c>
      <c r="J38" s="151">
        <f t="shared" si="1"/>
        <v>-0.55611086763363582</v>
      </c>
      <c r="K38" s="148">
        <f>SUM('2023'!G38:G38)</f>
        <v>1880948.3</v>
      </c>
      <c r="L38" s="149">
        <f t="shared" si="7"/>
        <v>-619378.2900000012</v>
      </c>
      <c r="M38" s="153">
        <f t="shared" si="2"/>
        <v>-0.3292904382326729</v>
      </c>
      <c r="N38" s="148">
        <f>'2024'!G38</f>
        <v>1261570.0099999988</v>
      </c>
      <c r="O38" s="148">
        <f>'2024'!G114</f>
        <v>2842083.57</v>
      </c>
      <c r="P38" s="149">
        <f t="shared" si="6"/>
        <v>-1580513.560000001</v>
      </c>
      <c r="Q38" s="151">
        <f t="shared" si="3"/>
        <v>-0.55611086763363582</v>
      </c>
      <c r="R38" s="148">
        <f>'2023'!G38</f>
        <v>1880948.3</v>
      </c>
      <c r="S38" s="149">
        <f t="shared" si="4"/>
        <v>-619378.2900000012</v>
      </c>
      <c r="T38" s="153">
        <f t="shared" si="5"/>
        <v>-0.3292904382326729</v>
      </c>
      <c r="W38" s="470"/>
      <c r="Y38" s="470"/>
    </row>
    <row r="39" spans="1:25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148">
        <f>'2024'!S39</f>
        <v>98363.42</v>
      </c>
      <c r="H39" s="148">
        <f>SUM('2024'!G115:G115)</f>
        <v>9193005.8699999992</v>
      </c>
      <c r="I39" s="149">
        <f t="shared" si="0"/>
        <v>-9094642.4499999993</v>
      </c>
      <c r="J39" s="151">
        <f t="shared" si="1"/>
        <v>-0.98930018957988552</v>
      </c>
      <c r="K39" s="148">
        <f>SUM('2023'!G39:G39)</f>
        <v>416534.65</v>
      </c>
      <c r="L39" s="149">
        <f t="shared" si="7"/>
        <v>-318171.23000000004</v>
      </c>
      <c r="M39" s="153">
        <f t="shared" si="2"/>
        <v>-0.7638529711753872</v>
      </c>
      <c r="N39" s="148">
        <f>'2024'!G39</f>
        <v>98363.42</v>
      </c>
      <c r="O39" s="148">
        <f>'2024'!G115</f>
        <v>9193005.8699999992</v>
      </c>
      <c r="P39" s="149">
        <f t="shared" si="6"/>
        <v>-9094642.4499999993</v>
      </c>
      <c r="Q39" s="151">
        <f t="shared" si="3"/>
        <v>-0.98930018957988552</v>
      </c>
      <c r="R39" s="148">
        <f>'2023'!G39</f>
        <v>416534.65</v>
      </c>
      <c r="S39" s="149">
        <f t="shared" si="4"/>
        <v>-318171.23000000004</v>
      </c>
      <c r="T39" s="153">
        <f t="shared" si="5"/>
        <v>-0.7638529711753872</v>
      </c>
      <c r="W39" s="470"/>
      <c r="Y39" s="470"/>
    </row>
    <row r="40" spans="1:25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'2024'!S40</f>
        <v>68160370.310000002</v>
      </c>
      <c r="H40" s="178">
        <f>SUM('2024'!G116:G116)</f>
        <v>75443525</v>
      </c>
      <c r="I40" s="179">
        <f t="shared" si="0"/>
        <v>-7283154.6899999976</v>
      </c>
      <c r="J40" s="181">
        <f t="shared" si="1"/>
        <v>-9.6537836613546313E-2</v>
      </c>
      <c r="K40" s="178">
        <f>SUM('2023'!G40:G40)</f>
        <v>58447908.409999996</v>
      </c>
      <c r="L40" s="179">
        <f t="shared" si="7"/>
        <v>9712461.900000006</v>
      </c>
      <c r="M40" s="183">
        <f t="shared" si="2"/>
        <v>0.16617295920786579</v>
      </c>
      <c r="N40" s="178">
        <f>'2024'!G40</f>
        <v>68160370.310000002</v>
      </c>
      <c r="O40" s="178">
        <f>'2024'!G116</f>
        <v>75443525</v>
      </c>
      <c r="P40" s="179">
        <f t="shared" si="6"/>
        <v>-7283154.6899999976</v>
      </c>
      <c r="Q40" s="181">
        <f t="shared" si="3"/>
        <v>-9.6537836613546313E-2</v>
      </c>
      <c r="R40" s="178">
        <f>'2023'!G40</f>
        <v>58447908.409999996</v>
      </c>
      <c r="S40" s="179">
        <f t="shared" si="4"/>
        <v>9712461.900000006</v>
      </c>
      <c r="T40" s="183">
        <f t="shared" si="5"/>
        <v>0.16617295920786579</v>
      </c>
      <c r="W40" s="470"/>
      <c r="Y40" s="470"/>
    </row>
    <row r="41" spans="1:25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f>'2024'!S41</f>
        <v>17183646.739999998</v>
      </c>
      <c r="H41" s="148">
        <f>SUM('2024'!G117:G117)</f>
        <v>18712760.859999999</v>
      </c>
      <c r="I41" s="149">
        <f t="shared" si="0"/>
        <v>-1529114.120000001</v>
      </c>
      <c r="J41" s="151">
        <f t="shared" si="1"/>
        <v>-8.1715046295953164E-2</v>
      </c>
      <c r="K41" s="148">
        <f>SUM('2023'!G41:G41)</f>
        <v>15193246.93</v>
      </c>
      <c r="L41" s="149">
        <f t="shared" si="7"/>
        <v>1990399.8099999987</v>
      </c>
      <c r="M41" s="153">
        <f t="shared" si="2"/>
        <v>0.1310055591915531</v>
      </c>
      <c r="N41" s="148">
        <f>'2024'!G41</f>
        <v>17183646.739999998</v>
      </c>
      <c r="O41" s="148">
        <f>'2024'!G117</f>
        <v>18712760.859999999</v>
      </c>
      <c r="P41" s="149">
        <f t="shared" si="6"/>
        <v>-1529114.120000001</v>
      </c>
      <c r="Q41" s="151">
        <f t="shared" si="3"/>
        <v>-8.1715046295953164E-2</v>
      </c>
      <c r="R41" s="148">
        <f>'2023'!G41</f>
        <v>15193246.93</v>
      </c>
      <c r="S41" s="149">
        <f t="shared" si="4"/>
        <v>1990399.8099999987</v>
      </c>
      <c r="T41" s="153">
        <f t="shared" si="5"/>
        <v>0.1310055591915531</v>
      </c>
      <c r="W41" s="470"/>
      <c r="Y41" s="470"/>
    </row>
    <row r="42" spans="1:25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f>'2024'!S42</f>
        <v>0</v>
      </c>
      <c r="H42" s="148">
        <f>SUM('2024'!G118:G118)</f>
        <v>2092191.6600000001</v>
      </c>
      <c r="I42" s="149">
        <f t="shared" si="0"/>
        <v>-2092191.6600000001</v>
      </c>
      <c r="J42" s="151">
        <f t="shared" si="1"/>
        <v>-1</v>
      </c>
      <c r="K42" s="148">
        <f>SUM('2023'!G42:G42)</f>
        <v>0</v>
      </c>
      <c r="L42" s="149">
        <f t="shared" si="7"/>
        <v>0</v>
      </c>
      <c r="M42" s="153" t="str">
        <f t="shared" si="2"/>
        <v>...</v>
      </c>
      <c r="N42" s="148">
        <f>'2024'!G42</f>
        <v>0</v>
      </c>
      <c r="O42" s="148">
        <f>'2024'!G118</f>
        <v>2092191.6600000001</v>
      </c>
      <c r="P42" s="149">
        <f t="shared" si="6"/>
        <v>-2092191.6600000001</v>
      </c>
      <c r="Q42" s="151">
        <f t="shared" si="3"/>
        <v>-1</v>
      </c>
      <c r="R42" s="148">
        <f>'2023'!G42</f>
        <v>0</v>
      </c>
      <c r="S42" s="149">
        <f t="shared" si="4"/>
        <v>0</v>
      </c>
      <c r="T42" s="153" t="str">
        <f t="shared" si="5"/>
        <v>...</v>
      </c>
      <c r="W42" s="470"/>
      <c r="Y42" s="470"/>
    </row>
    <row r="43" spans="1:25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f>'2024'!S43</f>
        <v>49992941.520000003</v>
      </c>
      <c r="H43" s="148">
        <f>SUM('2024'!G119:G119)</f>
        <v>51583572.480000004</v>
      </c>
      <c r="I43" s="149">
        <f t="shared" si="0"/>
        <v>-1590630.9600000009</v>
      </c>
      <c r="J43" s="151">
        <f t="shared" si="1"/>
        <v>-3.0835998429862954E-2</v>
      </c>
      <c r="K43" s="148">
        <f>SUM('2023'!G43:G43)</f>
        <v>42310100.469999999</v>
      </c>
      <c r="L43" s="149">
        <f t="shared" si="7"/>
        <v>7682841.0500000045</v>
      </c>
      <c r="M43" s="153">
        <f t="shared" si="2"/>
        <v>0.18158408901551826</v>
      </c>
      <c r="N43" s="148">
        <f>'2024'!G43</f>
        <v>49992941.520000003</v>
      </c>
      <c r="O43" s="148">
        <f>'2024'!G119</f>
        <v>51583572.480000004</v>
      </c>
      <c r="P43" s="149">
        <f t="shared" si="6"/>
        <v>-1590630.9600000009</v>
      </c>
      <c r="Q43" s="151">
        <f t="shared" si="3"/>
        <v>-3.0835998429862954E-2</v>
      </c>
      <c r="R43" s="148">
        <f>'2023'!G43</f>
        <v>42310100.469999999</v>
      </c>
      <c r="S43" s="149">
        <f t="shared" si="4"/>
        <v>7682841.0500000045</v>
      </c>
      <c r="T43" s="153">
        <f t="shared" si="5"/>
        <v>0.18158408901551826</v>
      </c>
      <c r="W43" s="470"/>
      <c r="Y43" s="470"/>
    </row>
    <row r="44" spans="1:25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f>'2024'!S44</f>
        <v>949034.00000000012</v>
      </c>
      <c r="H44" s="148">
        <f>SUM('2024'!G120:G120)</f>
        <v>1755000</v>
      </c>
      <c r="I44" s="149">
        <f t="shared" si="0"/>
        <v>-805965.99999999988</v>
      </c>
      <c r="J44" s="151">
        <f t="shared" si="1"/>
        <v>-0.45923988603988597</v>
      </c>
      <c r="K44" s="148">
        <f>SUM('2023'!G44:G44)</f>
        <v>944561.01</v>
      </c>
      <c r="L44" s="149">
        <f t="shared" si="7"/>
        <v>4472.9900000001071</v>
      </c>
      <c r="M44" s="153">
        <f t="shared" si="2"/>
        <v>4.7355225894831765E-3</v>
      </c>
      <c r="N44" s="148">
        <f>'2024'!G44</f>
        <v>949034.00000000012</v>
      </c>
      <c r="O44" s="148">
        <f>'2024'!G120</f>
        <v>1755000</v>
      </c>
      <c r="P44" s="149">
        <f t="shared" si="6"/>
        <v>-805965.99999999988</v>
      </c>
      <c r="Q44" s="151">
        <f t="shared" si="3"/>
        <v>-0.45923988603988597</v>
      </c>
      <c r="R44" s="148">
        <f>'2023'!G44</f>
        <v>944561.01</v>
      </c>
      <c r="S44" s="149">
        <f t="shared" si="4"/>
        <v>4472.9900000001071</v>
      </c>
      <c r="T44" s="153">
        <f t="shared" si="5"/>
        <v>4.7355225894831765E-3</v>
      </c>
      <c r="W44" s="470"/>
      <c r="Y44" s="470"/>
    </row>
    <row r="45" spans="1:25">
      <c r="A45" s="135">
        <v>425</v>
      </c>
      <c r="B45" s="565" t="str">
        <f>+VLOOKUP($A45,Master!$D$30:$G$226,4,FALSE)</f>
        <v>Ostala prava iz zdravstvenog osiguranja</v>
      </c>
      <c r="C45" s="566"/>
      <c r="D45" s="566"/>
      <c r="E45" s="566"/>
      <c r="F45" s="566"/>
      <c r="G45" s="148">
        <f>'2024'!S45</f>
        <v>34748.049999999996</v>
      </c>
      <c r="H45" s="148">
        <f>SUM('2024'!G121:G121)</f>
        <v>1300000</v>
      </c>
      <c r="I45" s="149">
        <f t="shared" si="0"/>
        <v>-1265251.95</v>
      </c>
      <c r="J45" s="151">
        <f t="shared" si="1"/>
        <v>-0.97327073076923076</v>
      </c>
      <c r="K45" s="148">
        <f>SUM('2023'!G45:G45)</f>
        <v>0</v>
      </c>
      <c r="L45" s="149">
        <f t="shared" si="7"/>
        <v>34748.049999999996</v>
      </c>
      <c r="M45" s="153" t="str">
        <f t="shared" si="2"/>
        <v>...</v>
      </c>
      <c r="N45" s="148">
        <f>'2024'!G45</f>
        <v>34748.049999999996</v>
      </c>
      <c r="O45" s="148">
        <f>'2024'!G121</f>
        <v>1300000</v>
      </c>
      <c r="P45" s="149">
        <f t="shared" si="6"/>
        <v>-1265251.95</v>
      </c>
      <c r="Q45" s="151">
        <f t="shared" si="3"/>
        <v>-0.97327073076923076</v>
      </c>
      <c r="R45" s="148">
        <f>'2023'!G45</f>
        <v>0</v>
      </c>
      <c r="S45" s="149">
        <f t="shared" si="4"/>
        <v>34748.049999999996</v>
      </c>
      <c r="T45" s="153" t="str">
        <f t="shared" si="5"/>
        <v>...</v>
      </c>
      <c r="W45" s="470"/>
      <c r="Y45" s="470"/>
    </row>
    <row r="46" spans="1:25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f>'2024'!S46</f>
        <v>2887208.4000000004</v>
      </c>
      <c r="H46" s="160">
        <f>SUM('2024'!G122:G122)</f>
        <v>15240044.790000003</v>
      </c>
      <c r="I46" s="161">
        <f t="shared" si="0"/>
        <v>-12352836.390000002</v>
      </c>
      <c r="J46" s="163">
        <f t="shared" si="1"/>
        <v>-0.81055118670684689</v>
      </c>
      <c r="K46" s="160">
        <f>SUM('2023'!G46:G46)</f>
        <v>1844828.6800000002</v>
      </c>
      <c r="L46" s="161">
        <f t="shared" si="7"/>
        <v>1042379.7200000002</v>
      </c>
      <c r="M46" s="165">
        <f t="shared" si="2"/>
        <v>0.56502792443578009</v>
      </c>
      <c r="N46" s="160">
        <f>'2024'!G46</f>
        <v>2887208.4000000004</v>
      </c>
      <c r="O46" s="160">
        <f>'2024'!G122</f>
        <v>15240044.790000003</v>
      </c>
      <c r="P46" s="161">
        <f t="shared" si="6"/>
        <v>-12352836.390000002</v>
      </c>
      <c r="Q46" s="163">
        <f t="shared" si="3"/>
        <v>-0.81055118670684689</v>
      </c>
      <c r="R46" s="160">
        <f>'2023'!G46</f>
        <v>1844828.6800000002</v>
      </c>
      <c r="S46" s="161">
        <f t="shared" si="4"/>
        <v>1042379.7200000002</v>
      </c>
      <c r="T46" s="165">
        <f t="shared" si="5"/>
        <v>0.56502792443578009</v>
      </c>
      <c r="W46" s="470"/>
      <c r="Y46" s="470"/>
    </row>
    <row r="47" spans="1:25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f>'2024'!S47</f>
        <v>3028948.3500000006</v>
      </c>
      <c r="H47" s="160">
        <f>SUM('2024'!G123:G123)</f>
        <v>4245371.3800000018</v>
      </c>
      <c r="I47" s="161">
        <f t="shared" si="0"/>
        <v>-1216423.0300000012</v>
      </c>
      <c r="J47" s="163">
        <f t="shared" si="1"/>
        <v>-0.28652923881538028</v>
      </c>
      <c r="K47" s="160">
        <f>SUM('2023'!G47:G47)</f>
        <v>420202.33999999997</v>
      </c>
      <c r="L47" s="161">
        <f t="shared" si="7"/>
        <v>2608746.0100000007</v>
      </c>
      <c r="M47" s="165" t="str">
        <f t="shared" si="2"/>
        <v>...</v>
      </c>
      <c r="N47" s="160">
        <f>'2024'!G47</f>
        <v>3028948.3500000006</v>
      </c>
      <c r="O47" s="160">
        <f>'2024'!G123</f>
        <v>4245371.3800000018</v>
      </c>
      <c r="P47" s="161">
        <f t="shared" si="6"/>
        <v>-1216423.0300000012</v>
      </c>
      <c r="Q47" s="163">
        <f t="shared" si="3"/>
        <v>-0.28652923881538028</v>
      </c>
      <c r="R47" s="160">
        <f>'2023'!G47</f>
        <v>420202.33999999997</v>
      </c>
      <c r="S47" s="161">
        <f t="shared" si="4"/>
        <v>2608746.0100000007</v>
      </c>
      <c r="T47" s="165" t="str">
        <f t="shared" si="5"/>
        <v>...</v>
      </c>
      <c r="W47" s="470"/>
      <c r="Y47" s="470"/>
    </row>
    <row r="48" spans="1:25">
      <c r="A48" s="135">
        <v>451</v>
      </c>
      <c r="B48" s="583" t="str">
        <f>+VLOOKUP($A48,Master!$D$30:$G$226,4,FALSE)</f>
        <v>Pozajmice i krediti</v>
      </c>
      <c r="C48" s="584"/>
      <c r="D48" s="584"/>
      <c r="E48" s="584"/>
      <c r="F48" s="584"/>
      <c r="G48" s="148">
        <f>'2024'!S48</f>
        <v>0</v>
      </c>
      <c r="H48" s="148">
        <f>SUM('2024'!G124:G124)</f>
        <v>0</v>
      </c>
      <c r="I48" s="149">
        <f>G48-H48</f>
        <v>0</v>
      </c>
      <c r="J48" s="266" t="str">
        <f t="shared" si="1"/>
        <v>...</v>
      </c>
      <c r="K48" s="148">
        <f>SUM('2023'!G48:G48)</f>
        <v>0</v>
      </c>
      <c r="L48" s="263">
        <f t="shared" si="7"/>
        <v>0</v>
      </c>
      <c r="M48" s="475" t="str">
        <f t="shared" si="2"/>
        <v>...</v>
      </c>
      <c r="N48" s="148">
        <f>'2024'!G48</f>
        <v>0</v>
      </c>
      <c r="O48" s="148">
        <f>'2024'!G124</f>
        <v>0</v>
      </c>
      <c r="P48" s="149">
        <f t="shared" si="6"/>
        <v>0</v>
      </c>
      <c r="Q48" s="266" t="str">
        <f t="shared" si="3"/>
        <v>...</v>
      </c>
      <c r="R48" s="148">
        <f>'2023'!G48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83" t="str">
        <f>+VLOOKUP($A49,Master!$D$30:$G$226,4,FALSE)</f>
        <v>Rezerve</v>
      </c>
      <c r="C49" s="584"/>
      <c r="D49" s="584"/>
      <c r="E49" s="584"/>
      <c r="F49" s="584"/>
      <c r="G49" s="148">
        <f>'2024'!S49</f>
        <v>0</v>
      </c>
      <c r="H49" s="148">
        <f>SUM('2024'!G125:G125)</f>
        <v>0</v>
      </c>
      <c r="I49" s="149">
        <f t="shared" ref="I49:I50" si="8">G49-H49</f>
        <v>0</v>
      </c>
      <c r="J49" s="267" t="str">
        <f t="shared" si="1"/>
        <v>...</v>
      </c>
      <c r="K49" s="148">
        <f>SUM('2023'!G49:G49)</f>
        <v>0</v>
      </c>
      <c r="L49" s="264">
        <f t="shared" si="7"/>
        <v>0</v>
      </c>
      <c r="M49" s="476" t="str">
        <f t="shared" si="2"/>
        <v>...</v>
      </c>
      <c r="N49" s="148">
        <f>'2024'!G49</f>
        <v>0</v>
      </c>
      <c r="O49" s="148">
        <f>'2024'!G125</f>
        <v>0</v>
      </c>
      <c r="P49" s="149">
        <f t="shared" si="6"/>
        <v>0</v>
      </c>
      <c r="Q49" s="267" t="str">
        <f t="shared" si="3"/>
        <v>...</v>
      </c>
      <c r="R49" s="148">
        <f>'2023'!G49</f>
        <v>0</v>
      </c>
      <c r="S49" s="264">
        <f t="shared" si="4"/>
        <v>0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f>'2024'!S50</f>
        <v>0</v>
      </c>
      <c r="H50" s="148">
        <f>SUM('2024'!G126:G126)</f>
        <v>2</v>
      </c>
      <c r="I50" s="149">
        <f t="shared" si="8"/>
        <v>-2</v>
      </c>
      <c r="J50" s="268">
        <f t="shared" si="1"/>
        <v>-1</v>
      </c>
      <c r="K50" s="148">
        <f>SUM('2023'!G50:G50)</f>
        <v>0</v>
      </c>
      <c r="L50" s="264">
        <f t="shared" si="7"/>
        <v>0</v>
      </c>
      <c r="M50" s="477" t="str">
        <f t="shared" si="2"/>
        <v>...</v>
      </c>
      <c r="N50" s="148">
        <f>'2024'!G50</f>
        <v>0</v>
      </c>
      <c r="O50" s="148">
        <f>'2024'!G126</f>
        <v>2</v>
      </c>
      <c r="P50" s="149">
        <f t="shared" si="6"/>
        <v>-2</v>
      </c>
      <c r="Q50" s="268">
        <f t="shared" si="3"/>
        <v>-1</v>
      </c>
      <c r="R50" s="148">
        <f>'2023'!G50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5" t="str">
        <f>+VLOOKUP($A51,Master!$D$30:$G$226,4,FALSE)</f>
        <v>Otplata obaveza iz prethodnog perioda</v>
      </c>
      <c r="C51" s="586"/>
      <c r="D51" s="586"/>
      <c r="E51" s="586"/>
      <c r="F51" s="586"/>
      <c r="G51" s="295">
        <f>'2024'!S51</f>
        <v>1628929.95</v>
      </c>
      <c r="H51" s="295">
        <f>SUM('2024'!G127:G127)</f>
        <v>2111459.9700000007</v>
      </c>
      <c r="I51" s="265">
        <f>G51-H51</f>
        <v>-482530.02000000072</v>
      </c>
      <c r="J51" s="269">
        <f t="shared" si="1"/>
        <v>-0.22852908738781375</v>
      </c>
      <c r="K51" s="295">
        <f>SUM('2023'!G51:G51)</f>
        <v>960349.63</v>
      </c>
      <c r="L51" s="271">
        <f t="shared" si="7"/>
        <v>668580.31999999995</v>
      </c>
      <c r="M51" s="478">
        <f t="shared" si="2"/>
        <v>0.69618428446731428</v>
      </c>
      <c r="N51" s="295">
        <f>'2024'!G51</f>
        <v>1628929.95</v>
      </c>
      <c r="O51" s="295">
        <f>'2024'!G127</f>
        <v>2111459.9700000007</v>
      </c>
      <c r="P51" s="265">
        <f>N51-O51</f>
        <v>-482530.02000000072</v>
      </c>
      <c r="Q51" s="269">
        <f t="shared" si="3"/>
        <v>-0.22852908738781375</v>
      </c>
      <c r="R51" s="295">
        <f>'2023'!G51</f>
        <v>960349.63</v>
      </c>
      <c r="S51" s="271">
        <f>+N51-R51</f>
        <v>668580.31999999995</v>
      </c>
      <c r="T51" s="478">
        <f t="shared" si="5"/>
        <v>0.69618428446731428</v>
      </c>
      <c r="W51" s="470"/>
      <c r="Y51" s="470"/>
    </row>
    <row r="52" spans="1:25" ht="15.75" thickBot="1">
      <c r="A52" s="129">
        <v>1005</v>
      </c>
      <c r="B52" s="585" t="str">
        <f>+VLOOKUP($A52,Master!$D$30:$G$228,4,FALSE)</f>
        <v>Neto povećanje obaveza</v>
      </c>
      <c r="C52" s="586"/>
      <c r="D52" s="586"/>
      <c r="E52" s="586"/>
      <c r="F52" s="586"/>
      <c r="G52" s="148">
        <f>'2024'!S52</f>
        <v>0</v>
      </c>
      <c r="H52" s="148">
        <f>SUM('2024'!G128:G128)</f>
        <v>0</v>
      </c>
      <c r="I52" s="265">
        <f>G52-H52</f>
        <v>0</v>
      </c>
      <c r="J52" s="269" t="str">
        <f t="shared" si="1"/>
        <v>...</v>
      </c>
      <c r="K52" s="148">
        <f>SUM('2023'!G52:G52)</f>
        <v>0</v>
      </c>
      <c r="L52" s="271">
        <f t="shared" si="7"/>
        <v>0</v>
      </c>
      <c r="M52" s="478" t="str">
        <f t="shared" si="2"/>
        <v>...</v>
      </c>
      <c r="N52" s="148">
        <f>'2024'!G52</f>
        <v>0</v>
      </c>
      <c r="O52" s="148">
        <f>'2024'!G128</f>
        <v>0</v>
      </c>
      <c r="P52" s="265">
        <f>N52-O52</f>
        <v>0</v>
      </c>
      <c r="Q52" s="269" t="str">
        <f t="shared" si="3"/>
        <v>...</v>
      </c>
      <c r="R52" s="148">
        <f>'2023'!G52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>'2024'!S53</f>
        <v>16344698.309999973</v>
      </c>
      <c r="H53" s="136">
        <f>SUM('2024'!G129:G129)</f>
        <v>-36146557.659956276</v>
      </c>
      <c r="I53" s="299">
        <f>+G53-H53</f>
        <v>52491255.969956249</v>
      </c>
      <c r="J53" s="270">
        <f t="shared" si="1"/>
        <v>-1.4521785577415269</v>
      </c>
      <c r="K53" s="136">
        <f>SUM('2023'!G53:G53)</f>
        <v>52645474.75999999</v>
      </c>
      <c r="L53" s="272">
        <f t="shared" si="7"/>
        <v>-36300776.450000018</v>
      </c>
      <c r="M53" s="479">
        <f t="shared" si="2"/>
        <v>-0.6895327018226709</v>
      </c>
      <c r="N53" s="136">
        <f>'2024'!G53</f>
        <v>16344698.309999973</v>
      </c>
      <c r="O53" s="136">
        <f>'2024'!G129</f>
        <v>-36146557.659956276</v>
      </c>
      <c r="P53" s="299">
        <f>N53-O53</f>
        <v>52491255.969956249</v>
      </c>
      <c r="Q53" s="270">
        <f t="shared" si="3"/>
        <v>-1.4521785577415269</v>
      </c>
      <c r="R53" s="136">
        <f>'2023'!G53</f>
        <v>52645474.75999999</v>
      </c>
      <c r="S53" s="272">
        <f t="shared" si="4"/>
        <v>-36300776.450000018</v>
      </c>
      <c r="T53" s="479">
        <f t="shared" si="5"/>
        <v>-0.6895327018226709</v>
      </c>
      <c r="W53" s="470"/>
      <c r="Y53" s="470"/>
    </row>
    <row r="54" spans="1:25" ht="15.7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36">
        <f>'2024'!S54</f>
        <v>20374027.779999971</v>
      </c>
      <c r="H54" s="136">
        <f>SUM('2024'!G130:G130)</f>
        <v>-28283051.319956277</v>
      </c>
      <c r="I54" s="191">
        <f t="shared" si="0"/>
        <v>48657079.099956244</v>
      </c>
      <c r="J54" s="193">
        <f t="shared" si="1"/>
        <v>-1.7203617300522391</v>
      </c>
      <c r="K54" s="136">
        <f>SUM('2023'!G54:G54)</f>
        <v>56612370.519999988</v>
      </c>
      <c r="L54" s="191">
        <f t="shared" si="7"/>
        <v>-36238342.740000017</v>
      </c>
      <c r="M54" s="195">
        <f t="shared" si="2"/>
        <v>-0.64011350182196936</v>
      </c>
      <c r="N54" s="136">
        <f>'2024'!G54</f>
        <v>20374027.779999971</v>
      </c>
      <c r="O54" s="136">
        <f>'2024'!G130</f>
        <v>-28283051.319956277</v>
      </c>
      <c r="P54" s="191">
        <f t="shared" si="6"/>
        <v>48657079.099956244</v>
      </c>
      <c r="Q54" s="193">
        <f t="shared" si="3"/>
        <v>-1.7203617300522391</v>
      </c>
      <c r="R54" s="136">
        <f>'2023'!G54</f>
        <v>56612370.519999988</v>
      </c>
      <c r="S54" s="191">
        <f t="shared" si="4"/>
        <v>-36238342.740000017</v>
      </c>
      <c r="T54" s="195">
        <f t="shared" si="5"/>
        <v>-0.64011350182196936</v>
      </c>
      <c r="W54" s="470"/>
      <c r="Y54" s="470"/>
    </row>
    <row r="55" spans="1:25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460">
        <f>'2024'!S55</f>
        <v>34807942.189999998</v>
      </c>
      <c r="H55" s="460">
        <f>SUM('2024'!G131:G131)</f>
        <v>35630564.469999999</v>
      </c>
      <c r="I55" s="461">
        <f t="shared" si="0"/>
        <v>-822622.28000000119</v>
      </c>
      <c r="J55" s="462">
        <f t="shared" si="1"/>
        <v>-2.3087545545135257E-2</v>
      </c>
      <c r="K55" s="460">
        <f>SUM('2023'!G55:G55)</f>
        <v>29896704.300000001</v>
      </c>
      <c r="L55" s="461">
        <f t="shared" si="7"/>
        <v>4911237.8899999969</v>
      </c>
      <c r="M55" s="480">
        <f t="shared" si="2"/>
        <v>0.16427355472756888</v>
      </c>
      <c r="N55" s="460">
        <f>'2024'!G55</f>
        <v>34807942.189999998</v>
      </c>
      <c r="O55" s="460">
        <f>'2024'!G131</f>
        <v>35630564.469999999</v>
      </c>
      <c r="P55" s="461">
        <f t="shared" si="6"/>
        <v>-822622.28000000119</v>
      </c>
      <c r="Q55" s="462">
        <f t="shared" si="3"/>
        <v>-2.3087545545135257E-2</v>
      </c>
      <c r="R55" s="460">
        <f>'2023'!G55</f>
        <v>29896704.300000001</v>
      </c>
      <c r="S55" s="461">
        <f t="shared" si="4"/>
        <v>4911237.8899999969</v>
      </c>
      <c r="T55" s="480">
        <f t="shared" si="5"/>
        <v>0.16427355472756888</v>
      </c>
      <c r="W55" s="470"/>
      <c r="Y55" s="470"/>
    </row>
    <row r="56" spans="1:25">
      <c r="A56" s="129">
        <v>4611</v>
      </c>
      <c r="B56" s="583" t="str">
        <f>+VLOOKUP($A56,Master!$D$30:$G$226,4,FALSE)</f>
        <v>Otplata hartija od vrijednosti i kredita rezidentima</v>
      </c>
      <c r="C56" s="584"/>
      <c r="D56" s="584"/>
      <c r="E56" s="584"/>
      <c r="F56" s="584"/>
      <c r="G56" s="148">
        <f>'2024'!S56</f>
        <v>2494755.4500000002</v>
      </c>
      <c r="H56" s="148">
        <f>SUM('2024'!G132:G132)</f>
        <v>2501123.7999999998</v>
      </c>
      <c r="I56" s="197">
        <f t="shared" si="0"/>
        <v>-6368.3499999996275</v>
      </c>
      <c r="J56" s="199">
        <f t="shared" si="1"/>
        <v>-2.5461954342282933E-3</v>
      </c>
      <c r="K56" s="148">
        <f>SUM('2023'!G56:G56)</f>
        <v>1871833.35</v>
      </c>
      <c r="L56" s="197">
        <f t="shared" si="7"/>
        <v>622922.10000000009</v>
      </c>
      <c r="M56" s="201">
        <f t="shared" si="2"/>
        <v>0.3327871575746848</v>
      </c>
      <c r="N56" s="148">
        <f>'2024'!G56</f>
        <v>2494755.4500000002</v>
      </c>
      <c r="O56" s="148">
        <f>'2024'!G132</f>
        <v>2501123.7999999998</v>
      </c>
      <c r="P56" s="197">
        <f t="shared" si="6"/>
        <v>-6368.3499999996275</v>
      </c>
      <c r="Q56" s="199">
        <f t="shared" si="3"/>
        <v>-2.5461954342282933E-3</v>
      </c>
      <c r="R56" s="148">
        <f>'2023'!G56</f>
        <v>1871833.35</v>
      </c>
      <c r="S56" s="197">
        <f t="shared" si="4"/>
        <v>622922.10000000009</v>
      </c>
      <c r="T56" s="201">
        <f t="shared" si="5"/>
        <v>0.3327871575746848</v>
      </c>
      <c r="W56" s="470"/>
      <c r="Y56" s="470"/>
    </row>
    <row r="57" spans="1:25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48">
        <f>'2024'!S57</f>
        <v>32313186.739999998</v>
      </c>
      <c r="H57" s="148">
        <f>SUM('2024'!G133:G133)</f>
        <v>33129440.670000002</v>
      </c>
      <c r="I57" s="197">
        <f t="shared" si="0"/>
        <v>-816253.93000000343</v>
      </c>
      <c r="J57" s="199">
        <f t="shared" si="1"/>
        <v>-2.4638325111813741E-2</v>
      </c>
      <c r="K57" s="148">
        <f>SUM('2023'!G57:G57)</f>
        <v>28024870.949999999</v>
      </c>
      <c r="L57" s="197">
        <f t="shared" si="7"/>
        <v>4288315.7899999991</v>
      </c>
      <c r="M57" s="201">
        <f t="shared" si="2"/>
        <v>0.15301821719896269</v>
      </c>
      <c r="N57" s="148">
        <f>'2024'!G57</f>
        <v>32313186.739999998</v>
      </c>
      <c r="O57" s="148">
        <f>'2024'!G133</f>
        <v>33129440.670000002</v>
      </c>
      <c r="P57" s="197">
        <f t="shared" si="6"/>
        <v>-816253.93000000343</v>
      </c>
      <c r="Q57" s="199">
        <f t="shared" si="3"/>
        <v>-2.4638325111813741E-2</v>
      </c>
      <c r="R57" s="148">
        <f>'2023'!G57</f>
        <v>28024870.949999999</v>
      </c>
      <c r="S57" s="197">
        <f t="shared" si="4"/>
        <v>4288315.7899999991</v>
      </c>
      <c r="T57" s="201">
        <f t="shared" si="5"/>
        <v>0.15301821719896269</v>
      </c>
      <c r="W57" s="470"/>
      <c r="Y57" s="470"/>
    </row>
    <row r="58" spans="1:25" ht="15.75" thickBot="1">
      <c r="A58" s="129">
        <v>4418</v>
      </c>
      <c r="B58" s="581" t="str">
        <f>+VLOOKUP($A58,Master!$D$30:$G$226,4,FALSE)</f>
        <v>Izdaci za kupovinu hartija od vrijednosti</v>
      </c>
      <c r="C58" s="582"/>
      <c r="D58" s="582"/>
      <c r="E58" s="582"/>
      <c r="F58" s="582"/>
      <c r="G58" s="313">
        <f>'2024'!S58</f>
        <v>0</v>
      </c>
      <c r="H58" s="313">
        <f>SUM('2024'!G134:G134)</f>
        <v>0.16</v>
      </c>
      <c r="I58" s="314">
        <f t="shared" ref="I58:I66" si="9">+G58-H58</f>
        <v>-0.16</v>
      </c>
      <c r="J58" s="315">
        <f t="shared" si="1"/>
        <v>-1</v>
      </c>
      <c r="K58" s="313">
        <f>SUM('2023'!G58:G58)</f>
        <v>0</v>
      </c>
      <c r="L58" s="314">
        <f t="shared" ref="L58:L66" si="10">+G58-K58</f>
        <v>0</v>
      </c>
      <c r="M58" s="481" t="str">
        <f t="shared" si="2"/>
        <v>...</v>
      </c>
      <c r="N58" s="313">
        <f>'2024'!G58</f>
        <v>0</v>
      </c>
      <c r="O58" s="313">
        <f>'2024'!G134</f>
        <v>0.16</v>
      </c>
      <c r="P58" s="314">
        <f t="shared" ref="P58:P66" si="11">+N58-O58</f>
        <v>-0.16</v>
      </c>
      <c r="Q58" s="315">
        <f t="shared" si="3"/>
        <v>-1</v>
      </c>
      <c r="R58" s="313">
        <f>'2023'!G58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313">
        <f>'2024'!S59</f>
        <v>75565.17</v>
      </c>
      <c r="H59" s="313">
        <f>SUM('2024'!G135:G135)</f>
        <v>6.24</v>
      </c>
      <c r="I59" s="314">
        <f t="shared" si="9"/>
        <v>75558.929999999993</v>
      </c>
      <c r="J59" s="315" t="str">
        <f t="shared" si="1"/>
        <v>...</v>
      </c>
      <c r="K59" s="313">
        <f>SUM('2023'!G59:G59)</f>
        <v>261400.02</v>
      </c>
      <c r="L59" s="314">
        <f t="shared" si="10"/>
        <v>-185834.84999999998</v>
      </c>
      <c r="M59" s="481">
        <f t="shared" si="2"/>
        <v>-0.71092133045743455</v>
      </c>
      <c r="N59" s="313">
        <f>'2024'!G59</f>
        <v>75565.17</v>
      </c>
      <c r="O59" s="313">
        <f>'2024'!G135</f>
        <v>6.24</v>
      </c>
      <c r="P59" s="314">
        <f t="shared" si="11"/>
        <v>75558.929999999993</v>
      </c>
      <c r="Q59" s="315" t="str">
        <f t="shared" si="3"/>
        <v>...</v>
      </c>
      <c r="R59" s="313">
        <f>'2023'!G59</f>
        <v>261400.02</v>
      </c>
      <c r="S59" s="314">
        <f t="shared" si="12"/>
        <v>-185834.84999999998</v>
      </c>
      <c r="T59" s="481">
        <f t="shared" si="5"/>
        <v>-0.71092133045743455</v>
      </c>
      <c r="W59" s="470"/>
      <c r="Y59" s="470"/>
    </row>
    <row r="60" spans="1:25" ht="15.7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98">
        <f>'2024'!S60</f>
        <v>-18538809.050000027</v>
      </c>
      <c r="H60" s="298">
        <f>SUM('2024'!G136:G136)</f>
        <v>-71777128.529956266</v>
      </c>
      <c r="I60" s="300">
        <f t="shared" si="9"/>
        <v>53238319.479956239</v>
      </c>
      <c r="J60" s="301">
        <f t="shared" si="1"/>
        <v>-0.74171704232689062</v>
      </c>
      <c r="K60" s="298">
        <f>SUM('2023'!G60:G60)</f>
        <v>22487370.43999999</v>
      </c>
      <c r="L60" s="300">
        <f>+G60-K60</f>
        <v>-41026179.490000017</v>
      </c>
      <c r="M60" s="482">
        <f t="shared" si="2"/>
        <v>-1.8244098214802227</v>
      </c>
      <c r="N60" s="298">
        <f>'2024'!G60</f>
        <v>-18538809.050000027</v>
      </c>
      <c r="O60" s="298">
        <f>'2024'!G136</f>
        <v>-71777128.529956266</v>
      </c>
      <c r="P60" s="300">
        <f t="shared" si="11"/>
        <v>53238319.479956239</v>
      </c>
      <c r="Q60" s="301">
        <f t="shared" si="3"/>
        <v>-0.74171704232689062</v>
      </c>
      <c r="R60" s="298">
        <f>'2023'!G60</f>
        <v>22487370.43999999</v>
      </c>
      <c r="S60" s="300">
        <f t="shared" si="12"/>
        <v>-41026179.490000017</v>
      </c>
      <c r="T60" s="482">
        <f t="shared" si="5"/>
        <v>-1.8244098214802227</v>
      </c>
      <c r="W60" s="470"/>
      <c r="Y60" s="470"/>
    </row>
    <row r="61" spans="1:25" ht="15.7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'2024'!S61</f>
        <v>18538809.050000027</v>
      </c>
      <c r="H61" s="136">
        <f>SUM('2024'!G137:G137)</f>
        <v>71777128.529956266</v>
      </c>
      <c r="I61" s="299">
        <f t="shared" si="9"/>
        <v>-53238319.479956239</v>
      </c>
      <c r="J61" s="302">
        <f t="shared" si="1"/>
        <v>-0.74171704232689062</v>
      </c>
      <c r="K61" s="136">
        <f>SUM('2023'!G61:G61)</f>
        <v>-22487370.43999999</v>
      </c>
      <c r="L61" s="299">
        <f t="shared" si="10"/>
        <v>41026179.490000017</v>
      </c>
      <c r="M61" s="483">
        <f t="shared" si="2"/>
        <v>-1.8244098214802227</v>
      </c>
      <c r="N61" s="136">
        <f>'2024'!G61</f>
        <v>18538809.050000027</v>
      </c>
      <c r="O61" s="136">
        <f>'2024'!G137</f>
        <v>71777128.529956266</v>
      </c>
      <c r="P61" s="300">
        <f t="shared" si="11"/>
        <v>-53238319.479956239</v>
      </c>
      <c r="Q61" s="302">
        <f t="shared" si="3"/>
        <v>-0.74171704232689062</v>
      </c>
      <c r="R61" s="136">
        <f>'2023'!G61</f>
        <v>-22487370.43999999</v>
      </c>
      <c r="S61" s="299">
        <f t="shared" si="12"/>
        <v>41026179.490000017</v>
      </c>
      <c r="T61" s="483">
        <f t="shared" si="5"/>
        <v>-1.8244098214802227</v>
      </c>
      <c r="W61" s="470"/>
      <c r="Y61" s="470"/>
    </row>
    <row r="62" spans="1:25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148">
        <f>'2024'!S62</f>
        <v>0</v>
      </c>
      <c r="H62" s="148">
        <f>SUM('2024'!G138:G138)</f>
        <v>0</v>
      </c>
      <c r="I62" s="197">
        <f t="shared" si="9"/>
        <v>0</v>
      </c>
      <c r="J62" s="199" t="str">
        <f t="shared" si="1"/>
        <v>...</v>
      </c>
      <c r="K62" s="148">
        <f>SUM('2023'!G62:G62)</f>
        <v>0</v>
      </c>
      <c r="L62" s="197">
        <f t="shared" si="10"/>
        <v>0</v>
      </c>
      <c r="M62" s="201" t="str">
        <f t="shared" si="2"/>
        <v>...</v>
      </c>
      <c r="N62" s="148">
        <f>'2024'!G62</f>
        <v>0</v>
      </c>
      <c r="O62" s="148">
        <f>'2024'!G138</f>
        <v>0</v>
      </c>
      <c r="P62" s="197">
        <f t="shared" si="11"/>
        <v>0</v>
      </c>
      <c r="Q62" s="199" t="str">
        <f t="shared" si="3"/>
        <v>...</v>
      </c>
      <c r="R62" s="148">
        <f>'2023'!G62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148">
        <f>'2024'!S63</f>
        <v>419597.73</v>
      </c>
      <c r="H63" s="148">
        <f>SUM('2024'!G139:G139)</f>
        <v>0</v>
      </c>
      <c r="I63" s="197">
        <f t="shared" si="9"/>
        <v>419597.73</v>
      </c>
      <c r="J63" s="199" t="str">
        <f t="shared" si="1"/>
        <v>...</v>
      </c>
      <c r="K63" s="148">
        <f>SUM('2023'!G63:G63)</f>
        <v>552374.85</v>
      </c>
      <c r="L63" s="197">
        <f t="shared" si="10"/>
        <v>-132777.12</v>
      </c>
      <c r="M63" s="201">
        <f t="shared" si="2"/>
        <v>-0.24037502793619225</v>
      </c>
      <c r="N63" s="148">
        <f>'2024'!G63</f>
        <v>419597.73</v>
      </c>
      <c r="O63" s="148">
        <f>'2024'!G139</f>
        <v>0</v>
      </c>
      <c r="P63" s="197">
        <f t="shared" si="11"/>
        <v>419597.73</v>
      </c>
      <c r="Q63" s="199" t="str">
        <f t="shared" si="3"/>
        <v>...</v>
      </c>
      <c r="R63" s="148">
        <f>'2023'!G63</f>
        <v>552374.85</v>
      </c>
      <c r="S63" s="197">
        <f t="shared" si="12"/>
        <v>-132777.12</v>
      </c>
      <c r="T63" s="201">
        <f t="shared" si="5"/>
        <v>-0.24037502793619225</v>
      </c>
      <c r="W63" s="470"/>
      <c r="Y63" s="470"/>
    </row>
    <row r="64" spans="1:25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148">
        <f>'2024'!S64</f>
        <v>29140.719999999998</v>
      </c>
      <c r="H64" s="148">
        <f>SUM('2024'!G140:G140)</f>
        <v>500000</v>
      </c>
      <c r="I64" s="197">
        <f t="shared" si="9"/>
        <v>-470859.28</v>
      </c>
      <c r="J64" s="199">
        <f t="shared" si="1"/>
        <v>-0.94171855999999998</v>
      </c>
      <c r="K64" s="148">
        <f>SUM('2023'!G64:G64)</f>
        <v>664808.06000000006</v>
      </c>
      <c r="L64" s="197">
        <f t="shared" si="10"/>
        <v>-635667.34000000008</v>
      </c>
      <c r="M64" s="201">
        <f t="shared" si="2"/>
        <v>-0.95616671675129816</v>
      </c>
      <c r="N64" s="148">
        <f>'2024'!G64</f>
        <v>29140.719999999998</v>
      </c>
      <c r="O64" s="148">
        <f>'2024'!G140</f>
        <v>500000</v>
      </c>
      <c r="P64" s="197">
        <f t="shared" si="11"/>
        <v>-470859.28</v>
      </c>
      <c r="Q64" s="199">
        <f t="shared" si="3"/>
        <v>-0.94171855999999998</v>
      </c>
      <c r="R64" s="148">
        <f>'2023'!G64</f>
        <v>664808.06000000006</v>
      </c>
      <c r="S64" s="197">
        <f t="shared" si="12"/>
        <v>-635667.34000000008</v>
      </c>
      <c r="T64" s="201">
        <f t="shared" si="5"/>
        <v>-0.95616671675129816</v>
      </c>
      <c r="W64" s="470"/>
      <c r="Y64" s="470"/>
    </row>
    <row r="65" spans="1:25">
      <c r="A65" s="129">
        <v>73</v>
      </c>
      <c r="B65" s="583" t="str">
        <f>+VLOOKUP($A65,Master!$D$30:$G$226,4,FALSE)</f>
        <v>Primici od otplate kredita i sredstva prenesena iz prethodne godine</v>
      </c>
      <c r="C65" s="584"/>
      <c r="D65" s="584"/>
      <c r="E65" s="584"/>
      <c r="F65" s="584"/>
      <c r="G65" s="148">
        <f>'2024'!S65</f>
        <v>223867.47000000003</v>
      </c>
      <c r="H65" s="148">
        <f>SUM('2024'!G141:G141)</f>
        <v>81522.336514710114</v>
      </c>
      <c r="I65" s="197">
        <f t="shared" si="9"/>
        <v>142345.13348528993</v>
      </c>
      <c r="J65" s="199">
        <f t="shared" si="1"/>
        <v>1.7460875089075101</v>
      </c>
      <c r="K65" s="148">
        <f>SUM('2023'!G65:G65)</f>
        <v>157428.76999999999</v>
      </c>
      <c r="L65" s="197">
        <f t="shared" si="10"/>
        <v>66438.700000000041</v>
      </c>
      <c r="M65" s="201">
        <f t="shared" si="2"/>
        <v>0.42202387784647022</v>
      </c>
      <c r="N65" s="148">
        <f>'2024'!G65</f>
        <v>223867.47000000003</v>
      </c>
      <c r="O65" s="148">
        <f>'2024'!G141</f>
        <v>81522.336514710114</v>
      </c>
      <c r="P65" s="197">
        <f t="shared" si="11"/>
        <v>142345.13348528993</v>
      </c>
      <c r="Q65" s="199">
        <f t="shared" si="3"/>
        <v>1.7460875089075101</v>
      </c>
      <c r="R65" s="148">
        <f>'2023'!G65</f>
        <v>157428.76999999999</v>
      </c>
      <c r="S65" s="197">
        <f t="shared" si="12"/>
        <v>66438.700000000041</v>
      </c>
      <c r="T65" s="201">
        <f t="shared" si="5"/>
        <v>0.42202387784647022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17866203.130000025</v>
      </c>
      <c r="H66" s="296">
        <f>SUM('2024'!G142:G142)</f>
        <v>71195606.193441555</v>
      </c>
      <c r="I66" s="211">
        <f t="shared" si="9"/>
        <v>-53329403.06344153</v>
      </c>
      <c r="J66" s="213">
        <f t="shared" si="1"/>
        <v>-0.74905469473134656</v>
      </c>
      <c r="K66" s="296">
        <f>SUM('2023'!G66:G66)</f>
        <v>-23861982.11999999</v>
      </c>
      <c r="L66" s="211">
        <f t="shared" si="10"/>
        <v>41728185.250000015</v>
      </c>
      <c r="M66" s="215">
        <f t="shared" si="2"/>
        <v>-1.7487308908435319</v>
      </c>
      <c r="N66" s="296">
        <f>'2024'!G66</f>
        <v>17866203.130000025</v>
      </c>
      <c r="O66" s="296">
        <f>'2024'!G142</f>
        <v>71195606.193441555</v>
      </c>
      <c r="P66" s="211">
        <f t="shared" si="11"/>
        <v>-53329403.06344153</v>
      </c>
      <c r="Q66" s="213">
        <f t="shared" si="3"/>
        <v>-0.74905469473134656</v>
      </c>
      <c r="R66" s="296">
        <f>'2023'!G66</f>
        <v>-23861982.11999999</v>
      </c>
      <c r="S66" s="211">
        <f t="shared" si="12"/>
        <v>41728185.250000015</v>
      </c>
      <c r="T66" s="215">
        <f t="shared" si="5"/>
        <v>-1.7487308908435319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59bBJBlBPNXXj/2NsYgyZwMiBvyUWkD7sybxGnXuTL+Lfc1RLuq6HwPGmQSwN41xhm33OXa24OGGRSHGP1GGgA==" saltValue="EYgIxeS4CWH0fWFvikKMeA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5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B52" sqref="B51:F52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2023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7034000000</v>
      </c>
    </row>
    <row r="8" spans="1:24" ht="16.5" customHeight="1">
      <c r="A8" s="129"/>
      <c r="B8" s="595"/>
      <c r="C8" s="596"/>
      <c r="D8" s="596"/>
      <c r="E8" s="596"/>
      <c r="F8" s="59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4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514">
        <f>G11+G19+G24+G25+G26+G27+G28</f>
        <v>153484375.23000002</v>
      </c>
      <c r="H10" s="514">
        <f t="shared" ref="H10:L10" si="2">+H11+H19+SUM(H24:H28)</f>
        <v>0</v>
      </c>
      <c r="I10" s="514">
        <f t="shared" si="2"/>
        <v>0</v>
      </c>
      <c r="J10" s="514">
        <f t="shared" si="2"/>
        <v>0</v>
      </c>
      <c r="K10" s="514">
        <f t="shared" si="2"/>
        <v>0</v>
      </c>
      <c r="L10" s="514">
        <f t="shared" si="2"/>
        <v>0</v>
      </c>
      <c r="M10" s="514">
        <f t="shared" ref="M10:R10" si="3">+M11+M19+SUM(M24:M28)</f>
        <v>0</v>
      </c>
      <c r="N10" s="514">
        <f t="shared" si="3"/>
        <v>0</v>
      </c>
      <c r="O10" s="514">
        <f t="shared" si="3"/>
        <v>0</v>
      </c>
      <c r="P10" s="514">
        <f t="shared" si="3"/>
        <v>0</v>
      </c>
      <c r="Q10" s="514">
        <f t="shared" si="3"/>
        <v>0</v>
      </c>
      <c r="R10" s="514">
        <f t="shared" si="3"/>
        <v>0</v>
      </c>
      <c r="S10" s="515">
        <f>+SUM(G10:R10)</f>
        <v>153484375.23000002</v>
      </c>
      <c r="T10" s="516">
        <f>+S10/$T$7*100</f>
        <v>2.1820354738413426</v>
      </c>
      <c r="V10" s="493"/>
    </row>
    <row r="11" spans="1:24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517">
        <f t="shared" ref="G11:I11" si="4">+SUM(G12:G18)</f>
        <v>122011952.05999999</v>
      </c>
      <c r="H11" s="517">
        <f t="shared" si="4"/>
        <v>0</v>
      </c>
      <c r="I11" s="517">
        <f t="shared" si="4"/>
        <v>0</v>
      </c>
      <c r="J11" s="517">
        <f>+SUM(J12:J18)</f>
        <v>0</v>
      </c>
      <c r="K11" s="517">
        <f>+SUM(K12:K18)</f>
        <v>0</v>
      </c>
      <c r="L11" s="517">
        <f>+SUM(L12:L18)</f>
        <v>0</v>
      </c>
      <c r="M11" s="517">
        <f t="shared" ref="M11:R11" si="5">+SUM(M12:M18)</f>
        <v>0</v>
      </c>
      <c r="N11" s="517">
        <f t="shared" si="5"/>
        <v>0</v>
      </c>
      <c r="O11" s="517">
        <f t="shared" si="5"/>
        <v>0</v>
      </c>
      <c r="P11" s="517">
        <f t="shared" si="5"/>
        <v>0</v>
      </c>
      <c r="Q11" s="517">
        <f t="shared" si="5"/>
        <v>0</v>
      </c>
      <c r="R11" s="518">
        <f t="shared" si="5"/>
        <v>0</v>
      </c>
      <c r="S11" s="519">
        <f>+SUM(G11:R11)</f>
        <v>122011952.05999999</v>
      </c>
      <c r="T11" s="520">
        <f t="shared" ref="T11:T66" si="6">+S11/$T$7*100</f>
        <v>1.7346026735854418</v>
      </c>
      <c r="V11" s="276"/>
    </row>
    <row r="12" spans="1:24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1998079.1499999992</v>
      </c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227">
        <f>+SUM(G12:R12)</f>
        <v>1998079.1499999992</v>
      </c>
      <c r="T12" s="436">
        <f t="shared" si="6"/>
        <v>2.8406015780494728E-2</v>
      </c>
    </row>
    <row r="13" spans="1:24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1951464.9</v>
      </c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227">
        <f t="shared" ref="S13:S65" si="7">+SUM(G13:R13)</f>
        <v>1951464.9</v>
      </c>
      <c r="T13" s="436">
        <f t="shared" si="6"/>
        <v>2.7743316747227749E-2</v>
      </c>
      <c r="V13" s="276"/>
      <c r="W13" s="276"/>
      <c r="X13" s="494"/>
    </row>
    <row r="14" spans="1:24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0</v>
      </c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91572726.909999996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227">
        <f t="shared" si="7"/>
        <v>91572726.909999996</v>
      </c>
      <c r="T15" s="436">
        <f t="shared" si="6"/>
        <v>1.3018585002843333</v>
      </c>
      <c r="V15" s="276"/>
      <c r="W15" s="276"/>
      <c r="X15" s="494"/>
    </row>
    <row r="16" spans="1:24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22556344.95999999</v>
      </c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227">
        <f t="shared" si="7"/>
        <v>22556344.95999999</v>
      </c>
      <c r="T16" s="436">
        <f t="shared" si="6"/>
        <v>0.32067593062268962</v>
      </c>
      <c r="V16" s="276"/>
      <c r="W16" s="276"/>
      <c r="X16" s="494"/>
    </row>
    <row r="17" spans="1:24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2997811.1100000008</v>
      </c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227">
        <f t="shared" si="7"/>
        <v>2997811.1100000008</v>
      </c>
      <c r="T17" s="436">
        <f t="shared" si="6"/>
        <v>4.2618867074210989E-2</v>
      </c>
      <c r="V17" s="276"/>
      <c r="W17" s="276"/>
      <c r="X17" s="494"/>
    </row>
    <row r="18" spans="1:24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935525.02999999991</v>
      </c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227">
        <f t="shared" si="7"/>
        <v>935525.02999999991</v>
      </c>
      <c r="T18" s="436">
        <f t="shared" si="6"/>
        <v>1.3300043076485642E-2</v>
      </c>
      <c r="V18" s="276"/>
      <c r="W18" s="276"/>
      <c r="X18" s="494"/>
    </row>
    <row r="19" spans="1:24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521">
        <f t="shared" ref="G19" si="8">SUM(G20:G23)</f>
        <v>13548213.420000004</v>
      </c>
      <c r="H19" s="521">
        <f t="shared" ref="H19:L19" si="9">SUM(H20:H23)</f>
        <v>0</v>
      </c>
      <c r="I19" s="521">
        <f t="shared" si="9"/>
        <v>0</v>
      </c>
      <c r="J19" s="521">
        <f t="shared" si="9"/>
        <v>0</v>
      </c>
      <c r="K19" s="521">
        <f t="shared" si="9"/>
        <v>0</v>
      </c>
      <c r="L19" s="521">
        <f t="shared" si="9"/>
        <v>0</v>
      </c>
      <c r="M19" s="521">
        <f t="shared" ref="M19:R19" si="10">SUM(M20:M23)</f>
        <v>0</v>
      </c>
      <c r="N19" s="521">
        <f t="shared" si="10"/>
        <v>0</v>
      </c>
      <c r="O19" s="521">
        <f t="shared" si="10"/>
        <v>0</v>
      </c>
      <c r="P19" s="521">
        <f t="shared" si="10"/>
        <v>0</v>
      </c>
      <c r="Q19" s="521">
        <f t="shared" si="10"/>
        <v>0</v>
      </c>
      <c r="R19" s="521">
        <f t="shared" si="10"/>
        <v>0</v>
      </c>
      <c r="S19" s="522">
        <f t="shared" si="7"/>
        <v>13548213.420000004</v>
      </c>
      <c r="T19" s="523">
        <f t="shared" si="6"/>
        <v>0.19261036991754341</v>
      </c>
      <c r="V19" s="276"/>
      <c r="W19" s="276"/>
      <c r="X19" s="494"/>
    </row>
    <row r="20" spans="1:24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12277377.310000004</v>
      </c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227">
        <f>+SUM(G20:R20)</f>
        <v>12277377.310000004</v>
      </c>
      <c r="T20" s="436">
        <f t="shared" si="6"/>
        <v>0.1745433225760592</v>
      </c>
      <c r="V20" s="276"/>
      <c r="W20" s="276"/>
      <c r="X20" s="494"/>
    </row>
    <row r="21" spans="1:24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307850.36</v>
      </c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227">
        <f t="shared" si="7"/>
        <v>307850.36</v>
      </c>
      <c r="T21" s="436">
        <f t="shared" si="6"/>
        <v>4.3766044924651686E-3</v>
      </c>
      <c r="V21" s="276"/>
      <c r="W21" s="276"/>
      <c r="X21" s="494"/>
    </row>
    <row r="22" spans="1:24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569229.31000000017</v>
      </c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227">
        <f t="shared" si="7"/>
        <v>569229.31000000017</v>
      </c>
      <c r="T22" s="436">
        <f t="shared" si="6"/>
        <v>8.0925406596531156E-3</v>
      </c>
    </row>
    <row r="23" spans="1:24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393756.44</v>
      </c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227">
        <f t="shared" si="7"/>
        <v>393756.44</v>
      </c>
      <c r="T23" s="436">
        <f t="shared" si="6"/>
        <v>5.5979021893659371E-3</v>
      </c>
      <c r="V23" s="495"/>
      <c r="W23" s="495"/>
      <c r="X23" s="494"/>
    </row>
    <row r="24" spans="1:24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524">
        <v>836827.13</v>
      </c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2">
        <f t="shared" si="7"/>
        <v>836827.13</v>
      </c>
      <c r="T24" s="523">
        <f t="shared" si="6"/>
        <v>1.1896888399203867E-2</v>
      </c>
    </row>
    <row r="25" spans="1:24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524">
        <v>2491580.6800000006</v>
      </c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2">
        <f t="shared" si="7"/>
        <v>2491580.6800000006</v>
      </c>
      <c r="T25" s="523">
        <f t="shared" si="6"/>
        <v>3.5421960193346612E-2</v>
      </c>
    </row>
    <row r="26" spans="1:24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524">
        <v>10363477.580000004</v>
      </c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2">
        <f t="shared" si="7"/>
        <v>10363477.580000004</v>
      </c>
      <c r="T26" s="523">
        <f t="shared" si="6"/>
        <v>0.147334057150981</v>
      </c>
    </row>
    <row r="27" spans="1:24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524">
        <v>0</v>
      </c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2">
        <f t="shared" si="7"/>
        <v>0</v>
      </c>
      <c r="T27" s="523">
        <f t="shared" si="6"/>
        <v>0</v>
      </c>
    </row>
    <row r="28" spans="1:24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524">
        <v>4232324.3599999994</v>
      </c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2">
        <f t="shared" si="7"/>
        <v>4232324.3599999994</v>
      </c>
      <c r="T28" s="525">
        <f t="shared" si="6"/>
        <v>6.0169524594825129E-2</v>
      </c>
    </row>
    <row r="29" spans="1:24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514">
        <f>+G30+G40+G46+SUM(G47:G51)</f>
        <v>137139676.92000005</v>
      </c>
      <c r="H29" s="514">
        <f t="shared" ref="H29:L29" si="11">+H30+H40+H46+SUM(H47:H51)</f>
        <v>0</v>
      </c>
      <c r="I29" s="514">
        <f t="shared" si="11"/>
        <v>0</v>
      </c>
      <c r="J29" s="514">
        <f t="shared" si="11"/>
        <v>0</v>
      </c>
      <c r="K29" s="514">
        <f t="shared" si="11"/>
        <v>0</v>
      </c>
      <c r="L29" s="514">
        <f t="shared" si="11"/>
        <v>0</v>
      </c>
      <c r="M29" s="514">
        <f t="shared" ref="M29:R29" si="12">+M30+M40+M46+SUM(M47:M51)</f>
        <v>0</v>
      </c>
      <c r="N29" s="514">
        <f t="shared" si="12"/>
        <v>0</v>
      </c>
      <c r="O29" s="514">
        <f t="shared" si="12"/>
        <v>0</v>
      </c>
      <c r="P29" s="514">
        <f t="shared" si="12"/>
        <v>0</v>
      </c>
      <c r="Q29" s="514">
        <f t="shared" si="12"/>
        <v>0</v>
      </c>
      <c r="R29" s="514">
        <f t="shared" si="12"/>
        <v>0</v>
      </c>
      <c r="S29" s="526">
        <f t="shared" si="7"/>
        <v>137139676.92000005</v>
      </c>
      <c r="T29" s="527">
        <f t="shared" si="6"/>
        <v>1.949668423656526</v>
      </c>
    </row>
    <row r="30" spans="1:24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528">
        <f t="shared" ref="G30" si="13">+SUM(G31:G39)</f>
        <v>61434219.910000026</v>
      </c>
      <c r="H30" s="528">
        <f t="shared" ref="H30:L30" si="14">+SUM(H31:H39)</f>
        <v>0</v>
      </c>
      <c r="I30" s="528">
        <f t="shared" si="14"/>
        <v>0</v>
      </c>
      <c r="J30" s="528">
        <f t="shared" si="14"/>
        <v>0</v>
      </c>
      <c r="K30" s="528">
        <f t="shared" si="14"/>
        <v>0</v>
      </c>
      <c r="L30" s="528">
        <f t="shared" si="14"/>
        <v>0</v>
      </c>
      <c r="M30" s="528">
        <f t="shared" ref="M30:R30" si="15">+SUM(M31:M39)</f>
        <v>0</v>
      </c>
      <c r="N30" s="528">
        <f t="shared" si="15"/>
        <v>0</v>
      </c>
      <c r="O30" s="528">
        <f t="shared" si="15"/>
        <v>0</v>
      </c>
      <c r="P30" s="528">
        <f t="shared" si="15"/>
        <v>0</v>
      </c>
      <c r="Q30" s="528">
        <f t="shared" si="15"/>
        <v>0</v>
      </c>
      <c r="R30" s="529">
        <f t="shared" si="15"/>
        <v>0</v>
      </c>
      <c r="S30" s="530">
        <f t="shared" si="7"/>
        <v>61434219.910000026</v>
      </c>
      <c r="T30" s="520">
        <f t="shared" si="6"/>
        <v>0.87338953525732188</v>
      </c>
      <c r="U30" s="472"/>
    </row>
    <row r="31" spans="1:24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499">
        <v>55136615.75000003</v>
      </c>
      <c r="H31" s="148"/>
      <c r="I31" s="148"/>
      <c r="J31" s="148"/>
      <c r="K31" s="148"/>
      <c r="L31" s="148"/>
      <c r="M31" s="148"/>
      <c r="N31" s="148"/>
      <c r="O31" s="148"/>
      <c r="P31" s="498"/>
      <c r="Q31" s="148"/>
      <c r="R31" s="148"/>
      <c r="S31" s="227">
        <f t="shared" si="7"/>
        <v>55136615.75000003</v>
      </c>
      <c r="T31" s="436">
        <f t="shared" si="6"/>
        <v>0.78385862595962508</v>
      </c>
      <c r="U31" s="472"/>
    </row>
    <row r="32" spans="1:24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499">
        <v>104790.61</v>
      </c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227">
        <f t="shared" si="7"/>
        <v>104790.61</v>
      </c>
      <c r="T32" s="436">
        <f t="shared" si="6"/>
        <v>1.4897726755757749E-3</v>
      </c>
      <c r="U32" s="472"/>
      <c r="V32" s="275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499">
        <v>201738.93999999997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227">
        <f t="shared" si="7"/>
        <v>201738.93999999997</v>
      </c>
      <c r="T33" s="436">
        <f t="shared" si="6"/>
        <v>2.8680543076485638E-3</v>
      </c>
      <c r="U33" s="472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499">
        <v>597454.64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227">
        <f t="shared" si="7"/>
        <v>597454.64</v>
      </c>
      <c r="T34" s="436">
        <f t="shared" si="6"/>
        <v>8.4938106340631224E-3</v>
      </c>
      <c r="U34" s="472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499">
        <v>4201.6000000000004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227">
        <f t="shared" si="7"/>
        <v>4201.6000000000004</v>
      </c>
      <c r="T35" s="436">
        <f t="shared" si="6"/>
        <v>5.9732726755757757E-5</v>
      </c>
      <c r="U35" s="472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499">
        <v>4029329.47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227">
        <f>+SUM(G36:R36)</f>
        <v>4029329.47</v>
      </c>
      <c r="T36" s="436">
        <f t="shared" si="6"/>
        <v>5.7283614870628378E-2</v>
      </c>
      <c r="U36" s="472"/>
      <c r="V36" s="275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499">
        <v>155.47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227">
        <f t="shared" si="7"/>
        <v>155.47</v>
      </c>
      <c r="T37" s="436">
        <f t="shared" si="6"/>
        <v>2.2102644299118567E-6</v>
      </c>
      <c r="U37" s="472"/>
      <c r="V37" s="275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499">
        <v>1261570.0099999988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227">
        <f t="shared" si="7"/>
        <v>1261570.0099999988</v>
      </c>
      <c r="T38" s="436">
        <f t="shared" si="6"/>
        <v>1.7935314330395209E-2</v>
      </c>
      <c r="U38" s="472"/>
    </row>
    <row r="39" spans="1:24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499">
        <v>98363.42</v>
      </c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227">
        <f t="shared" si="7"/>
        <v>98363.42</v>
      </c>
      <c r="T39" s="436">
        <f t="shared" si="6"/>
        <v>1.3983994882001704E-3</v>
      </c>
      <c r="U39" s="472"/>
      <c r="V39" s="275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531">
        <f>+SUM(G41:G45)</f>
        <v>68160370.310000002</v>
      </c>
      <c r="H40" s="531">
        <f t="shared" ref="H40:L40" si="16">+SUM(H41:H45)</f>
        <v>0</v>
      </c>
      <c r="I40" s="531">
        <f t="shared" si="16"/>
        <v>0</v>
      </c>
      <c r="J40" s="531">
        <f t="shared" si="16"/>
        <v>0</v>
      </c>
      <c r="K40" s="531">
        <f t="shared" si="16"/>
        <v>0</v>
      </c>
      <c r="L40" s="531">
        <f t="shared" si="16"/>
        <v>0</v>
      </c>
      <c r="M40" s="531">
        <f t="shared" ref="M40:R40" si="17">+SUM(M41:M45)</f>
        <v>0</v>
      </c>
      <c r="N40" s="531">
        <f t="shared" si="17"/>
        <v>0</v>
      </c>
      <c r="O40" s="531">
        <f t="shared" si="17"/>
        <v>0</v>
      </c>
      <c r="P40" s="531">
        <f t="shared" si="17"/>
        <v>0</v>
      </c>
      <c r="Q40" s="531">
        <f t="shared" si="17"/>
        <v>0</v>
      </c>
      <c r="R40" s="531">
        <f t="shared" si="17"/>
        <v>0</v>
      </c>
      <c r="S40" s="532">
        <f t="shared" si="7"/>
        <v>68160370.310000002</v>
      </c>
      <c r="T40" s="533">
        <f t="shared" si="6"/>
        <v>0.96901294156951956</v>
      </c>
      <c r="U40" s="472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499">
        <v>17183646.739999998</v>
      </c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227">
        <f t="shared" si="7"/>
        <v>17183646.739999998</v>
      </c>
      <c r="T41" s="436">
        <f t="shared" si="6"/>
        <v>0.24429409638896785</v>
      </c>
      <c r="U41" s="472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499">
        <v>0</v>
      </c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227">
        <f t="shared" si="7"/>
        <v>0</v>
      </c>
      <c r="T42" s="436">
        <f t="shared" si="6"/>
        <v>0</v>
      </c>
      <c r="U42" s="472"/>
      <c r="V42" s="275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499">
        <v>49992941.520000003</v>
      </c>
      <c r="H43" s="148"/>
      <c r="I43" s="148"/>
      <c r="J43" s="148"/>
      <c r="K43" s="148"/>
      <c r="L43" s="148"/>
      <c r="M43" s="486"/>
      <c r="N43" s="148"/>
      <c r="O43" s="148"/>
      <c r="P43" s="148"/>
      <c r="Q43" s="148"/>
      <c r="R43" s="148"/>
      <c r="S43" s="227">
        <f t="shared" si="7"/>
        <v>49992941.520000003</v>
      </c>
      <c r="T43" s="436">
        <f t="shared" si="6"/>
        <v>0.71073274836508393</v>
      </c>
      <c r="U43" s="472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499">
        <v>949034.00000000012</v>
      </c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227">
        <f t="shared" si="7"/>
        <v>949034.00000000012</v>
      </c>
      <c r="T44" s="436">
        <f t="shared" si="6"/>
        <v>1.3492095535968158E-2</v>
      </c>
      <c r="U44" s="472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499">
        <v>34748.049999999996</v>
      </c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227">
        <f t="shared" si="7"/>
        <v>34748.049999999996</v>
      </c>
      <c r="T45" s="436">
        <f t="shared" si="6"/>
        <v>4.9400127949957343E-4</v>
      </c>
      <c r="U45" s="472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524">
        <v>2887208.4000000004</v>
      </c>
      <c r="H46" s="524"/>
      <c r="I46" s="524"/>
      <c r="J46" s="524"/>
      <c r="K46" s="524"/>
      <c r="L46" s="524"/>
      <c r="M46" s="524"/>
      <c r="N46" s="524"/>
      <c r="O46" s="524"/>
      <c r="P46" s="524"/>
      <c r="Q46" s="524"/>
      <c r="R46" s="524"/>
      <c r="S46" s="522">
        <f t="shared" si="7"/>
        <v>2887208.4000000004</v>
      </c>
      <c r="T46" s="523">
        <f t="shared" si="6"/>
        <v>4.1046465737844762E-2</v>
      </c>
      <c r="U46" s="472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524">
        <v>3028948.3500000006</v>
      </c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R47" s="524"/>
      <c r="S47" s="522">
        <f t="shared" si="7"/>
        <v>3028948.3500000006</v>
      </c>
      <c r="T47" s="523">
        <f t="shared" si="6"/>
        <v>4.3061534688655111E-2</v>
      </c>
      <c r="U47" s="472"/>
      <c r="V47" s="275"/>
      <c r="W47" s="292"/>
      <c r="X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499">
        <v>0</v>
      </c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499">
        <v>0</v>
      </c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227">
        <f t="shared" si="7"/>
        <v>0</v>
      </c>
      <c r="T49" s="436">
        <f t="shared" si="6"/>
        <v>0</v>
      </c>
      <c r="U49" s="472"/>
    </row>
    <row r="50" spans="1:21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499">
        <v>0</v>
      </c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227">
        <f t="shared" si="7"/>
        <v>0</v>
      </c>
      <c r="T50" s="436">
        <f t="shared" si="6"/>
        <v>0</v>
      </c>
      <c r="U50" s="472"/>
    </row>
    <row r="51" spans="1:21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1628929.95</v>
      </c>
      <c r="H51" s="430"/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1628929.95</v>
      </c>
      <c r="T51" s="440">
        <f t="shared" si="6"/>
        <v>2.3157946403184533E-2</v>
      </c>
      <c r="U51" s="472"/>
    </row>
    <row r="52" spans="1:21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514">
        <f t="shared" ref="G53" si="18">+G10-G29</f>
        <v>16344698.309999973</v>
      </c>
      <c r="H53" s="514">
        <f t="shared" ref="H53:L53" si="19">+H10-H29</f>
        <v>0</v>
      </c>
      <c r="I53" s="514">
        <f t="shared" si="19"/>
        <v>0</v>
      </c>
      <c r="J53" s="514">
        <f t="shared" si="19"/>
        <v>0</v>
      </c>
      <c r="K53" s="514">
        <f t="shared" si="19"/>
        <v>0</v>
      </c>
      <c r="L53" s="514">
        <f t="shared" si="19"/>
        <v>0</v>
      </c>
      <c r="M53" s="514">
        <f t="shared" ref="M53:R53" si="20">+M10-M29</f>
        <v>0</v>
      </c>
      <c r="N53" s="514">
        <f t="shared" si="20"/>
        <v>0</v>
      </c>
      <c r="O53" s="514">
        <f t="shared" si="20"/>
        <v>0</v>
      </c>
      <c r="P53" s="514">
        <f t="shared" si="20"/>
        <v>0</v>
      </c>
      <c r="Q53" s="514">
        <f t="shared" si="20"/>
        <v>0</v>
      </c>
      <c r="R53" s="514">
        <f t="shared" si="20"/>
        <v>0</v>
      </c>
      <c r="S53" s="534">
        <f>SUM(G53:R53)</f>
        <v>16344698.309999973</v>
      </c>
      <c r="T53" s="535">
        <f t="shared" si="6"/>
        <v>0.23236705018481624</v>
      </c>
    </row>
    <row r="54" spans="1:21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536">
        <f t="shared" ref="G54" si="21">+G53+G36</f>
        <v>20374027.779999971</v>
      </c>
      <c r="H54" s="536">
        <f t="shared" ref="H54:L54" si="22">+H53+H36</f>
        <v>0</v>
      </c>
      <c r="I54" s="536">
        <f t="shared" si="22"/>
        <v>0</v>
      </c>
      <c r="J54" s="536">
        <f t="shared" si="22"/>
        <v>0</v>
      </c>
      <c r="K54" s="536">
        <f t="shared" si="22"/>
        <v>0</v>
      </c>
      <c r="L54" s="536">
        <f t="shared" si="22"/>
        <v>0</v>
      </c>
      <c r="M54" s="536">
        <f t="shared" ref="M54:R54" si="23">+M53+M36</f>
        <v>0</v>
      </c>
      <c r="N54" s="536">
        <f t="shared" si="23"/>
        <v>0</v>
      </c>
      <c r="O54" s="536">
        <f t="shared" si="23"/>
        <v>0</v>
      </c>
      <c r="P54" s="536">
        <f t="shared" si="23"/>
        <v>0</v>
      </c>
      <c r="Q54" s="536">
        <f t="shared" si="23"/>
        <v>0</v>
      </c>
      <c r="R54" s="536">
        <f t="shared" si="23"/>
        <v>0</v>
      </c>
      <c r="S54" s="534">
        <f t="shared" si="7"/>
        <v>20374027.779999971</v>
      </c>
      <c r="T54" s="535">
        <f t="shared" si="6"/>
        <v>0.28965066505544457</v>
      </c>
    </row>
    <row r="55" spans="1:21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531">
        <f t="shared" ref="G55" si="24">+SUM(G56:G57)</f>
        <v>34807942.189999998</v>
      </c>
      <c r="H55" s="531">
        <f t="shared" ref="H55:L55" si="25">+SUM(H56:H57)</f>
        <v>0</v>
      </c>
      <c r="I55" s="531">
        <f t="shared" si="25"/>
        <v>0</v>
      </c>
      <c r="J55" s="524">
        <f t="shared" si="25"/>
        <v>0</v>
      </c>
      <c r="K55" s="531">
        <f t="shared" si="25"/>
        <v>0</v>
      </c>
      <c r="L55" s="531">
        <f t="shared" si="25"/>
        <v>0</v>
      </c>
      <c r="M55" s="531">
        <f t="shared" ref="M55:R55" si="26">+SUM(M56:M57)</f>
        <v>0</v>
      </c>
      <c r="N55" s="531">
        <f t="shared" si="26"/>
        <v>0</v>
      </c>
      <c r="O55" s="531">
        <f t="shared" si="26"/>
        <v>0</v>
      </c>
      <c r="P55" s="531">
        <f t="shared" si="26"/>
        <v>0</v>
      </c>
      <c r="Q55" s="531">
        <f t="shared" si="26"/>
        <v>0</v>
      </c>
      <c r="R55" s="531">
        <f t="shared" si="26"/>
        <v>0</v>
      </c>
      <c r="S55" s="537">
        <f t="shared" si="7"/>
        <v>34807942.189999998</v>
      </c>
      <c r="T55" s="538">
        <f t="shared" si="6"/>
        <v>0.4948527465169178</v>
      </c>
    </row>
    <row r="56" spans="1:21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500">
        <v>2494755.4500000002</v>
      </c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235">
        <f t="shared" si="7"/>
        <v>2494755.4500000002</v>
      </c>
      <c r="T56" s="444">
        <f t="shared" si="6"/>
        <v>3.5467094825135062E-2</v>
      </c>
    </row>
    <row r="57" spans="1:21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500">
        <v>32313186.739999998</v>
      </c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235">
        <f t="shared" si="7"/>
        <v>32313186.739999998</v>
      </c>
      <c r="T57" s="444">
        <f t="shared" si="6"/>
        <v>0.45938565169178275</v>
      </c>
    </row>
    <row r="58" spans="1:21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539">
        <v>0</v>
      </c>
      <c r="H58" s="539"/>
      <c r="I58" s="539"/>
      <c r="J58" s="539"/>
      <c r="K58" s="539"/>
      <c r="L58" s="539"/>
      <c r="M58" s="539"/>
      <c r="N58" s="539"/>
      <c r="O58" s="539"/>
      <c r="P58" s="539"/>
      <c r="Q58" s="539"/>
      <c r="R58" s="539"/>
      <c r="S58" s="537">
        <f>SUM(G58:R58)</f>
        <v>0</v>
      </c>
      <c r="T58" s="540">
        <f t="shared" si="6"/>
        <v>0</v>
      </c>
    </row>
    <row r="59" spans="1:21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539">
        <v>75565.17</v>
      </c>
      <c r="H59" s="539"/>
      <c r="I59" s="539"/>
      <c r="J59" s="539"/>
      <c r="K59" s="539"/>
      <c r="L59" s="539"/>
      <c r="M59" s="539"/>
      <c r="N59" s="539"/>
      <c r="O59" s="539"/>
      <c r="P59" s="539"/>
      <c r="Q59" s="539"/>
      <c r="R59" s="539"/>
      <c r="S59" s="537">
        <f>SUM(G59:R59)</f>
        <v>75565.17</v>
      </c>
      <c r="T59" s="540">
        <f t="shared" si="6"/>
        <v>1.0742844754051749E-3</v>
      </c>
    </row>
    <row r="60" spans="1:21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541">
        <f>+G53-G55-G58-G59</f>
        <v>-18538809.050000027</v>
      </c>
      <c r="H60" s="541">
        <f t="shared" ref="H60:L60" si="27">+H53-H55-H58-H59</f>
        <v>0</v>
      </c>
      <c r="I60" s="541">
        <f t="shared" si="27"/>
        <v>0</v>
      </c>
      <c r="J60" s="541">
        <f t="shared" si="27"/>
        <v>0</v>
      </c>
      <c r="K60" s="541">
        <f t="shared" si="27"/>
        <v>0</v>
      </c>
      <c r="L60" s="541">
        <f t="shared" si="27"/>
        <v>0</v>
      </c>
      <c r="M60" s="541">
        <f t="shared" ref="M60" si="28">+M53-M55-M58-M59</f>
        <v>0</v>
      </c>
      <c r="N60" s="541">
        <f t="shared" ref="N60" si="29">+N53-N55-N58-N59</f>
        <v>0</v>
      </c>
      <c r="O60" s="541">
        <f t="shared" ref="O60" si="30">+O53-O55-O58-O59</f>
        <v>0</v>
      </c>
      <c r="P60" s="541">
        <f t="shared" ref="P60" si="31">+P53-P55-P58-P59</f>
        <v>0</v>
      </c>
      <c r="Q60" s="541">
        <f t="shared" ref="Q60" si="32">+Q53-Q55-Q58-Q59</f>
        <v>0</v>
      </c>
      <c r="R60" s="541">
        <f t="shared" ref="R60:S60" si="33">+R53-R55-R58-R59</f>
        <v>0</v>
      </c>
      <c r="S60" s="537">
        <f t="shared" si="33"/>
        <v>-18538809.050000027</v>
      </c>
      <c r="T60" s="542">
        <f t="shared" si="6"/>
        <v>-0.26355998080750681</v>
      </c>
    </row>
    <row r="61" spans="1:21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514">
        <f>+SUM(G62:G66)</f>
        <v>18538809.050000027</v>
      </c>
      <c r="H61" s="514">
        <f t="shared" ref="H61:L61" si="34">+SUM(H62:H66)</f>
        <v>0</v>
      </c>
      <c r="I61" s="514">
        <f t="shared" si="34"/>
        <v>0</v>
      </c>
      <c r="J61" s="514">
        <f t="shared" si="34"/>
        <v>0</v>
      </c>
      <c r="K61" s="514">
        <f t="shared" si="34"/>
        <v>0</v>
      </c>
      <c r="L61" s="514">
        <f t="shared" si="34"/>
        <v>0</v>
      </c>
      <c r="M61" s="514">
        <f t="shared" ref="M61:R61" si="35">+SUM(M62:M66)</f>
        <v>0</v>
      </c>
      <c r="N61" s="514">
        <f t="shared" si="35"/>
        <v>0</v>
      </c>
      <c r="O61" s="514">
        <f t="shared" si="35"/>
        <v>0</v>
      </c>
      <c r="P61" s="514">
        <f t="shared" si="35"/>
        <v>0</v>
      </c>
      <c r="Q61" s="514">
        <f t="shared" si="35"/>
        <v>0</v>
      </c>
      <c r="R61" s="514">
        <f t="shared" si="35"/>
        <v>0</v>
      </c>
      <c r="S61" s="543">
        <f t="shared" si="7"/>
        <v>18538809.050000027</v>
      </c>
      <c r="T61" s="544">
        <f t="shared" si="6"/>
        <v>0.26355998080750681</v>
      </c>
    </row>
    <row r="62" spans="1:21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500">
        <v>0</v>
      </c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500">
        <v>419597.73</v>
      </c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235">
        <f t="shared" si="7"/>
        <v>419597.73</v>
      </c>
      <c r="T63" s="444">
        <f t="shared" si="6"/>
        <v>5.9652790730736422E-3</v>
      </c>
    </row>
    <row r="64" spans="1:21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500">
        <v>29140.719999999998</v>
      </c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235">
        <f t="shared" si="7"/>
        <v>29140.719999999998</v>
      </c>
      <c r="T64" s="444">
        <f t="shared" si="6"/>
        <v>4.1428376457207838E-4</v>
      </c>
    </row>
    <row r="65" spans="1:20">
      <c r="A65" s="129">
        <v>73</v>
      </c>
      <c r="B65" s="583" t="s">
        <v>101</v>
      </c>
      <c r="C65" s="584"/>
      <c r="D65" s="584"/>
      <c r="E65" s="584"/>
      <c r="F65" s="584"/>
      <c r="G65" s="500">
        <v>223867.47000000003</v>
      </c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235">
        <f t="shared" si="7"/>
        <v>223867.47000000003</v>
      </c>
      <c r="T65" s="444">
        <f t="shared" si="6"/>
        <v>3.182648137617288E-3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17866203.130000025</v>
      </c>
      <c r="H66" s="210">
        <f t="shared" ref="H66:L66" si="36">-H60-SUM(H62:H65)</f>
        <v>0</v>
      </c>
      <c r="I66" s="210">
        <f t="shared" si="36"/>
        <v>0</v>
      </c>
      <c r="J66" s="210">
        <f t="shared" si="36"/>
        <v>0</v>
      </c>
      <c r="K66" s="210">
        <f t="shared" si="36"/>
        <v>0</v>
      </c>
      <c r="L66" s="210">
        <f t="shared" si="36"/>
        <v>0</v>
      </c>
      <c r="M66" s="210">
        <f t="shared" ref="M66:S66" si="37">-M60-SUM(M62:M65)</f>
        <v>0</v>
      </c>
      <c r="N66" s="210">
        <f t="shared" si="37"/>
        <v>0</v>
      </c>
      <c r="O66" s="210">
        <f t="shared" si="37"/>
        <v>0</v>
      </c>
      <c r="P66" s="210">
        <f t="shared" si="37"/>
        <v>0</v>
      </c>
      <c r="Q66" s="210">
        <f t="shared" si="37"/>
        <v>0</v>
      </c>
      <c r="R66" s="210">
        <f t="shared" si="37"/>
        <v>0</v>
      </c>
      <c r="S66" s="238">
        <f t="shared" si="37"/>
        <v>17866203.130000025</v>
      </c>
      <c r="T66" s="448">
        <f t="shared" si="6"/>
        <v>0.25399776983224376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2023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97">
        <v>7034000000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47" t="str">
        <f>+Master!G247</f>
        <v>Jan - Dec</v>
      </c>
      <c r="T84" s="649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505">
        <f t="shared" ref="G86:L86" si="43">+G87+G95+SUM(G100:G104)</f>
        <v>148772496.12504369</v>
      </c>
      <c r="H86" s="505">
        <f t="shared" si="43"/>
        <v>158113558.17313686</v>
      </c>
      <c r="I86" s="505">
        <f t="shared" si="43"/>
        <v>226012505.71659711</v>
      </c>
      <c r="J86" s="505">
        <f t="shared" si="43"/>
        <v>276575922.35471165</v>
      </c>
      <c r="K86" s="505">
        <f t="shared" si="43"/>
        <v>202370960.75834674</v>
      </c>
      <c r="L86" s="505">
        <f t="shared" si="43"/>
        <v>221931557.19007117</v>
      </c>
      <c r="M86" s="505">
        <f t="shared" ref="M86:Q86" si="44">+M87+M95+SUM(M100:M104)</f>
        <v>239840109.13525739</v>
      </c>
      <c r="N86" s="505">
        <f t="shared" si="44"/>
        <v>272049279.02293092</v>
      </c>
      <c r="O86" s="505">
        <f t="shared" si="44"/>
        <v>250826710.01184744</v>
      </c>
      <c r="P86" s="505">
        <f t="shared" si="44"/>
        <v>243206119.80349156</v>
      </c>
      <c r="Q86" s="505">
        <f t="shared" si="44"/>
        <v>209400426.87586257</v>
      </c>
      <c r="R86" s="505">
        <f>+R87+R95+SUM(R100:R104)</f>
        <v>268154122.822703</v>
      </c>
      <c r="S86" s="545">
        <f>+SUM(G86:R86)</f>
        <v>2717253767.9899998</v>
      </c>
      <c r="T86" s="546">
        <f>+S86/$T$83*100</f>
        <v>38.630278191498434</v>
      </c>
      <c r="U86" s="243"/>
    </row>
    <row r="87" spans="1:26">
      <c r="A87" s="105" t="str">
        <f t="shared" si="42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547">
        <f t="shared" ref="G87:L87" si="45">+SUM(G88:G94)</f>
        <v>120138427.04115422</v>
      </c>
      <c r="H87" s="547">
        <f t="shared" si="45"/>
        <v>104149284.03317438</v>
      </c>
      <c r="I87" s="547">
        <f t="shared" si="45"/>
        <v>169447357.55468205</v>
      </c>
      <c r="J87" s="547">
        <f t="shared" si="45"/>
        <v>211701078.28476781</v>
      </c>
      <c r="K87" s="547">
        <f t="shared" si="45"/>
        <v>141387167.73744527</v>
      </c>
      <c r="L87" s="547">
        <f t="shared" si="45"/>
        <v>151720280.57414097</v>
      </c>
      <c r="M87" s="547">
        <f t="shared" ref="M87:R87" si="46">+SUM(M88:M94)</f>
        <v>161274945.54288816</v>
      </c>
      <c r="N87" s="547">
        <f t="shared" si="46"/>
        <v>187405726.52360511</v>
      </c>
      <c r="O87" s="547">
        <f t="shared" si="46"/>
        <v>174959844.19682884</v>
      </c>
      <c r="P87" s="547">
        <f t="shared" si="46"/>
        <v>165156163.28658262</v>
      </c>
      <c r="Q87" s="547">
        <f t="shared" si="46"/>
        <v>139953378.33863863</v>
      </c>
      <c r="R87" s="548">
        <f t="shared" si="46"/>
        <v>156175298.44609201</v>
      </c>
      <c r="S87" s="549">
        <f t="shared" ref="S87:S141" si="47">+SUM(G87:R87)</f>
        <v>1883468951.5599999</v>
      </c>
      <c r="T87" s="520">
        <f t="shared" ref="T87:T142" si="48">+S87/$T$83*100</f>
        <v>26.776641335797553</v>
      </c>
      <c r="V87" s="292"/>
    </row>
    <row r="88" spans="1:26">
      <c r="A88" s="105" t="str">
        <f t="shared" si="42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1801825.5334530019</v>
      </c>
      <c r="H88" s="77">
        <v>4797498.8725749766</v>
      </c>
      <c r="I88" s="77">
        <v>5058808.8901446629</v>
      </c>
      <c r="J88" s="77">
        <v>6551317.4334513247</v>
      </c>
      <c r="K88" s="77">
        <v>6354534.9348088503</v>
      </c>
      <c r="L88" s="77">
        <v>6384865.2399824038</v>
      </c>
      <c r="M88" s="77">
        <v>7316280.3532713847</v>
      </c>
      <c r="N88" s="77">
        <v>7257242.9681147542</v>
      </c>
      <c r="O88" s="77">
        <v>7168345.1062709643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80771569.449999988</v>
      </c>
      <c r="T88" s="436">
        <f t="shared" si="48"/>
        <v>1.1483020962468011</v>
      </c>
      <c r="V88" s="292"/>
    </row>
    <row r="89" spans="1:26">
      <c r="A89" s="105" t="str">
        <f t="shared" si="42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1369765.6788657729</v>
      </c>
      <c r="H89" s="77">
        <v>4097750.9290820062</v>
      </c>
      <c r="I89" s="77">
        <v>40990734.989670277</v>
      </c>
      <c r="J89" s="77">
        <v>82072475.918768093</v>
      </c>
      <c r="K89" s="77">
        <v>7598554.4799611485</v>
      </c>
      <c r="L89" s="77">
        <v>5102445.9317580881</v>
      </c>
      <c r="M89" s="77">
        <v>4518923.1926221987</v>
      </c>
      <c r="N89" s="77">
        <v>3667425.793923636</v>
      </c>
      <c r="O89" s="77">
        <v>3031043.3402888682</v>
      </c>
      <c r="P89" s="77">
        <v>3498970.8755320241</v>
      </c>
      <c r="Q89" s="77">
        <v>3851456.9221399422</v>
      </c>
      <c r="R89" s="77">
        <v>4851508.0273879413</v>
      </c>
      <c r="S89" s="101">
        <f t="shared" si="47"/>
        <v>164651056.08000001</v>
      </c>
      <c r="T89" s="436">
        <f t="shared" si="48"/>
        <v>2.3407884003412001</v>
      </c>
      <c r="V89" s="292"/>
    </row>
    <row r="90" spans="1:26">
      <c r="A90" s="105" t="str">
        <f t="shared" si="42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90392579.434542105</v>
      </c>
      <c r="H91" s="77">
        <v>70110183.355581105</v>
      </c>
      <c r="I91" s="77">
        <v>91649985.128395304</v>
      </c>
      <c r="J91" s="77">
        <v>91035705.503332198</v>
      </c>
      <c r="K91" s="77">
        <v>93750264.273905918</v>
      </c>
      <c r="L91" s="77">
        <v>99669954.964028701</v>
      </c>
      <c r="M91" s="77">
        <v>104980576.46239747</v>
      </c>
      <c r="N91" s="77">
        <v>126842944.99737209</v>
      </c>
      <c r="O91" s="77">
        <v>120744196.841892</v>
      </c>
      <c r="P91" s="77">
        <v>115092102.58641601</v>
      </c>
      <c r="Q91" s="77">
        <v>95782845.757082894</v>
      </c>
      <c r="R91" s="77">
        <v>99581108.985054299</v>
      </c>
      <c r="S91" s="101">
        <f t="shared" si="47"/>
        <v>1199632448.2900002</v>
      </c>
      <c r="T91" s="436">
        <f t="shared" si="48"/>
        <v>17.054768954933184</v>
      </c>
      <c r="V91" s="292"/>
    </row>
    <row r="92" spans="1:26">
      <c r="A92" s="105" t="str">
        <f t="shared" si="42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22805003.605203237</v>
      </c>
      <c r="H92" s="77">
        <v>20592857.793570951</v>
      </c>
      <c r="I92" s="77">
        <v>25607651.370289065</v>
      </c>
      <c r="J92" s="77">
        <v>26354503.905432209</v>
      </c>
      <c r="K92" s="77">
        <v>27199796.80399929</v>
      </c>
      <c r="L92" s="77">
        <v>33707423.847654335</v>
      </c>
      <c r="M92" s="77">
        <v>37914208.164682284</v>
      </c>
      <c r="N92" s="77">
        <v>42617140.779784925</v>
      </c>
      <c r="O92" s="77">
        <v>37411081.022537023</v>
      </c>
      <c r="P92" s="77">
        <v>31963707.2157037</v>
      </c>
      <c r="Q92" s="77">
        <v>27368867.618220858</v>
      </c>
      <c r="R92" s="77">
        <v>32257757.872922163</v>
      </c>
      <c r="S92" s="101">
        <f t="shared" si="47"/>
        <v>365800000.00000006</v>
      </c>
      <c r="T92" s="436">
        <f t="shared" si="48"/>
        <v>5.2004549331816898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2756177.5797694027</v>
      </c>
      <c r="H93" s="77">
        <v>3597080.8322044765</v>
      </c>
      <c r="I93" s="77">
        <v>5080642.3039190965</v>
      </c>
      <c r="J93" s="77">
        <v>4566217.8601228138</v>
      </c>
      <c r="K93" s="77">
        <v>5315794.5622604089</v>
      </c>
      <c r="L93" s="77">
        <v>5532491.7635528967</v>
      </c>
      <c r="M93" s="77">
        <v>5355802.238618318</v>
      </c>
      <c r="N93" s="77">
        <v>5706699.2805261482</v>
      </c>
      <c r="O93" s="77">
        <v>5186142.2097657854</v>
      </c>
      <c r="P93" s="77">
        <v>5014923.9993494628</v>
      </c>
      <c r="Q93" s="77">
        <v>4765187.6368120126</v>
      </c>
      <c r="R93" s="77">
        <v>5418029.1830991814</v>
      </c>
      <c r="S93" s="101">
        <f t="shared" si="47"/>
        <v>58295189.450000003</v>
      </c>
      <c r="T93" s="436">
        <f t="shared" si="48"/>
        <v>0.82876300042649986</v>
      </c>
      <c r="V93" s="292"/>
    </row>
    <row r="94" spans="1:26">
      <c r="A94" s="105" t="str">
        <f t="shared" si="42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1013075.2093207003</v>
      </c>
      <c r="H94" s="77">
        <v>953912.25016085315</v>
      </c>
      <c r="I94" s="77">
        <v>1059534.8722636329</v>
      </c>
      <c r="J94" s="77">
        <v>1120857.6636611964</v>
      </c>
      <c r="K94" s="77">
        <v>1168222.682509661</v>
      </c>
      <c r="L94" s="77">
        <v>1323098.8271645412</v>
      </c>
      <c r="M94" s="77">
        <v>1189155.1312965241</v>
      </c>
      <c r="N94" s="77">
        <v>1314272.7038835543</v>
      </c>
      <c r="O94" s="77">
        <v>1419035.6760742143</v>
      </c>
      <c r="P94" s="77">
        <v>1305475.5819203202</v>
      </c>
      <c r="Q94" s="77">
        <v>1274869.5732153796</v>
      </c>
      <c r="R94" s="77">
        <v>1177178.1185294199</v>
      </c>
      <c r="S94" s="101">
        <f t="shared" si="47"/>
        <v>14318688.289999997</v>
      </c>
      <c r="T94" s="436">
        <f t="shared" si="48"/>
        <v>0.20356395066818306</v>
      </c>
      <c r="V94" s="292"/>
    </row>
    <row r="95" spans="1:26">
      <c r="A95" s="105" t="str">
        <f t="shared" si="42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550">
        <f>+SUM(G96:G99)</f>
        <v>16352055.41693222</v>
      </c>
      <c r="H95" s="550">
        <f t="shared" ref="H95:L95" si="49">+SUM(H96:H99)</f>
        <v>43548052.584407724</v>
      </c>
      <c r="I95" s="551">
        <f t="shared" si="49"/>
        <v>44933194.735314272</v>
      </c>
      <c r="J95" s="550">
        <f t="shared" si="49"/>
        <v>50076292.309714273</v>
      </c>
      <c r="K95" s="550">
        <f t="shared" si="49"/>
        <v>48321180.060848266</v>
      </c>
      <c r="L95" s="550">
        <f t="shared" si="49"/>
        <v>50551963.338566609</v>
      </c>
      <c r="M95" s="550">
        <f t="shared" ref="M95:R95" si="50">+SUM(M96:M99)</f>
        <v>50964232.425356537</v>
      </c>
      <c r="N95" s="550">
        <f t="shared" si="50"/>
        <v>52474361.259312101</v>
      </c>
      <c r="O95" s="550">
        <f t="shared" si="50"/>
        <v>50349013.984039314</v>
      </c>
      <c r="P95" s="550">
        <f t="shared" si="50"/>
        <v>54363640.398909025</v>
      </c>
      <c r="Q95" s="550">
        <f t="shared" si="50"/>
        <v>49713551.309563525</v>
      </c>
      <c r="R95" s="552">
        <f t="shared" si="50"/>
        <v>93751510.127036065</v>
      </c>
      <c r="S95" s="553">
        <f t="shared" si="47"/>
        <v>605399047.94999993</v>
      </c>
      <c r="T95" s="523">
        <f t="shared" si="48"/>
        <v>8.6067535961046335</v>
      </c>
      <c r="V95" s="292"/>
    </row>
    <row r="96" spans="1:26">
      <c r="A96" s="105" t="str">
        <f t="shared" si="42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15107540.897000929</v>
      </c>
      <c r="H96" s="77">
        <v>40305437.222684398</v>
      </c>
      <c r="I96" s="77">
        <v>41579529.6672429</v>
      </c>
      <c r="J96" s="77">
        <v>46231459.004317187</v>
      </c>
      <c r="K96" s="77">
        <v>44651588.880563311</v>
      </c>
      <c r="L96" s="77">
        <v>46822646.22277157</v>
      </c>
      <c r="M96" s="77">
        <v>47257904.543847948</v>
      </c>
      <c r="N96" s="77">
        <v>48709049.092347272</v>
      </c>
      <c r="O96" s="77">
        <v>46357711.69623474</v>
      </c>
      <c r="P96" s="77">
        <v>50246198.769257635</v>
      </c>
      <c r="Q96" s="77">
        <v>45838849.938908279</v>
      </c>
      <c r="R96" s="77">
        <v>86674431.954823792</v>
      </c>
      <c r="S96" s="101">
        <f t="shared" si="47"/>
        <v>559782347.88999999</v>
      </c>
      <c r="T96" s="436">
        <f t="shared" si="48"/>
        <v>7.9582363930907025</v>
      </c>
      <c r="V96" s="292"/>
      <c r="W96" s="292"/>
    </row>
    <row r="97" spans="1:23">
      <c r="A97" s="105" t="str">
        <f t="shared" si="42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128998.53121441192</v>
      </c>
      <c r="H97" s="77">
        <v>275556.51165052858</v>
      </c>
      <c r="I97" s="77">
        <v>180181.08257484142</v>
      </c>
      <c r="J97" s="77">
        <v>229244.65815501672</v>
      </c>
      <c r="K97" s="77">
        <v>255605.92274265984</v>
      </c>
      <c r="L97" s="77">
        <v>237031.78373634661</v>
      </c>
      <c r="M97" s="77">
        <v>208441.15359945668</v>
      </c>
      <c r="N97" s="77">
        <v>183197.86811796174</v>
      </c>
      <c r="O97" s="77">
        <v>439037.7087866519</v>
      </c>
      <c r="P97" s="77">
        <v>198177.17517812611</v>
      </c>
      <c r="Q97" s="77">
        <v>252339.37554671103</v>
      </c>
      <c r="R97" s="77">
        <v>412188.22869728797</v>
      </c>
      <c r="S97" s="101">
        <f t="shared" si="47"/>
        <v>3000000</v>
      </c>
      <c r="T97" s="436">
        <f t="shared" si="48"/>
        <v>4.2649985783338069E-2</v>
      </c>
      <c r="V97" s="292"/>
    </row>
    <row r="98" spans="1:23">
      <c r="A98" s="105" t="str">
        <f t="shared" si="42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652800.53008117527</v>
      </c>
      <c r="H98" s="77">
        <v>1715642.9051287719</v>
      </c>
      <c r="I98" s="77">
        <v>1754023.8579447954</v>
      </c>
      <c r="J98" s="77">
        <v>1982407.8906747878</v>
      </c>
      <c r="K98" s="77">
        <v>1897711.3195239312</v>
      </c>
      <c r="L98" s="77">
        <v>1960821.9840019587</v>
      </c>
      <c r="M98" s="77">
        <v>1975020.7772685695</v>
      </c>
      <c r="N98" s="77">
        <v>2096351.9564830353</v>
      </c>
      <c r="O98" s="77">
        <v>2032210.9670301753</v>
      </c>
      <c r="P98" s="77">
        <v>2198914.888620181</v>
      </c>
      <c r="Q98" s="77">
        <v>2000429.4325449851</v>
      </c>
      <c r="R98" s="77">
        <v>3731281.5306976326</v>
      </c>
      <c r="S98" s="101">
        <f t="shared" si="47"/>
        <v>23997618.039999995</v>
      </c>
      <c r="T98" s="436">
        <f t="shared" si="48"/>
        <v>0.34116602274665903</v>
      </c>
      <c r="V98" s="292"/>
    </row>
    <row r="99" spans="1:23">
      <c r="A99" s="105" t="str">
        <f t="shared" si="42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462715.45863570302</v>
      </c>
      <c r="H99" s="77">
        <v>1251415.9449440332</v>
      </c>
      <c r="I99" s="77">
        <v>1419460.1275517347</v>
      </c>
      <c r="J99" s="77">
        <v>1633180.7565672826</v>
      </c>
      <c r="K99" s="77">
        <v>1516273.9380183634</v>
      </c>
      <c r="L99" s="77">
        <v>1531463.3480567331</v>
      </c>
      <c r="M99" s="77">
        <v>1522865.9506405692</v>
      </c>
      <c r="N99" s="77">
        <v>1485762.3423638348</v>
      </c>
      <c r="O99" s="77">
        <v>1520053.6119877459</v>
      </c>
      <c r="P99" s="77">
        <v>1720349.5658530837</v>
      </c>
      <c r="Q99" s="77">
        <v>1621932.5625635546</v>
      </c>
      <c r="R99" s="77">
        <v>2933608.4128173613</v>
      </c>
      <c r="S99" s="101">
        <f t="shared" si="47"/>
        <v>18619082.02</v>
      </c>
      <c r="T99" s="436">
        <f t="shared" si="48"/>
        <v>0.26470119448393514</v>
      </c>
      <c r="V99" s="292"/>
    </row>
    <row r="100" spans="1:23">
      <c r="A100" s="105" t="str">
        <f t="shared" si="42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511">
        <v>748860.49593329686</v>
      </c>
      <c r="H100" s="511">
        <v>953485.20987465465</v>
      </c>
      <c r="I100" s="511">
        <v>1089304.8526208741</v>
      </c>
      <c r="J100" s="511">
        <v>1026263.3154744842</v>
      </c>
      <c r="K100" s="511">
        <v>1352524.7555279485</v>
      </c>
      <c r="L100" s="511">
        <v>1432990.8665296927</v>
      </c>
      <c r="M100" s="511">
        <v>1590359.9048749318</v>
      </c>
      <c r="N100" s="511">
        <v>1811559.3329411284</v>
      </c>
      <c r="O100" s="511">
        <v>1526095.1346786334</v>
      </c>
      <c r="P100" s="511">
        <v>1507019.7783381043</v>
      </c>
      <c r="Q100" s="511">
        <v>1214632.6297800925</v>
      </c>
      <c r="R100" s="511">
        <v>1598448.2234261595</v>
      </c>
      <c r="S100" s="553">
        <f t="shared" si="47"/>
        <v>15851544.500000004</v>
      </c>
      <c r="T100" s="523">
        <f t="shared" si="48"/>
        <v>0.2253560491896503</v>
      </c>
      <c r="V100" s="292"/>
    </row>
    <row r="101" spans="1:23">
      <c r="A101" s="105" t="str">
        <f t="shared" si="42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511">
        <v>2682300.8007396669</v>
      </c>
      <c r="H101" s="511">
        <v>3068842.3901493941</v>
      </c>
      <c r="I101" s="511">
        <v>3887539.9432760077</v>
      </c>
      <c r="J101" s="511">
        <v>3944624.4181581014</v>
      </c>
      <c r="K101" s="511">
        <v>4975153.702935664</v>
      </c>
      <c r="L101" s="511">
        <v>5391338.4291397706</v>
      </c>
      <c r="M101" s="511">
        <v>4551170.0714253988</v>
      </c>
      <c r="N101" s="511">
        <v>6300259.5139867421</v>
      </c>
      <c r="O101" s="511">
        <v>4876357.2568455562</v>
      </c>
      <c r="P101" s="511">
        <v>7715065.1027632868</v>
      </c>
      <c r="Q101" s="511">
        <v>9181200.883062087</v>
      </c>
      <c r="R101" s="511">
        <v>6249228.1375183258</v>
      </c>
      <c r="S101" s="553">
        <f t="shared" si="47"/>
        <v>62823080.649999999</v>
      </c>
      <c r="T101" s="523">
        <f t="shared" si="48"/>
        <v>0.89313449886266705</v>
      </c>
      <c r="V101" s="292"/>
    </row>
    <row r="102" spans="1:23">
      <c r="A102" s="105" t="str">
        <f t="shared" si="42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511">
        <v>4850852.370284291</v>
      </c>
      <c r="H102" s="511">
        <v>4543893.9555307049</v>
      </c>
      <c r="I102" s="511">
        <v>5155108.6307039</v>
      </c>
      <c r="J102" s="511">
        <v>8577664.0265969969</v>
      </c>
      <c r="K102" s="511">
        <v>4181225.1038118028</v>
      </c>
      <c r="L102" s="511">
        <v>8484983.9839163478</v>
      </c>
      <c r="M102" s="511">
        <v>17098272.995156821</v>
      </c>
      <c r="N102" s="511">
        <v>20053662.995308049</v>
      </c>
      <c r="O102" s="511">
        <v>14711690.041677319</v>
      </c>
      <c r="P102" s="511">
        <v>10010521.839120742</v>
      </c>
      <c r="Q102" s="511">
        <v>4813954.3170404471</v>
      </c>
      <c r="R102" s="511">
        <v>5929313.0708526587</v>
      </c>
      <c r="S102" s="553">
        <f t="shared" si="47"/>
        <v>108411143.33000009</v>
      </c>
      <c r="T102" s="523">
        <f t="shared" si="48"/>
        <v>1.5412445739266434</v>
      </c>
      <c r="V102" s="292"/>
    </row>
    <row r="103" spans="1:23">
      <c r="A103" s="105" t="str">
        <f t="shared" si="42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511">
        <v>0</v>
      </c>
      <c r="H103" s="511">
        <v>0</v>
      </c>
      <c r="I103" s="511">
        <v>0</v>
      </c>
      <c r="J103" s="511">
        <v>0</v>
      </c>
      <c r="K103" s="511">
        <v>0</v>
      </c>
      <c r="L103" s="511">
        <v>0</v>
      </c>
      <c r="M103" s="511">
        <v>0</v>
      </c>
      <c r="N103" s="511">
        <v>0</v>
      </c>
      <c r="O103" s="511">
        <v>0</v>
      </c>
      <c r="P103" s="511">
        <v>0</v>
      </c>
      <c r="Q103" s="511">
        <v>0</v>
      </c>
      <c r="R103" s="511">
        <v>0</v>
      </c>
      <c r="S103" s="553">
        <f t="shared" si="47"/>
        <v>0</v>
      </c>
      <c r="T103" s="523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511">
        <v>4000000</v>
      </c>
      <c r="H104" s="511">
        <v>1850000</v>
      </c>
      <c r="I104" s="511">
        <v>1500000</v>
      </c>
      <c r="J104" s="511">
        <v>1250000</v>
      </c>
      <c r="K104" s="511">
        <v>2153709.39777778</v>
      </c>
      <c r="L104" s="511">
        <v>4349999.9977777796</v>
      </c>
      <c r="M104" s="511">
        <v>4361128.1955555324</v>
      </c>
      <c r="N104" s="511">
        <v>4003709.39777778</v>
      </c>
      <c r="O104" s="511">
        <v>4403709.39777778</v>
      </c>
      <c r="P104" s="511">
        <v>4453709.39777778</v>
      </c>
      <c r="Q104" s="511">
        <v>4523709.39777778</v>
      </c>
      <c r="R104" s="511">
        <v>4450324.8177777799</v>
      </c>
      <c r="S104" s="554">
        <f t="shared" si="47"/>
        <v>41300000</v>
      </c>
      <c r="T104" s="525">
        <f t="shared" si="48"/>
        <v>0.58714813761728746</v>
      </c>
      <c r="V104" s="292"/>
    </row>
    <row r="105" spans="1:23" ht="13.5" thickBot="1">
      <c r="A105" s="105" t="str">
        <f t="shared" si="42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506">
        <f t="shared" ref="G105:L105" si="51">+G106+G116+G122+SUM(G123:G127)</f>
        <v>184919053.78499997</v>
      </c>
      <c r="H105" s="506">
        <f t="shared" si="51"/>
        <v>232561234.48499998</v>
      </c>
      <c r="I105" s="506">
        <f t="shared" si="51"/>
        <v>238081263.40500003</v>
      </c>
      <c r="J105" s="506">
        <f t="shared" si="51"/>
        <v>255682841.11500001</v>
      </c>
      <c r="K105" s="506">
        <f t="shared" si="51"/>
        <v>241962982.43500003</v>
      </c>
      <c r="L105" s="506">
        <f t="shared" si="51"/>
        <v>234003907.77500001</v>
      </c>
      <c r="M105" s="506">
        <f t="shared" ref="M105:R105" si="52">+M106+M116+M122+SUM(M123:M127)</f>
        <v>264700451.39499998</v>
      </c>
      <c r="N105" s="506">
        <f t="shared" si="52"/>
        <v>232010503.685</v>
      </c>
      <c r="O105" s="506">
        <f t="shared" si="52"/>
        <v>242368363.40499997</v>
      </c>
      <c r="P105" s="506">
        <f t="shared" si="52"/>
        <v>248749473.49499997</v>
      </c>
      <c r="Q105" s="506">
        <f t="shared" si="52"/>
        <v>263598346.51499999</v>
      </c>
      <c r="R105" s="506">
        <f t="shared" si="52"/>
        <v>314228950.07499999</v>
      </c>
      <c r="S105" s="555">
        <f>+SUM(G105:R105)</f>
        <v>2952867371.5699997</v>
      </c>
      <c r="T105" s="556">
        <f t="shared" si="48"/>
        <v>41.979917139181119</v>
      </c>
      <c r="V105" s="275"/>
    </row>
    <row r="106" spans="1:23">
      <c r="A106" s="105" t="str">
        <f t="shared" si="42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512">
        <f t="shared" ref="G106:L106" si="53">+SUM(G107:G115)</f>
        <v>87878650.644999996</v>
      </c>
      <c r="H106" s="512">
        <f t="shared" si="53"/>
        <v>86906152.424999982</v>
      </c>
      <c r="I106" s="512">
        <f t="shared" si="53"/>
        <v>95451885.045000017</v>
      </c>
      <c r="J106" s="512">
        <f t="shared" si="53"/>
        <v>106856668.84499998</v>
      </c>
      <c r="K106" s="512">
        <f t="shared" si="53"/>
        <v>97851421.115000039</v>
      </c>
      <c r="L106" s="512">
        <f t="shared" si="53"/>
        <v>89489132.13499999</v>
      </c>
      <c r="M106" s="512">
        <f t="shared" ref="M106:R106" si="54">+SUM(M107:M115)</f>
        <v>93027671.495000005</v>
      </c>
      <c r="N106" s="512">
        <f t="shared" si="54"/>
        <v>85997595.745000005</v>
      </c>
      <c r="O106" s="512">
        <f t="shared" si="54"/>
        <v>93577491.554999977</v>
      </c>
      <c r="P106" s="512">
        <f t="shared" si="54"/>
        <v>102706807.965</v>
      </c>
      <c r="Q106" s="512">
        <f t="shared" si="54"/>
        <v>96849062.034999996</v>
      </c>
      <c r="R106" s="513">
        <f t="shared" si="54"/>
        <v>129450330.31499998</v>
      </c>
      <c r="S106" s="549">
        <f t="shared" si="47"/>
        <v>1166042869.3199999</v>
      </c>
      <c r="T106" s="520">
        <f t="shared" si="48"/>
        <v>16.577237266420244</v>
      </c>
      <c r="V106" s="275"/>
      <c r="W106" s="275"/>
    </row>
    <row r="107" spans="1:23">
      <c r="A107" s="105" t="str">
        <f t="shared" si="42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57236559.594999999</v>
      </c>
      <c r="H107" s="77">
        <v>55816093.644999981</v>
      </c>
      <c r="I107" s="77">
        <v>56488796.335000001</v>
      </c>
      <c r="J107" s="77">
        <v>56489142.515000008</v>
      </c>
      <c r="K107" s="77">
        <v>56540382.745000005</v>
      </c>
      <c r="L107" s="77">
        <v>56491886.404999994</v>
      </c>
      <c r="M107" s="77">
        <v>56491988.854999997</v>
      </c>
      <c r="N107" s="77">
        <v>56492266.684999995</v>
      </c>
      <c r="O107" s="77">
        <v>56492339.675000004</v>
      </c>
      <c r="P107" s="77">
        <v>56496440.484999992</v>
      </c>
      <c r="Q107" s="77">
        <v>56495043.11500001</v>
      </c>
      <c r="R107" s="77">
        <v>56488380.25499998</v>
      </c>
      <c r="S107" s="101">
        <f t="shared" si="47"/>
        <v>678019320.31000006</v>
      </c>
      <c r="T107" s="436">
        <f t="shared" si="48"/>
        <v>9.6391714573500149</v>
      </c>
      <c r="V107" s="488"/>
    </row>
    <row r="108" spans="1:23">
      <c r="A108" s="105" t="str">
        <f t="shared" si="42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2100463.6400000006</v>
      </c>
      <c r="H108" s="77">
        <v>1740741.4700000007</v>
      </c>
      <c r="I108" s="77">
        <v>1753124.9700000007</v>
      </c>
      <c r="J108" s="77">
        <v>1673330.2600000009</v>
      </c>
      <c r="K108" s="77">
        <v>1703169.2100000009</v>
      </c>
      <c r="L108" s="77">
        <v>1690210.7300000009</v>
      </c>
      <c r="M108" s="77">
        <v>1580765.9100000006</v>
      </c>
      <c r="N108" s="77">
        <v>1509788.27</v>
      </c>
      <c r="O108" s="77">
        <v>1478140.4400000002</v>
      </c>
      <c r="P108" s="77">
        <v>1471283.5899999999</v>
      </c>
      <c r="Q108" s="77">
        <v>1474746.63</v>
      </c>
      <c r="R108" s="77">
        <v>1592508.5300000003</v>
      </c>
      <c r="S108" s="101">
        <f t="shared" si="47"/>
        <v>19768273.650000006</v>
      </c>
      <c r="T108" s="436">
        <f t="shared" si="48"/>
        <v>0.28103886337787892</v>
      </c>
      <c r="V108" s="488"/>
    </row>
    <row r="109" spans="1:23">
      <c r="A109" s="105" t="str">
        <f t="shared" si="42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2592981.6999999997</v>
      </c>
      <c r="H109" s="77">
        <v>4515110.08</v>
      </c>
      <c r="I109" s="77">
        <v>4746218.3499999987</v>
      </c>
      <c r="J109" s="77">
        <v>3300771.2399999998</v>
      </c>
      <c r="K109" s="77">
        <v>3656056.06</v>
      </c>
      <c r="L109" s="77">
        <v>3933495.0999999992</v>
      </c>
      <c r="M109" s="77">
        <v>3252425.830000001</v>
      </c>
      <c r="N109" s="77">
        <v>4247306.54</v>
      </c>
      <c r="O109" s="77">
        <v>4898294.7299999995</v>
      </c>
      <c r="P109" s="77">
        <v>4877488.2399999993</v>
      </c>
      <c r="Q109" s="77">
        <v>3741414.1999999993</v>
      </c>
      <c r="R109" s="77">
        <v>8382271.0100000016</v>
      </c>
      <c r="S109" s="101">
        <f t="shared" si="47"/>
        <v>52143833.079999998</v>
      </c>
      <c r="T109" s="436">
        <f t="shared" si="48"/>
        <v>0.74131124651691782</v>
      </c>
      <c r="V109" s="488"/>
    </row>
    <row r="110" spans="1:23">
      <c r="A110" s="105" t="str">
        <f t="shared" si="42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3340743.4700000011</v>
      </c>
      <c r="H110" s="77">
        <v>6097662.4100000001</v>
      </c>
      <c r="I110" s="77">
        <v>5978418.9100000011</v>
      </c>
      <c r="J110" s="77">
        <v>5854559.3200000003</v>
      </c>
      <c r="K110" s="77">
        <v>5703795.0300000012</v>
      </c>
      <c r="L110" s="77">
        <v>6644319.4900000021</v>
      </c>
      <c r="M110" s="77">
        <v>6131057.3700000001</v>
      </c>
      <c r="N110" s="77">
        <v>5400846.6300000008</v>
      </c>
      <c r="O110" s="77">
        <v>6228111.6400000025</v>
      </c>
      <c r="P110" s="77">
        <v>6383895.8200000003</v>
      </c>
      <c r="Q110" s="77">
        <v>5837864.5599999996</v>
      </c>
      <c r="R110" s="77">
        <v>9975968.3799999971</v>
      </c>
      <c r="S110" s="101">
        <f t="shared" si="47"/>
        <v>73577243.030000016</v>
      </c>
      <c r="T110" s="436">
        <f t="shared" si="48"/>
        <v>1.0460227897355703</v>
      </c>
      <c r="V110" s="488"/>
    </row>
    <row r="111" spans="1:23">
      <c r="A111" s="105" t="str">
        <f t="shared" si="42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1533230.38</v>
      </c>
      <c r="H111" s="77">
        <v>2906620.62</v>
      </c>
      <c r="I111" s="77">
        <v>3471949</v>
      </c>
      <c r="J111" s="77">
        <v>2074494.46</v>
      </c>
      <c r="K111" s="77">
        <v>2536527.75</v>
      </c>
      <c r="L111" s="77">
        <v>2985743.0999999996</v>
      </c>
      <c r="M111" s="77">
        <v>3203540.1100000003</v>
      </c>
      <c r="N111" s="77">
        <v>3414396.59</v>
      </c>
      <c r="O111" s="77">
        <v>2851647.1499999985</v>
      </c>
      <c r="P111" s="77">
        <v>4359813.2799999993</v>
      </c>
      <c r="Q111" s="77">
        <v>3607336.46</v>
      </c>
      <c r="R111" s="77">
        <v>6711210.7199999997</v>
      </c>
      <c r="S111" s="101">
        <f t="shared" si="47"/>
        <v>39656509.619999997</v>
      </c>
      <c r="T111" s="436">
        <f t="shared" si="48"/>
        <v>0.56378319050326986</v>
      </c>
      <c r="V111" s="488"/>
    </row>
    <row r="112" spans="1:23">
      <c r="A112" s="105" t="str">
        <f t="shared" si="42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7863506.3399999999</v>
      </c>
      <c r="H112" s="77">
        <v>3853520.3899999992</v>
      </c>
      <c r="I112" s="77">
        <v>7002612.4900000021</v>
      </c>
      <c r="J112" s="77">
        <v>25979515.719999999</v>
      </c>
      <c r="K112" s="77">
        <v>14697879.240000002</v>
      </c>
      <c r="L112" s="77">
        <v>5859746.7600000016</v>
      </c>
      <c r="M112" s="77">
        <v>7379836.4300000006</v>
      </c>
      <c r="N112" s="77">
        <v>3537784.6200000006</v>
      </c>
      <c r="O112" s="77">
        <v>5550692.9700000016</v>
      </c>
      <c r="P112" s="77">
        <v>17060783.899999999</v>
      </c>
      <c r="Q112" s="77">
        <v>12954508.439999999</v>
      </c>
      <c r="R112" s="77">
        <v>26653631.520000003</v>
      </c>
      <c r="S112" s="101">
        <f t="shared" si="47"/>
        <v>138394018.82000002</v>
      </c>
      <c r="T112" s="436">
        <f t="shared" si="48"/>
        <v>1.9675009783906743</v>
      </c>
      <c r="V112" s="488"/>
    </row>
    <row r="113" spans="1:22">
      <c r="A113" s="105" t="str">
        <f t="shared" si="42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1176076.0799999998</v>
      </c>
      <c r="H113" s="77">
        <v>1161701.6599999999</v>
      </c>
      <c r="I113" s="77">
        <v>1156431.0099999998</v>
      </c>
      <c r="J113" s="77">
        <v>1194352.0699999998</v>
      </c>
      <c r="K113" s="77">
        <v>1202203.7899999998</v>
      </c>
      <c r="L113" s="77">
        <v>1154047.0699999998</v>
      </c>
      <c r="M113" s="77">
        <v>1152607.0699999998</v>
      </c>
      <c r="N113" s="77">
        <v>1139907.0699999998</v>
      </c>
      <c r="O113" s="77">
        <v>1137807.0699999998</v>
      </c>
      <c r="P113" s="77">
        <v>1136957.1399999997</v>
      </c>
      <c r="Q113" s="77">
        <v>1144485.0599999998</v>
      </c>
      <c r="R113" s="77">
        <v>1103438.5100000002</v>
      </c>
      <c r="S113" s="101">
        <f t="shared" si="47"/>
        <v>13860013.600000001</v>
      </c>
      <c r="T113" s="436">
        <f t="shared" si="48"/>
        <v>0.19704312766562412</v>
      </c>
      <c r="V113" s="488"/>
    </row>
    <row r="114" spans="1:22">
      <c r="A114" s="105" t="str">
        <f t="shared" si="42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2842083.57</v>
      </c>
      <c r="H114" s="77">
        <v>3401967.33</v>
      </c>
      <c r="I114" s="77">
        <v>6003432.1100000013</v>
      </c>
      <c r="J114" s="77">
        <v>4923572.21</v>
      </c>
      <c r="K114" s="77">
        <v>6362355.2300000004</v>
      </c>
      <c r="L114" s="77">
        <v>4867109.51</v>
      </c>
      <c r="M114" s="77">
        <v>6273241.120000001</v>
      </c>
      <c r="N114" s="77">
        <v>5041530.7700000005</v>
      </c>
      <c r="O114" s="77">
        <v>7541341.7899999982</v>
      </c>
      <c r="P114" s="77">
        <v>4558113.120000001</v>
      </c>
      <c r="Q114" s="77">
        <v>6140335.8600000003</v>
      </c>
      <c r="R114" s="77">
        <v>9191186.3399999943</v>
      </c>
      <c r="S114" s="101">
        <f t="shared" si="47"/>
        <v>67146268.959999993</v>
      </c>
      <c r="T114" s="436">
        <f t="shared" si="48"/>
        <v>0.95459580551606471</v>
      </c>
      <c r="V114" s="488"/>
    </row>
    <row r="115" spans="1:22">
      <c r="A115" s="105" t="str">
        <f t="shared" si="42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9193005.8699999992</v>
      </c>
      <c r="H115" s="77">
        <v>7412734.8200000003</v>
      </c>
      <c r="I115" s="77">
        <v>8850901.870000001</v>
      </c>
      <c r="J115" s="77">
        <v>5366931.0500000007</v>
      </c>
      <c r="K115" s="77">
        <v>5449052.0600000005</v>
      </c>
      <c r="L115" s="77">
        <v>5862573.9700000007</v>
      </c>
      <c r="M115" s="77">
        <v>7562208.8000000007</v>
      </c>
      <c r="N115" s="77">
        <v>5213768.57</v>
      </c>
      <c r="O115" s="77">
        <v>7399116.0900000017</v>
      </c>
      <c r="P115" s="77">
        <v>6362032.3899999997</v>
      </c>
      <c r="Q115" s="77">
        <v>5453327.71</v>
      </c>
      <c r="R115" s="77">
        <v>9351735.0500000026</v>
      </c>
      <c r="S115" s="101">
        <f t="shared" si="47"/>
        <v>83477388.249999985</v>
      </c>
      <c r="T115" s="436">
        <f t="shared" si="48"/>
        <v>1.1867698073642308</v>
      </c>
      <c r="V115" s="488"/>
    </row>
    <row r="116" spans="1:22">
      <c r="A116" s="105" t="str">
        <f t="shared" si="42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508">
        <f t="shared" ref="G116:L116" si="55">+SUM(G117:G121)</f>
        <v>75443525</v>
      </c>
      <c r="H116" s="508">
        <f t="shared" si="55"/>
        <v>84394445.159999996</v>
      </c>
      <c r="I116" s="508">
        <f t="shared" si="55"/>
        <v>83399809.099999994</v>
      </c>
      <c r="J116" s="508">
        <f t="shared" si="55"/>
        <v>83769996.049999997</v>
      </c>
      <c r="K116" s="508">
        <f t="shared" si="55"/>
        <v>83769996.049999997</v>
      </c>
      <c r="L116" s="508">
        <f t="shared" si="55"/>
        <v>87049024.140000001</v>
      </c>
      <c r="M116" s="508">
        <f t="shared" ref="M116:R116" si="56">+SUM(M117:M121)</f>
        <v>85963012.349999994</v>
      </c>
      <c r="N116" s="508">
        <f t="shared" si="56"/>
        <v>86096697.659999996</v>
      </c>
      <c r="O116" s="508">
        <f t="shared" si="56"/>
        <v>86097697.659999996</v>
      </c>
      <c r="P116" s="508">
        <f t="shared" si="56"/>
        <v>86972569.239999995</v>
      </c>
      <c r="Q116" s="508">
        <f t="shared" si="56"/>
        <v>86972569.239999995</v>
      </c>
      <c r="R116" s="508">
        <f t="shared" si="56"/>
        <v>81090155.569999993</v>
      </c>
      <c r="S116" s="553">
        <f t="shared" si="47"/>
        <v>1011019497.22</v>
      </c>
      <c r="T116" s="523">
        <f t="shared" si="48"/>
        <v>14.373322394370202</v>
      </c>
      <c r="V116" s="292"/>
    </row>
    <row r="117" spans="1:22">
      <c r="A117" s="105" t="str">
        <f t="shared" si="42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499">
        <v>18712760.859999999</v>
      </c>
      <c r="H117" s="499">
        <v>17947481.420000002</v>
      </c>
      <c r="I117" s="499">
        <v>17207107.52</v>
      </c>
      <c r="J117" s="499">
        <v>17577294.469999999</v>
      </c>
      <c r="K117" s="499">
        <v>17577294.469999999</v>
      </c>
      <c r="L117" s="499">
        <v>17577294.469999999</v>
      </c>
      <c r="M117" s="499">
        <v>17577294.469999999</v>
      </c>
      <c r="N117" s="499">
        <v>17577294.469999999</v>
      </c>
      <c r="O117" s="499">
        <v>17577294.469999999</v>
      </c>
      <c r="P117" s="499">
        <v>17577294.469999999</v>
      </c>
      <c r="Q117" s="499">
        <v>17577294.469999999</v>
      </c>
      <c r="R117" s="499">
        <v>17577294.440000001</v>
      </c>
      <c r="S117" s="101">
        <f t="shared" si="47"/>
        <v>212062999.99999997</v>
      </c>
      <c r="T117" s="436">
        <f t="shared" si="48"/>
        <v>3.0148279783906733</v>
      </c>
      <c r="V117" s="488"/>
    </row>
    <row r="118" spans="1:22">
      <c r="A118" s="105" t="str">
        <f t="shared" ref="A118:A134" si="57">+CONCATENATE(A42,"p")</f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499">
        <v>2092191.6600000001</v>
      </c>
      <c r="H118" s="499">
        <v>2092191.6600000001</v>
      </c>
      <c r="I118" s="499">
        <v>2092191.6600000001</v>
      </c>
      <c r="J118" s="499">
        <v>2092191.6600000001</v>
      </c>
      <c r="K118" s="499">
        <v>2092191.6600000001</v>
      </c>
      <c r="L118" s="499">
        <v>2092191.6600000001</v>
      </c>
      <c r="M118" s="499">
        <v>2092191.6600000001</v>
      </c>
      <c r="N118" s="499">
        <v>2092191.6600000001</v>
      </c>
      <c r="O118" s="499">
        <v>2092191.6600000001</v>
      </c>
      <c r="P118" s="499">
        <v>2092191.6600000001</v>
      </c>
      <c r="Q118" s="499">
        <v>2092191.6600000001</v>
      </c>
      <c r="R118" s="499">
        <v>2092191.7400000002</v>
      </c>
      <c r="S118" s="101">
        <f t="shared" si="47"/>
        <v>25106300</v>
      </c>
      <c r="T118" s="436">
        <f t="shared" si="48"/>
        <v>0.35692777935740688</v>
      </c>
      <c r="V118" s="488"/>
    </row>
    <row r="119" spans="1:22">
      <c r="A119" s="105" t="str">
        <f t="shared" si="57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499">
        <v>51583572.480000004</v>
      </c>
      <c r="H119" s="499">
        <v>61299772.079999998</v>
      </c>
      <c r="I119" s="499">
        <v>61045509.920000002</v>
      </c>
      <c r="J119" s="499">
        <v>61045509.920000002</v>
      </c>
      <c r="K119" s="499">
        <v>61045509.920000002</v>
      </c>
      <c r="L119" s="499">
        <v>64324538.009999998</v>
      </c>
      <c r="M119" s="499">
        <v>63238526.219999999</v>
      </c>
      <c r="N119" s="499">
        <v>63372211.530000001</v>
      </c>
      <c r="O119" s="499">
        <v>63373211.530000001</v>
      </c>
      <c r="P119" s="499">
        <v>64248083.109999999</v>
      </c>
      <c r="Q119" s="499">
        <v>64248083.109999999</v>
      </c>
      <c r="R119" s="499">
        <v>58365669.389999993</v>
      </c>
      <c r="S119" s="101">
        <f t="shared" si="47"/>
        <v>737190197.22000003</v>
      </c>
      <c r="T119" s="436">
        <f t="shared" si="48"/>
        <v>10.48038381034973</v>
      </c>
      <c r="V119" s="488"/>
    </row>
    <row r="120" spans="1:22">
      <c r="A120" s="105" t="str">
        <f t="shared" si="57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1755000</v>
      </c>
      <c r="M120" s="499">
        <v>1755000</v>
      </c>
      <c r="N120" s="499">
        <v>1755000</v>
      </c>
      <c r="O120" s="499">
        <v>1755000</v>
      </c>
      <c r="P120" s="499">
        <v>1755000</v>
      </c>
      <c r="Q120" s="499">
        <v>1755000</v>
      </c>
      <c r="R120" s="499">
        <v>1755000</v>
      </c>
      <c r="S120" s="101">
        <f t="shared" si="47"/>
        <v>21060000</v>
      </c>
      <c r="T120" s="436">
        <f t="shared" si="48"/>
        <v>0.29940290019903326</v>
      </c>
      <c r="V120" s="488"/>
    </row>
    <row r="121" spans="1:22">
      <c r="A121" s="105" t="str">
        <f t="shared" si="57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1300000</v>
      </c>
      <c r="N121" s="499">
        <v>1300000</v>
      </c>
      <c r="O121" s="499">
        <v>1300000</v>
      </c>
      <c r="P121" s="499">
        <v>1300000</v>
      </c>
      <c r="Q121" s="499">
        <v>1300000</v>
      </c>
      <c r="R121" s="499">
        <v>1300000</v>
      </c>
      <c r="S121" s="101">
        <f t="shared" si="47"/>
        <v>15600000</v>
      </c>
      <c r="T121" s="436">
        <f t="shared" si="48"/>
        <v>0.22177992607335795</v>
      </c>
      <c r="V121" s="488"/>
    </row>
    <row r="122" spans="1:22">
      <c r="A122" s="105" t="str">
        <f t="shared" si="57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511">
        <v>15240044.790000003</v>
      </c>
      <c r="H122" s="511">
        <v>42312688.720000006</v>
      </c>
      <c r="I122" s="511">
        <v>37042176.149999999</v>
      </c>
      <c r="J122" s="511">
        <v>34958741.610000007</v>
      </c>
      <c r="K122" s="511">
        <v>37678023.580000006</v>
      </c>
      <c r="L122" s="511">
        <v>34190161.800000004</v>
      </c>
      <c r="M122" s="511">
        <v>45619705.909999996</v>
      </c>
      <c r="N122" s="511">
        <v>34678448.779999994</v>
      </c>
      <c r="O122" s="511">
        <v>37482586.479999997</v>
      </c>
      <c r="P122" s="511">
        <v>33245009.419999998</v>
      </c>
      <c r="Q122" s="511">
        <v>32522248.050000001</v>
      </c>
      <c r="R122" s="511">
        <v>30088892.829999998</v>
      </c>
      <c r="S122" s="553">
        <f>+SUM(G122:R122)</f>
        <v>415058728.12000006</v>
      </c>
      <c r="T122" s="523">
        <f t="shared" si="48"/>
        <v>5.9007496178561283</v>
      </c>
      <c r="V122" s="488"/>
    </row>
    <row r="123" spans="1:22">
      <c r="A123" s="105" t="str">
        <f t="shared" si="57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511">
        <v>4245371.3800000018</v>
      </c>
      <c r="H123" s="511">
        <v>15541125.270000001</v>
      </c>
      <c r="I123" s="511">
        <v>15136141.080000002</v>
      </c>
      <c r="J123" s="511">
        <v>17196664.280000001</v>
      </c>
      <c r="K123" s="511">
        <v>17164187.290000007</v>
      </c>
      <c r="L123" s="511">
        <v>19765724.190000005</v>
      </c>
      <c r="M123" s="511">
        <v>23529457.550000001</v>
      </c>
      <c r="N123" s="511">
        <v>19891820.990000002</v>
      </c>
      <c r="O123" s="511">
        <v>23471698.850000001</v>
      </c>
      <c r="P123" s="511">
        <v>21978883.32</v>
      </c>
      <c r="Q123" s="511">
        <v>43693719.969999999</v>
      </c>
      <c r="R123" s="511">
        <v>52895384.790000007</v>
      </c>
      <c r="S123" s="553">
        <f>+SUM(G123:R123)</f>
        <v>274510178.95999998</v>
      </c>
      <c r="T123" s="523">
        <f t="shared" si="48"/>
        <v>3.9026184100085302</v>
      </c>
      <c r="U123" s="292"/>
      <c r="V123" s="488"/>
    </row>
    <row r="124" spans="1:22">
      <c r="A124" s="105" t="str">
        <f t="shared" si="57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502">
        <v>0</v>
      </c>
      <c r="H125" s="502">
        <v>661809.78</v>
      </c>
      <c r="I125" s="502">
        <v>5125404.93</v>
      </c>
      <c r="J125" s="502">
        <v>11177691.52</v>
      </c>
      <c r="K125" s="502">
        <v>3559533.49</v>
      </c>
      <c r="L125" s="502">
        <v>1492299.3</v>
      </c>
      <c r="M125" s="502">
        <v>14834317.01</v>
      </c>
      <c r="N125" s="502">
        <v>3648971.46</v>
      </c>
      <c r="O125" s="502">
        <v>33326.18</v>
      </c>
      <c r="P125" s="502">
        <v>2096508.51</v>
      </c>
      <c r="Q125" s="502">
        <v>224133.9</v>
      </c>
      <c r="R125" s="502">
        <v>18026003.920000002</v>
      </c>
      <c r="S125" s="101">
        <f t="shared" si="47"/>
        <v>60880000</v>
      </c>
      <c r="T125" s="436">
        <f t="shared" si="48"/>
        <v>0.86551037816320719</v>
      </c>
      <c r="U125" s="292"/>
      <c r="V125" s="488"/>
    </row>
    <row r="126" spans="1:22">
      <c r="A126" s="105" t="str">
        <f t="shared" si="57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499">
        <v>2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</v>
      </c>
      <c r="P126" s="499">
        <v>0</v>
      </c>
      <c r="Q126" s="499">
        <v>0</v>
      </c>
      <c r="R126" s="499">
        <v>0</v>
      </c>
      <c r="S126" s="101">
        <f t="shared" si="47"/>
        <v>2</v>
      </c>
      <c r="T126" s="436">
        <f t="shared" si="48"/>
        <v>2.8433323855558715E-8</v>
      </c>
      <c r="U126" s="292"/>
      <c r="V126" s="488"/>
    </row>
    <row r="127" spans="1:22">
      <c r="A127" s="106" t="str">
        <f t="shared" si="57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503">
        <v>2111459.9700000007</v>
      </c>
      <c r="H127" s="502">
        <v>2745013.1300000013</v>
      </c>
      <c r="I127" s="502">
        <v>1925847.0999999996</v>
      </c>
      <c r="J127" s="502">
        <v>1723078.81</v>
      </c>
      <c r="K127" s="502">
        <v>1939820.9100000001</v>
      </c>
      <c r="L127" s="502">
        <v>2017566.2100000002</v>
      </c>
      <c r="M127" s="502">
        <v>1726287.08</v>
      </c>
      <c r="N127" s="502">
        <v>1696969.05</v>
      </c>
      <c r="O127" s="502">
        <v>1705562.68</v>
      </c>
      <c r="P127" s="502">
        <v>1749695.04</v>
      </c>
      <c r="Q127" s="502">
        <v>3336613.3200000012</v>
      </c>
      <c r="R127" s="502">
        <v>2678182.65</v>
      </c>
      <c r="S127" s="92">
        <f>+SUM(G127:R127)</f>
        <v>25356095.950000003</v>
      </c>
      <c r="T127" s="444">
        <f t="shared" si="48"/>
        <v>0.36047904392948538</v>
      </c>
      <c r="U127" s="292"/>
      <c r="V127" s="488"/>
    </row>
    <row r="128" spans="1:22" ht="13.5" thickBot="1">
      <c r="A128" s="105" t="str">
        <f t="shared" si="57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502">
        <v>0</v>
      </c>
      <c r="H128" s="502">
        <v>0</v>
      </c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02">
        <v>0</v>
      </c>
      <c r="O128" s="502">
        <v>0</v>
      </c>
      <c r="P128" s="502">
        <v>0</v>
      </c>
      <c r="Q128" s="502">
        <v>0</v>
      </c>
      <c r="R128" s="502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505">
        <f t="shared" ref="G129:L129" si="58">+G86-G105</f>
        <v>-36146557.659956276</v>
      </c>
      <c r="H129" s="506">
        <f t="shared" si="58"/>
        <v>-74447676.311863124</v>
      </c>
      <c r="I129" s="505">
        <f t="shared" si="58"/>
        <v>-12068757.688402921</v>
      </c>
      <c r="J129" s="505">
        <f t="shared" si="58"/>
        <v>20893081.239711642</v>
      </c>
      <c r="K129" s="505">
        <f t="shared" si="58"/>
        <v>-39592021.676653296</v>
      </c>
      <c r="L129" s="505">
        <f t="shared" si="58"/>
        <v>-12072350.58492884</v>
      </c>
      <c r="M129" s="505">
        <f t="shared" ref="M129:R129" si="59">+M86-M105</f>
        <v>-24860342.259742588</v>
      </c>
      <c r="N129" s="505">
        <f t="shared" si="59"/>
        <v>40038775.337930918</v>
      </c>
      <c r="O129" s="505">
        <f t="shared" si="59"/>
        <v>8458346.606847465</v>
      </c>
      <c r="P129" s="505">
        <f t="shared" si="59"/>
        <v>-5543353.6915084124</v>
      </c>
      <c r="Q129" s="505">
        <f t="shared" si="59"/>
        <v>-54197919.639137417</v>
      </c>
      <c r="R129" s="505">
        <f t="shared" si="59"/>
        <v>-46074827.252296984</v>
      </c>
      <c r="S129" s="557">
        <f t="shared" si="47"/>
        <v>-235613603.57999983</v>
      </c>
      <c r="T129" s="535">
        <f t="shared" si="48"/>
        <v>-3.3496389476826813</v>
      </c>
      <c r="U129" s="292"/>
      <c r="V129" s="292"/>
    </row>
    <row r="130" spans="1:22" ht="13.5" thickBot="1">
      <c r="A130" s="106" t="str">
        <f t="shared" si="57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507">
        <f>+G129+G112</f>
        <v>-28283051.319956277</v>
      </c>
      <c r="H130" s="507">
        <f t="shared" ref="H130:L130" si="60">+H129+H112</f>
        <v>-70594155.921863124</v>
      </c>
      <c r="I130" s="507">
        <f t="shared" si="60"/>
        <v>-5066145.1984029189</v>
      </c>
      <c r="J130" s="507">
        <f t="shared" si="60"/>
        <v>46872596.959711641</v>
      </c>
      <c r="K130" s="507">
        <f t="shared" si="60"/>
        <v>-24894142.436653294</v>
      </c>
      <c r="L130" s="507">
        <f t="shared" si="60"/>
        <v>-6212603.8249288388</v>
      </c>
      <c r="M130" s="507">
        <f t="shared" ref="M130:R130" si="61">+M129+M112</f>
        <v>-17480505.829742588</v>
      </c>
      <c r="N130" s="507">
        <f t="shared" si="61"/>
        <v>43576559.957930915</v>
      </c>
      <c r="O130" s="507">
        <f t="shared" si="61"/>
        <v>14009039.576847468</v>
      </c>
      <c r="P130" s="507">
        <f t="shared" si="61"/>
        <v>11517430.208491586</v>
      </c>
      <c r="Q130" s="507">
        <f t="shared" si="61"/>
        <v>-41243411.199137419</v>
      </c>
      <c r="R130" s="507">
        <f t="shared" si="61"/>
        <v>-19421195.732296981</v>
      </c>
      <c r="S130" s="557">
        <f t="shared" si="47"/>
        <v>-97219584.759999812</v>
      </c>
      <c r="T130" s="535">
        <f t="shared" si="48"/>
        <v>-1.3821379692920075</v>
      </c>
      <c r="U130" s="292"/>
      <c r="V130" s="292"/>
    </row>
    <row r="131" spans="1:22">
      <c r="A131" s="106" t="str">
        <f t="shared" si="57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508">
        <f>+SUM(G132:G133)</f>
        <v>35630564.469999999</v>
      </c>
      <c r="H131" s="508">
        <f t="shared" ref="H131:L131" si="62">+SUM(H132:H133)</f>
        <v>7154150.5</v>
      </c>
      <c r="I131" s="508">
        <f t="shared" si="62"/>
        <v>60631846.180000007</v>
      </c>
      <c r="J131" s="508">
        <f t="shared" si="62"/>
        <v>108888546.09</v>
      </c>
      <c r="K131" s="508">
        <f t="shared" si="62"/>
        <v>55363179.799999997</v>
      </c>
      <c r="L131" s="508">
        <f t="shared" si="62"/>
        <v>53121043.689999998</v>
      </c>
      <c r="M131" s="509">
        <f t="shared" ref="M131" si="63">+SUM(M132:M133)</f>
        <v>36154424.719999999</v>
      </c>
      <c r="N131" s="508">
        <f t="shared" ref="N131:R131" si="64">+SUM(N132:N133)</f>
        <v>7862619.1600000001</v>
      </c>
      <c r="O131" s="508">
        <f t="shared" si="64"/>
        <v>45456209.350000001</v>
      </c>
      <c r="P131" s="508">
        <f t="shared" si="64"/>
        <v>15064801.279999999</v>
      </c>
      <c r="Q131" s="508">
        <f t="shared" si="64"/>
        <v>55442433.469999999</v>
      </c>
      <c r="R131" s="508">
        <f t="shared" si="64"/>
        <v>37949577.590000004</v>
      </c>
      <c r="S131" s="558">
        <f t="shared" si="47"/>
        <v>518719396.30000007</v>
      </c>
      <c r="T131" s="538">
        <f t="shared" si="48"/>
        <v>7.3744582925789031</v>
      </c>
      <c r="U131" s="292"/>
      <c r="V131" s="292"/>
    </row>
    <row r="132" spans="1:22">
      <c r="A132" s="106" t="str">
        <f t="shared" si="57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503">
        <v>2501123.7999999998</v>
      </c>
      <c r="H132" s="503">
        <v>2954258.2399999998</v>
      </c>
      <c r="I132" s="503">
        <v>23478199.010000002</v>
      </c>
      <c r="J132" s="503">
        <v>94983890.560000002</v>
      </c>
      <c r="K132" s="503">
        <v>9862224.459999999</v>
      </c>
      <c r="L132" s="503">
        <v>30959521.580000002</v>
      </c>
      <c r="M132" s="504">
        <v>2591776.0299999998</v>
      </c>
      <c r="N132" s="504">
        <v>3040506.12</v>
      </c>
      <c r="O132" s="504">
        <v>13592239.709999999</v>
      </c>
      <c r="P132" s="504">
        <v>2636972.52</v>
      </c>
      <c r="Q132" s="504">
        <v>9977461.7899999991</v>
      </c>
      <c r="R132" s="504">
        <v>16241222.48</v>
      </c>
      <c r="S132" s="92">
        <f t="shared" si="47"/>
        <v>212819396.30000001</v>
      </c>
      <c r="T132" s="444">
        <f t="shared" si="48"/>
        <v>3.0255814088711972</v>
      </c>
      <c r="U132" s="292"/>
      <c r="V132" s="292"/>
    </row>
    <row r="133" spans="1:22" ht="13.5" thickBot="1">
      <c r="A133" s="106" t="str">
        <f t="shared" si="57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503">
        <v>33129440.670000002</v>
      </c>
      <c r="H133" s="503">
        <v>4199892.26</v>
      </c>
      <c r="I133" s="503">
        <v>37153647.170000002</v>
      </c>
      <c r="J133" s="503">
        <v>13904655.529999999</v>
      </c>
      <c r="K133" s="503">
        <v>45500955.339999996</v>
      </c>
      <c r="L133" s="503">
        <v>22161522.109999999</v>
      </c>
      <c r="M133" s="504">
        <v>33562648.689999998</v>
      </c>
      <c r="N133" s="504">
        <v>4822113.04</v>
      </c>
      <c r="O133" s="504">
        <v>31863969.640000001</v>
      </c>
      <c r="P133" s="504">
        <v>12427828.76</v>
      </c>
      <c r="Q133" s="504">
        <v>45464971.68</v>
      </c>
      <c r="R133" s="504">
        <v>21708355.109999999</v>
      </c>
      <c r="S133" s="92">
        <f t="shared" si="47"/>
        <v>305900000</v>
      </c>
      <c r="T133" s="444">
        <f t="shared" si="48"/>
        <v>4.3488768837077059</v>
      </c>
      <c r="U133" s="292"/>
      <c r="V133" s="292"/>
    </row>
    <row r="134" spans="1:22" ht="13.5" thickBot="1">
      <c r="A134" s="106" t="str">
        <f t="shared" si="57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505">
        <v>0.16</v>
      </c>
      <c r="H134" s="505">
        <v>0.16</v>
      </c>
      <c r="I134" s="505">
        <v>0.16</v>
      </c>
      <c r="J134" s="505">
        <v>1200000.1599999999</v>
      </c>
      <c r="K134" s="505">
        <v>0.16</v>
      </c>
      <c r="L134" s="505">
        <v>1000000.16</v>
      </c>
      <c r="M134" s="505">
        <v>0.16</v>
      </c>
      <c r="N134" s="505">
        <v>0.16</v>
      </c>
      <c r="O134" s="505">
        <v>0.16</v>
      </c>
      <c r="P134" s="505">
        <v>0.16</v>
      </c>
      <c r="Q134" s="505">
        <v>0.16</v>
      </c>
      <c r="R134" s="505">
        <v>79000.239999999991</v>
      </c>
      <c r="S134" s="557">
        <f t="shared" si="47"/>
        <v>2279002.0000000009</v>
      </c>
      <c r="T134" s="535">
        <f t="shared" si="48"/>
        <v>3.2399800966733026E-2</v>
      </c>
      <c r="U134" s="292"/>
      <c r="V134" s="292"/>
    </row>
    <row r="135" spans="1:22" ht="13.5" thickBot="1">
      <c r="A135" s="106" t="s">
        <v>856</v>
      </c>
      <c r="B135" s="613" t="s">
        <v>113</v>
      </c>
      <c r="C135" s="614"/>
      <c r="D135" s="614"/>
      <c r="E135" s="614"/>
      <c r="F135" s="614"/>
      <c r="G135" s="501">
        <v>6.24</v>
      </c>
      <c r="H135" s="501">
        <v>1111649.98</v>
      </c>
      <c r="I135" s="501">
        <v>0.24</v>
      </c>
      <c r="J135" s="501">
        <v>491625.72</v>
      </c>
      <c r="K135" s="501">
        <v>524490.84</v>
      </c>
      <c r="L135" s="501">
        <v>453253.16</v>
      </c>
      <c r="M135" s="501">
        <v>460435.14</v>
      </c>
      <c r="N135" s="501">
        <v>0.24</v>
      </c>
      <c r="O135" s="501">
        <v>497757.56</v>
      </c>
      <c r="P135" s="501">
        <v>446294.08999999997</v>
      </c>
      <c r="Q135" s="501">
        <v>0.24</v>
      </c>
      <c r="R135" s="501">
        <v>514495.55</v>
      </c>
      <c r="S135" s="557">
        <f t="shared" si="47"/>
        <v>4500009.0000000009</v>
      </c>
      <c r="T135" s="535">
        <f t="shared" si="48"/>
        <v>6.3975106624964473E-2</v>
      </c>
      <c r="U135" s="292"/>
      <c r="V135" s="292"/>
    </row>
    <row r="136" spans="1:22" ht="13.5" thickBot="1">
      <c r="A136" s="106" t="str">
        <f>+CONCATENATE(A60,"p")</f>
        <v>1002p</v>
      </c>
      <c r="B136" s="615" t="str">
        <f>+VLOOKUP(LEFT($A136,LEN(A136)-1)*1,Master!$D$30:$G$226,4,FALSE)</f>
        <v>Nedostajuća sredstva</v>
      </c>
      <c r="C136" s="616"/>
      <c r="D136" s="616"/>
      <c r="E136" s="616"/>
      <c r="F136" s="616"/>
      <c r="G136" s="510">
        <f>+G129-G131-G134-G135</f>
        <v>-71777128.529956266</v>
      </c>
      <c r="H136" s="510">
        <f t="shared" ref="H136:R136" si="65">+H129-H131-H134-H135</f>
        <v>-82713476.951863125</v>
      </c>
      <c r="I136" s="510">
        <f t="shared" si="65"/>
        <v>-72700604.268402919</v>
      </c>
      <c r="J136" s="510">
        <f t="shared" si="65"/>
        <v>-89687090.730288357</v>
      </c>
      <c r="K136" s="510">
        <f t="shared" si="65"/>
        <v>-95479692.476653293</v>
      </c>
      <c r="L136" s="510">
        <f t="shared" si="65"/>
        <v>-66646647.594928831</v>
      </c>
      <c r="M136" s="510">
        <f t="shared" si="65"/>
        <v>-61475202.279742584</v>
      </c>
      <c r="N136" s="510">
        <f t="shared" si="65"/>
        <v>32176155.777930919</v>
      </c>
      <c r="O136" s="510">
        <f t="shared" si="65"/>
        <v>-37495620.463152535</v>
      </c>
      <c r="P136" s="510">
        <f t="shared" si="65"/>
        <v>-21054449.221508414</v>
      </c>
      <c r="Q136" s="510">
        <f t="shared" si="65"/>
        <v>-109640353.50913741</v>
      </c>
      <c r="R136" s="510">
        <f t="shared" si="65"/>
        <v>-84617900.632296979</v>
      </c>
      <c r="S136" s="559">
        <f t="shared" si="47"/>
        <v>-761112010.87999988</v>
      </c>
      <c r="T136" s="542">
        <f t="shared" si="48"/>
        <v>-10.820472147853282</v>
      </c>
      <c r="U136" s="292"/>
      <c r="V136" s="292"/>
    </row>
    <row r="137" spans="1:22" ht="13.5" thickBot="1">
      <c r="A137" s="106" t="str">
        <f>+CONCATENATE(A61,"p")</f>
        <v>1003p</v>
      </c>
      <c r="B137" s="613" t="str">
        <f>+VLOOKUP(LEFT($A137,LEN(A137)-1)*1,Master!$D$30:$G$226,4,FALSE)</f>
        <v>Finansiranje</v>
      </c>
      <c r="C137" s="614"/>
      <c r="D137" s="614"/>
      <c r="E137" s="614"/>
      <c r="F137" s="614"/>
      <c r="G137" s="505">
        <f t="shared" ref="G137:L137" si="66">+SUM(G138:G142)</f>
        <v>71777128.529956266</v>
      </c>
      <c r="H137" s="505">
        <f t="shared" si="66"/>
        <v>82713476.951863125</v>
      </c>
      <c r="I137" s="505">
        <f t="shared" si="66"/>
        <v>72700604.268402934</v>
      </c>
      <c r="J137" s="505">
        <f t="shared" si="66"/>
        <v>89687090.730288357</v>
      </c>
      <c r="K137" s="505">
        <f t="shared" si="66"/>
        <v>95479692.476653293</v>
      </c>
      <c r="L137" s="505">
        <f t="shared" si="66"/>
        <v>66646647.594928831</v>
      </c>
      <c r="M137" s="505">
        <f t="shared" ref="M137:R137" si="67">+SUM(M138:M142)</f>
        <v>61475202.279742584</v>
      </c>
      <c r="N137" s="505">
        <f t="shared" si="67"/>
        <v>-32176155.777930923</v>
      </c>
      <c r="O137" s="505">
        <f t="shared" si="67"/>
        <v>37495620.463152535</v>
      </c>
      <c r="P137" s="505">
        <f t="shared" si="67"/>
        <v>21054449.221508414</v>
      </c>
      <c r="Q137" s="505">
        <f t="shared" si="67"/>
        <v>109640353.50913741</v>
      </c>
      <c r="R137" s="505">
        <f t="shared" si="67"/>
        <v>84617900.632296979</v>
      </c>
      <c r="S137" s="560">
        <f t="shared" si="47"/>
        <v>761112010.87999988</v>
      </c>
      <c r="T137" s="544">
        <f t="shared" si="48"/>
        <v>10.820472147853282</v>
      </c>
      <c r="U137" s="292"/>
      <c r="V137" s="292"/>
    </row>
    <row r="138" spans="1:22">
      <c r="A138" s="106" t="str">
        <f>+CONCATENATE(A62,"p")</f>
        <v>7511p</v>
      </c>
      <c r="B138" s="617" t="str">
        <f>+VLOOKUP(LEFT($A138,LEN(A138)-1)*1,Master!$D$30:$G$226,4,FALSE)</f>
        <v>Pozajmice i krediti od domaćih izvora</v>
      </c>
      <c r="C138" s="618"/>
      <c r="D138" s="618"/>
      <c r="E138" s="618"/>
      <c r="F138" s="618"/>
      <c r="G138" s="503">
        <v>0</v>
      </c>
      <c r="H138" s="503">
        <v>0</v>
      </c>
      <c r="I138" s="503">
        <v>0</v>
      </c>
      <c r="J138" s="503">
        <v>0</v>
      </c>
      <c r="K138" s="503">
        <v>0</v>
      </c>
      <c r="L138" s="503">
        <v>0</v>
      </c>
      <c r="M138" s="503">
        <v>0</v>
      </c>
      <c r="N138" s="503">
        <v>0</v>
      </c>
      <c r="O138" s="503">
        <v>0</v>
      </c>
      <c r="P138" s="503">
        <v>0</v>
      </c>
      <c r="Q138" s="503">
        <v>0</v>
      </c>
      <c r="R138" s="503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19" t="str">
        <f>+VLOOKUP(LEFT($A139,LEN(A139)-1)*1,Master!$D$30:$G$226,4,FALSE)</f>
        <v>Pozajmice i krediti od inostranih izvora</v>
      </c>
      <c r="C139" s="620"/>
      <c r="D139" s="620"/>
      <c r="E139" s="620"/>
      <c r="F139" s="620"/>
      <c r="G139" s="503">
        <v>0</v>
      </c>
      <c r="H139" s="503">
        <v>0</v>
      </c>
      <c r="I139" s="503">
        <v>687000000</v>
      </c>
      <c r="J139" s="503">
        <v>0</v>
      </c>
      <c r="K139" s="503">
        <v>0</v>
      </c>
      <c r="L139" s="503">
        <v>0</v>
      </c>
      <c r="M139" s="503">
        <v>180000000</v>
      </c>
      <c r="N139" s="503">
        <v>0</v>
      </c>
      <c r="O139" s="503">
        <v>0</v>
      </c>
      <c r="P139" s="503">
        <v>0</v>
      </c>
      <c r="Q139" s="503">
        <v>0</v>
      </c>
      <c r="R139" s="503">
        <v>0</v>
      </c>
      <c r="S139" s="92">
        <f t="shared" si="47"/>
        <v>867000000</v>
      </c>
      <c r="T139" s="444">
        <f t="shared" si="48"/>
        <v>12.325845891384702</v>
      </c>
      <c r="U139" s="292"/>
      <c r="V139" s="292"/>
    </row>
    <row r="140" spans="1:22">
      <c r="A140" s="106" t="str">
        <f>+CONCATENATE(A64,"p")</f>
        <v>72p</v>
      </c>
      <c r="B140" s="619" t="str">
        <f>+VLOOKUP(LEFT($A140,LEN(A140)-1)*1,Master!$D$30:$G$226,4,FALSE)</f>
        <v>Primici od prodaje imovine</v>
      </c>
      <c r="C140" s="620"/>
      <c r="D140" s="620"/>
      <c r="E140" s="620"/>
      <c r="F140" s="620"/>
      <c r="G140" s="503">
        <v>500000</v>
      </c>
      <c r="H140" s="503">
        <v>500000</v>
      </c>
      <c r="I140" s="503">
        <v>500000</v>
      </c>
      <c r="J140" s="503">
        <v>500000</v>
      </c>
      <c r="K140" s="503">
        <v>500000</v>
      </c>
      <c r="L140" s="503">
        <v>500000</v>
      </c>
      <c r="M140" s="503">
        <v>500000</v>
      </c>
      <c r="N140" s="503">
        <v>500000</v>
      </c>
      <c r="O140" s="503">
        <v>500000</v>
      </c>
      <c r="P140" s="503">
        <v>500000</v>
      </c>
      <c r="Q140" s="503">
        <v>500000</v>
      </c>
      <c r="R140" s="503">
        <v>500000</v>
      </c>
      <c r="S140" s="92">
        <f t="shared" si="47"/>
        <v>6000000</v>
      </c>
      <c r="T140" s="444">
        <f t="shared" si="48"/>
        <v>8.5299971566676139E-2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3">
        <v>81522.336514710114</v>
      </c>
      <c r="H141" s="503">
        <v>445973.11311571056</v>
      </c>
      <c r="I141" s="503">
        <v>303147.50930105889</v>
      </c>
      <c r="J141" s="503">
        <v>411671.2919196891</v>
      </c>
      <c r="K141" s="503">
        <v>953218.81017704192</v>
      </c>
      <c r="L141" s="503">
        <v>1530930.5926958604</v>
      </c>
      <c r="M141" s="503">
        <v>158719.86425742233</v>
      </c>
      <c r="N141" s="503">
        <v>1527452.9651282593</v>
      </c>
      <c r="O141" s="503">
        <v>216436.80971001115</v>
      </c>
      <c r="P141" s="503">
        <v>263186.6897599264</v>
      </c>
      <c r="Q141" s="503">
        <v>1703592.4757162347</v>
      </c>
      <c r="R141" s="503">
        <v>2152051.5417040759</v>
      </c>
      <c r="S141" s="92">
        <f t="shared" si="47"/>
        <v>9747904</v>
      </c>
      <c r="T141" s="444">
        <f t="shared" si="48"/>
        <v>0.13858265567244812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71195606.193441555</v>
      </c>
      <c r="H142" s="86">
        <f t="shared" ref="H142:R142" si="69">-H136-SUM(H138:H141)</f>
        <v>81767503.838747412</v>
      </c>
      <c r="I142" s="86">
        <f t="shared" si="69"/>
        <v>-615102543.24089813</v>
      </c>
      <c r="J142" s="86">
        <f t="shared" si="69"/>
        <v>88775419.438368663</v>
      </c>
      <c r="K142" s="86">
        <f t="shared" si="69"/>
        <v>94026473.66647625</v>
      </c>
      <c r="L142" s="86">
        <f t="shared" si="69"/>
        <v>64615717.002232969</v>
      </c>
      <c r="M142" s="86">
        <f t="shared" si="69"/>
        <v>-119183517.58451484</v>
      </c>
      <c r="N142" s="86">
        <f t="shared" si="69"/>
        <v>-34203608.743059181</v>
      </c>
      <c r="O142" s="86">
        <f t="shared" si="69"/>
        <v>36779183.653442524</v>
      </c>
      <c r="P142" s="86">
        <f t="shared" si="69"/>
        <v>20291262.531748489</v>
      </c>
      <c r="Q142" s="86">
        <f t="shared" si="69"/>
        <v>107436761.03342117</v>
      </c>
      <c r="R142" s="86">
        <f t="shared" si="69"/>
        <v>81965849.090592906</v>
      </c>
      <c r="S142" s="94">
        <f>+SUM(G142:R142)</f>
        <v>-121635893.12000026</v>
      </c>
      <c r="T142" s="448">
        <f t="shared" si="48"/>
        <v>-1.7292563707705468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0Kn6U7tOcuHK/ar7+sFxwxAFuOT+RO6YBgKMFbDFa/7HhA1RZdxAp9Tx+8pPR+nQ6PzTs9C3rAulnenjEhi79A==" saltValue="7Jg0QgjqZYutHBkqDq2o5A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B0EA-87AB-47A2-B4BC-5622482D526E}">
  <sheetPr>
    <pageSetUpPr fitToPage="1"/>
  </sheetPr>
  <dimension ref="A1:Z150"/>
  <sheetViews>
    <sheetView zoomScale="90" zoomScaleNormal="90" workbookViewId="0">
      <pane ySplit="1" topLeftCell="A23" activePane="bottomLeft" state="frozen"/>
      <selection pane="bottomLeft" activeCell="G25" sqref="G2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2023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6624340418</v>
      </c>
    </row>
    <row r="8" spans="1:24" ht="16.5" customHeight="1">
      <c r="A8" s="129"/>
      <c r="B8" s="595"/>
      <c r="C8" s="596"/>
      <c r="D8" s="596"/>
      <c r="E8" s="596"/>
      <c r="F8" s="597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4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252458795.19999999</v>
      </c>
      <c r="M10" s="136">
        <f t="shared" ref="M10:R10" si="2">+M11+M19+SUM(M24:M28)</f>
        <v>207966870.42000002</v>
      </c>
      <c r="N10" s="136">
        <f t="shared" si="2"/>
        <v>243418459.81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188861738.94999999</v>
      </c>
      <c r="R10" s="136">
        <f t="shared" si="2"/>
        <v>253773160.13000003</v>
      </c>
      <c r="S10" s="224">
        <f>+SUM(G10:R10)</f>
        <v>2566397555.6999998</v>
      </c>
      <c r="T10" s="434">
        <f>+S10/$T$7*100</f>
        <v>38.741933441802779</v>
      </c>
      <c r="V10" s="493"/>
    </row>
    <row r="11" spans="1:24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25.149922473836245</v>
      </c>
      <c r="V11" s="276"/>
    </row>
    <row r="12" spans="1:24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1.0025389217550322</v>
      </c>
    </row>
    <row r="13" spans="1:24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2.2837666382440434</v>
      </c>
      <c r="V13" s="276"/>
      <c r="W13" s="276"/>
      <c r="X13" s="494"/>
    </row>
    <row r="14" spans="1:24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15.990529028244154</v>
      </c>
      <c r="V15" s="276"/>
      <c r="W15" s="276"/>
      <c r="X15" s="494"/>
    </row>
    <row r="16" spans="1:24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4.8777934793628228</v>
      </c>
      <c r="V16" s="276"/>
      <c r="W16" s="276"/>
      <c r="X16" s="494"/>
    </row>
    <row r="17" spans="1:24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0.78787180936811585</v>
      </c>
      <c r="V17" s="276"/>
      <c r="W17" s="276"/>
      <c r="X17" s="494"/>
    </row>
    <row r="18" spans="1:24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0.20742259686208053</v>
      </c>
      <c r="V18" s="276"/>
      <c r="W18" s="276"/>
      <c r="X18" s="494"/>
    </row>
    <row r="19" spans="1:24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8.6911383461754941</v>
      </c>
      <c r="V19" s="276"/>
      <c r="W19" s="276"/>
      <c r="X19" s="494"/>
    </row>
    <row r="20" spans="1:24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7.9481459760028894</v>
      </c>
      <c r="V20" s="276"/>
      <c r="W20" s="276"/>
      <c r="X20" s="494"/>
    </row>
    <row r="21" spans="1:24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0.10613196780914587</v>
      </c>
      <c r="V21" s="276"/>
      <c r="W21" s="276"/>
      <c r="X21" s="494"/>
    </row>
    <row r="22" spans="1:24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0.36562382911644625</v>
      </c>
    </row>
    <row r="23" spans="1:24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0.27123657324701217</v>
      </c>
      <c r="V23" s="495"/>
      <c r="W23" s="495"/>
      <c r="X23" s="494"/>
    </row>
    <row r="24" spans="1:24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1258578.19</v>
      </c>
      <c r="R24" s="160">
        <v>1642174.26</v>
      </c>
      <c r="S24" s="228">
        <f t="shared" si="6"/>
        <v>15958058.43</v>
      </c>
      <c r="T24" s="437">
        <f t="shared" si="5"/>
        <v>0.24090033758890078</v>
      </c>
    </row>
    <row r="25" spans="1:24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0.84110390173490024</v>
      </c>
    </row>
    <row r="26" spans="1:24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62832136.880000003</v>
      </c>
      <c r="M26" s="160">
        <v>7395432.46</v>
      </c>
      <c r="N26" s="160">
        <v>20717997.120000001</v>
      </c>
      <c r="O26" s="160">
        <v>2202381.48</v>
      </c>
      <c r="P26" s="160">
        <v>14370883.219999999</v>
      </c>
      <c r="Q26" s="160">
        <v>15509901.460000001</v>
      </c>
      <c r="R26" s="160">
        <v>8719562.4000000004</v>
      </c>
      <c r="S26" s="228">
        <f t="shared" si="6"/>
        <v>181709993.94</v>
      </c>
      <c r="T26" s="437">
        <f t="shared" si="5"/>
        <v>2.7430654597135167</v>
      </c>
    </row>
    <row r="27" spans="1:24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13534108.050000001</v>
      </c>
      <c r="S28" s="228">
        <f t="shared" si="6"/>
        <v>71264847.830000013</v>
      </c>
      <c r="T28" s="438">
        <f t="shared" si="5"/>
        <v>1.0758029227537202</v>
      </c>
    </row>
    <row r="29" spans="1:24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38.577773145323278</v>
      </c>
    </row>
    <row r="30" spans="1:24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16.200541614285132</v>
      </c>
      <c r="U30" s="472"/>
    </row>
    <row r="31" spans="1:24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9.7087211442580799</v>
      </c>
      <c r="U31" s="472"/>
    </row>
    <row r="32" spans="1:24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0.27803764099974726</v>
      </c>
      <c r="U32" s="472"/>
      <c r="V32" s="275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0.6904475297754844</v>
      </c>
      <c r="U33" s="472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1.0930267909127249</v>
      </c>
      <c r="U34" s="472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0.45536861161352227</v>
      </c>
      <c r="U35" s="472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1.8800811610101646</v>
      </c>
      <c r="U36" s="472"/>
      <c r="V36" s="275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0.17655723969468262</v>
      </c>
      <c r="U37" s="472"/>
      <c r="V37" s="275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1.1228282564991816</v>
      </c>
      <c r="U38" s="472"/>
    </row>
    <row r="39" spans="1:24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0.79547323952155014</v>
      </c>
      <c r="U39" s="472"/>
      <c r="V39" s="275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12.447390688882317</v>
      </c>
      <c r="U40" s="472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3.1684241464959086</v>
      </c>
      <c r="U41" s="472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0.35782867914805283</v>
      </c>
      <c r="U42" s="472"/>
      <c r="V42" s="275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8.3602391085632757</v>
      </c>
      <c r="U43" s="472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0.31036438668119187</v>
      </c>
      <c r="U44" s="472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0.25053436799388829</v>
      </c>
      <c r="U45" s="472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5.7469417374075533</v>
      </c>
      <c r="U46" s="472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3.6024982987219429</v>
      </c>
      <c r="U47" s="472"/>
      <c r="V47" s="275"/>
      <c r="W47" s="292"/>
      <c r="X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0.27576963376401165</v>
      </c>
      <c r="U49" s="472"/>
    </row>
    <row r="50" spans="1:21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4.2473242352624521E-2</v>
      </c>
      <c r="U50" s="472"/>
    </row>
    <row r="51" spans="1:21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0.26215792990969444</v>
      </c>
      <c r="U51" s="472"/>
    </row>
    <row r="52" spans="1:21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56007790.590000033</v>
      </c>
      <c r="M53" s="136">
        <f t="shared" si="14"/>
        <v>-15757556.629999965</v>
      </c>
      <c r="N53" s="136">
        <f t="shared" si="14"/>
        <v>43106629.409999996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-26386842.99000001</v>
      </c>
      <c r="R53" s="136">
        <f t="shared" si="14"/>
        <v>-146336053.75999996</v>
      </c>
      <c r="S53" s="233">
        <f>SUM(G53:R53)</f>
        <v>10874536.870000303</v>
      </c>
      <c r="T53" s="442">
        <f t="shared" si="5"/>
        <v>0.16416029647950231</v>
      </c>
    </row>
    <row r="54" spans="1:21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58926254.700000033</v>
      </c>
      <c r="M54" s="190">
        <f t="shared" si="15"/>
        <v>-8193313.7799999658</v>
      </c>
      <c r="N54" s="190">
        <f t="shared" si="15"/>
        <v>46895180.509999998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-9880378.2000000104</v>
      </c>
      <c r="R54" s="190">
        <f t="shared" si="15"/>
        <v>-119913818.45999996</v>
      </c>
      <c r="S54" s="233">
        <f t="shared" si="6"/>
        <v>135417513.11000025</v>
      </c>
      <c r="T54" s="442">
        <f t="shared" si="5"/>
        <v>2.0442414574896666</v>
      </c>
    </row>
    <row r="55" spans="1:21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4.5469585628713682</v>
      </c>
    </row>
    <row r="56" spans="1:21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1.1251771526938454</v>
      </c>
    </row>
    <row r="57" spans="1:21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3.4217814101775219</v>
      </c>
    </row>
    <row r="58" spans="1:21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1.2968032525408176E-2</v>
      </c>
    </row>
    <row r="59" spans="1:21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0.15264305624336949</v>
      </c>
    </row>
    <row r="60" spans="1:21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38766678.740000039</v>
      </c>
      <c r="M60" s="202">
        <f t="shared" si="18"/>
        <v>-48151898.959999964</v>
      </c>
      <c r="N60" s="202">
        <f t="shared" si="18"/>
        <v>36277797.649999999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-80048793.469999999</v>
      </c>
      <c r="R60" s="202">
        <f t="shared" si="18"/>
        <v>-172217780.28999999</v>
      </c>
      <c r="S60" s="234">
        <f t="shared" si="18"/>
        <v>-301302119.28999972</v>
      </c>
      <c r="T60" s="446">
        <f t="shared" si="5"/>
        <v>-4.5484093551606444</v>
      </c>
    </row>
    <row r="61" spans="1:21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-38766678.740000039</v>
      </c>
      <c r="M61" s="136">
        <f t="shared" ref="M61:R61" si="20">+SUM(M62:M66)</f>
        <v>48151898.959999964</v>
      </c>
      <c r="N61" s="136">
        <f t="shared" si="20"/>
        <v>-36277797.649999999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80048793.469999999</v>
      </c>
      <c r="R61" s="136">
        <f t="shared" si="20"/>
        <v>172217780.28999999</v>
      </c>
      <c r="S61" s="237">
        <f t="shared" si="6"/>
        <v>301302119.28999972</v>
      </c>
      <c r="T61" s="447">
        <f t="shared" si="5"/>
        <v>4.5484093551606444</v>
      </c>
    </row>
    <row r="62" spans="1:21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2.4002389667046242</v>
      </c>
    </row>
    <row r="63" spans="1:21">
      <c r="A63" s="129">
        <v>7512</v>
      </c>
      <c r="B63" s="583" t="str">
        <f>+VLOOKUP($A63,Master!$D$30:$G$226,4,FALSE)</f>
        <v>Pozajmice i krediti od inostranih izvora</v>
      </c>
      <c r="C63" s="584"/>
      <c r="D63" s="584"/>
      <c r="E63" s="584"/>
      <c r="F63" s="584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2.4037415428912214</v>
      </c>
    </row>
    <row r="64" spans="1:21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4.1028530517768461E-2</v>
      </c>
    </row>
    <row r="65" spans="1:20">
      <c r="A65" s="129">
        <v>73</v>
      </c>
      <c r="B65" s="583" t="s">
        <v>101</v>
      </c>
      <c r="C65" s="584"/>
      <c r="D65" s="584"/>
      <c r="E65" s="584"/>
      <c r="F65" s="584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0.20919899938028819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-48524417.070000038</v>
      </c>
      <c r="M66" s="210">
        <f t="shared" ref="M66:S66" si="22">-M60-SUM(M62:M65)</f>
        <v>46705248.759999961</v>
      </c>
      <c r="N66" s="210">
        <f t="shared" si="22"/>
        <v>-37505830.210000001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75888025.620000005</v>
      </c>
      <c r="R66" s="210">
        <f t="shared" si="22"/>
        <v>-19366030.900000006</v>
      </c>
      <c r="S66" s="490">
        <f t="shared" si="22"/>
        <v>-33505826.680000246</v>
      </c>
      <c r="T66" s="448">
        <f t="shared" si="5"/>
        <v>-0.50579868433325803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2023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97">
        <v>6624340418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47" t="str">
        <f>+Master!G247</f>
        <v>Jan - Dec</v>
      </c>
      <c r="T84" s="649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13" t="s">
        <v>113</v>
      </c>
      <c r="C135" s="614"/>
      <c r="D135" s="614"/>
      <c r="E135" s="614"/>
      <c r="F135" s="614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15" t="str">
        <f>+VLOOKUP(LEFT($A136,LEN(A136)-1)*1,Master!$D$30:$G$226,4,FALSE)</f>
        <v>Nedostajuća sredstva</v>
      </c>
      <c r="C136" s="616"/>
      <c r="D136" s="616"/>
      <c r="E136" s="616"/>
      <c r="F136" s="616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13" t="str">
        <f>+VLOOKUP(LEFT($A137,LEN(A137)-1)*1,Master!$D$30:$G$226,4,FALSE)</f>
        <v>Finansiranje</v>
      </c>
      <c r="C137" s="614"/>
      <c r="D137" s="614"/>
      <c r="E137" s="614"/>
      <c r="F137" s="614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17" t="str">
        <f>+VLOOKUP(LEFT($A138,LEN(A138)-1)*1,Master!$D$30:$G$226,4,FALSE)</f>
        <v>Pozajmice i krediti od domaćih izvora</v>
      </c>
      <c r="C138" s="618"/>
      <c r="D138" s="618"/>
      <c r="E138" s="618"/>
      <c r="F138" s="618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19" t="str">
        <f>+VLOOKUP(LEFT($A139,LEN(A139)-1)*1,Master!$D$30:$G$226,4,FALSE)</f>
        <v>Pozajmice i krediti od inostranih izvora</v>
      </c>
      <c r="C139" s="620"/>
      <c r="D139" s="620"/>
      <c r="E139" s="620"/>
      <c r="F139" s="620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19" t="str">
        <f>+VLOOKUP(LEFT($A140,LEN(A140)-1)*1,Master!$D$30:$G$226,4,FALSE)</f>
        <v>Primici od prodaje imovine</v>
      </c>
      <c r="C140" s="620"/>
      <c r="D140" s="620"/>
      <c r="E140" s="620"/>
      <c r="F140" s="620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2022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5796761000</v>
      </c>
    </row>
    <row r="8" spans="1:23" ht="16.5" customHeight="1">
      <c r="A8" s="129"/>
      <c r="B8" s="595"/>
      <c r="C8" s="596"/>
      <c r="D8" s="596"/>
      <c r="E8" s="596"/>
      <c r="F8" s="597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3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3" t="str">
        <f>+VLOOKUP($A10,Master!$D$30:$G$226,4,FALSE)</f>
        <v>Prihodi budžeta</v>
      </c>
      <c r="C10" s="574"/>
      <c r="D10" s="574"/>
      <c r="E10" s="574"/>
      <c r="F10" s="574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67" t="str">
        <f>+VLOOKUP($A19,Master!$D$30:$G$226,4,FALSE)</f>
        <v>Doprinosi</v>
      </c>
      <c r="C19" s="568"/>
      <c r="D19" s="568"/>
      <c r="E19" s="568"/>
      <c r="F19" s="568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67" t="str">
        <f>+VLOOKUP($A28,Master!$D$30:$G$226,4,FALSE)</f>
        <v>Donacije i transferi</v>
      </c>
      <c r="C28" s="568"/>
      <c r="D28" s="568"/>
      <c r="E28" s="568"/>
      <c r="F28" s="568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65" t="str">
        <f>+VLOOKUP($A39,Master!$D$30:$G$226,4,FALSE)</f>
        <v>Ostali izdaci</v>
      </c>
      <c r="C39" s="566"/>
      <c r="D39" s="566"/>
      <c r="E39" s="566"/>
      <c r="F39" s="566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75" t="str">
        <f>+VLOOKUP($A59,Master!$D$30:$G$226,4,FALSE)</f>
        <v>Pozajmice i krediti</v>
      </c>
      <c r="C59" s="576"/>
      <c r="D59" s="576"/>
      <c r="E59" s="576"/>
      <c r="F59" s="576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09" t="str">
        <f>+VLOOKUP($A60,Master!$D$30:$G$226,4,FALSE)</f>
        <v>Nedostajuća sredstva</v>
      </c>
      <c r="C60" s="610"/>
      <c r="D60" s="610"/>
      <c r="E60" s="610"/>
      <c r="F60" s="610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3" t="str">
        <f>+VLOOKUP($A61,Master!$D$30:$G$226,4,FALSE)</f>
        <v>Finansiranje</v>
      </c>
      <c r="C61" s="574"/>
      <c r="D61" s="574"/>
      <c r="E61" s="574"/>
      <c r="F61" s="574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07" t="str">
        <f>+VLOOKUP($A62,Master!$D$30:$G$226,4,FALSE)</f>
        <v>Pozajmice i krediti od domaćih izvora</v>
      </c>
      <c r="C62" s="608"/>
      <c r="D62" s="608"/>
      <c r="E62" s="608"/>
      <c r="F62" s="608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07" t="str">
        <f>+VLOOKUP($A63,Master!$D$30:$G$226,4,FALSE)</f>
        <v>Pozajmice i krediti od inostranih izvora</v>
      </c>
      <c r="C63" s="608"/>
      <c r="D63" s="608"/>
      <c r="E63" s="608"/>
      <c r="F63" s="608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83" t="str">
        <f>+VLOOKUP($A64,Master!$D$30:$G$226,4,FALSE)</f>
        <v>Primici od prodaje imovine</v>
      </c>
      <c r="C64" s="584"/>
      <c r="D64" s="584"/>
      <c r="E64" s="584"/>
      <c r="F64" s="584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83" t="s">
        <v>101</v>
      </c>
      <c r="C65" s="584"/>
      <c r="D65" s="584"/>
      <c r="E65" s="584"/>
      <c r="F65" s="584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47">
        <v>2022</v>
      </c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9"/>
      <c r="S83" s="96" t="str">
        <f>+S7</f>
        <v>BDP</v>
      </c>
      <c r="T83" s="97">
        <v>5700400000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47" t="str">
        <f>+Master!G247</f>
        <v>Jan - Dec</v>
      </c>
      <c r="T84" s="649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13" t="str">
        <f>+VLOOKUP(LEFT($A86,LEN(A86)-1)*1,Master!$D$30:$G$226,4,FALSE)</f>
        <v>Prihodi budžeta</v>
      </c>
      <c r="C86" s="614"/>
      <c r="D86" s="614"/>
      <c r="E86" s="614"/>
      <c r="F86" s="614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7" t="str">
        <f>+VLOOKUP(LEFT($A87,LEN(A87)-1)*1,Master!$D$30:$G$226,4,FALSE)</f>
        <v>Porezi</v>
      </c>
      <c r="C87" s="638"/>
      <c r="D87" s="638"/>
      <c r="E87" s="638"/>
      <c r="F87" s="638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5" t="str">
        <f>+VLOOKUP(LEFT($A95,LEN(A95)-1)*1,Master!$D$30:$G$229,4,FALSE)</f>
        <v>Doprinosi</v>
      </c>
      <c r="C95" s="636"/>
      <c r="D95" s="636"/>
      <c r="E95" s="636"/>
      <c r="F95" s="636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5" t="str">
        <f>+VLOOKUP(LEFT($A100,LEN(A100)-1)*1,Master!$D$30:$G$229,4,FALSE)</f>
        <v>Takse</v>
      </c>
      <c r="C100" s="636"/>
      <c r="D100" s="636"/>
      <c r="E100" s="636"/>
      <c r="F100" s="636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5" t="str">
        <f>+VLOOKUP(LEFT($A101,LEN(A101)-1)*1,Master!$D$30:$G$229,4,FALSE)</f>
        <v>Naknade</v>
      </c>
      <c r="C101" s="636"/>
      <c r="D101" s="636"/>
      <c r="E101" s="636"/>
      <c r="F101" s="636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5" t="str">
        <f>+VLOOKUP(LEFT($A102,LEN(A102)-1)*1,Master!$D$30:$G$229,4,FALSE)</f>
        <v>Ostali prihodi</v>
      </c>
      <c r="C102" s="636"/>
      <c r="D102" s="636"/>
      <c r="E102" s="636"/>
      <c r="F102" s="636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5" t="str">
        <f>+VLOOKUP(LEFT($A103,LEN(A103)-1)*1,Master!$D$30:$G$229,4,FALSE)</f>
        <v>Primici od otplate kredita i sredstva prenesena iz prethodne godine</v>
      </c>
      <c r="C103" s="636"/>
      <c r="D103" s="636"/>
      <c r="E103" s="636"/>
      <c r="F103" s="636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1" t="str">
        <f>+VLOOKUP(LEFT($A104,LEN(A104)-1)*1,Master!$D$30:$G$229,4,FALSE)</f>
        <v>Donacije i transferi</v>
      </c>
      <c r="C104" s="632"/>
      <c r="D104" s="632"/>
      <c r="E104" s="632"/>
      <c r="F104" s="632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13" t="str">
        <f>+VLOOKUP(LEFT($A105,LEN(A105)-1)*1,Master!$D$30:$G$229,4,FALSE)</f>
        <v>Izdaci budžeta</v>
      </c>
      <c r="C105" s="614"/>
      <c r="D105" s="614"/>
      <c r="E105" s="614"/>
      <c r="F105" s="614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33" t="str">
        <f>+VLOOKUP(LEFT($A106,LEN(A106)-1)*1,Master!$D$30:$G$229,4,FALSE)</f>
        <v>Tekući izdaci</v>
      </c>
      <c r="C106" s="634"/>
      <c r="D106" s="634"/>
      <c r="E106" s="634"/>
      <c r="F106" s="634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25" t="str">
        <f>+VLOOKUP(LEFT($A116,LEN(A116)-1)*1,Master!$D$30:$G$229,4,FALSE)</f>
        <v>Transferi za socijalnu zaštitu</v>
      </c>
      <c r="C116" s="626"/>
      <c r="D116" s="626"/>
      <c r="E116" s="626"/>
      <c r="F116" s="626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27" t="str">
        <f>+VLOOKUP(LEFT($A122,LEN(A122)-1)*1,Master!$D$30:$G$229,4,FALSE)</f>
        <v xml:space="preserve">Transferi institucijama, pojedincima, nevladinom i javnom sektoru </v>
      </c>
      <c r="C122" s="628"/>
      <c r="D122" s="628"/>
      <c r="E122" s="628"/>
      <c r="F122" s="628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27" t="str">
        <f>+VLOOKUP(LEFT($A123,LEN(A123)-1)*1,Master!$D$30:$G$229,4,FALSE)</f>
        <v>Kapitalni izdaci</v>
      </c>
      <c r="C123" s="628"/>
      <c r="D123" s="628"/>
      <c r="E123" s="628"/>
      <c r="F123" s="628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19" t="str">
        <f>+VLOOKUP(LEFT($A124,LEN(A124)-1)*1,Master!$D$30:$G$229,4,FALSE)</f>
        <v>Pozajmice i krediti</v>
      </c>
      <c r="C124" s="620"/>
      <c r="D124" s="620"/>
      <c r="E124" s="620"/>
      <c r="F124" s="620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19" t="str">
        <f>+VLOOKUP(LEFT($A125,LEN(A125)-1)*1,Master!$D$30:$G$229,4,FALSE)</f>
        <v>Rezerve</v>
      </c>
      <c r="C125" s="620"/>
      <c r="D125" s="620"/>
      <c r="E125" s="620"/>
      <c r="F125" s="620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19" t="str">
        <f>+VLOOKUP(LEFT($A126,LEN(A126)-1)*1,Master!$D$30:$G$229,4,FALSE)</f>
        <v>Otplata garancija</v>
      </c>
      <c r="C126" s="620"/>
      <c r="D126" s="620"/>
      <c r="E126" s="620"/>
      <c r="F126" s="62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19" t="str">
        <f>+VLOOKUP(LEFT($A127,LEN(A127)-1)*1,Master!$D$30:$G$229,4,FALSE)</f>
        <v>Otplata obaveza iz prethodnog perioda</v>
      </c>
      <c r="C127" s="620"/>
      <c r="D127" s="620"/>
      <c r="E127" s="620"/>
      <c r="F127" s="620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19" t="str">
        <f>+VLOOKUP(LEFT($A128,LEN(A128)-1)*1,Master!$D$30:$G$229,4,FALSE)</f>
        <v>Neto povećanje obaveza</v>
      </c>
      <c r="C128" s="620"/>
      <c r="D128" s="620"/>
      <c r="E128" s="620"/>
      <c r="F128" s="62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21" t="str">
        <f>+VLOOKUP(LEFT($A129,LEN(A129)-1)*1,Master!$D$30:$G$226,4,FALSE)</f>
        <v>Suficit / deficit</v>
      </c>
      <c r="C129" s="622"/>
      <c r="D129" s="622"/>
      <c r="E129" s="622"/>
      <c r="F129" s="622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23" t="str">
        <f>+VLOOKUP(LEFT($A130,LEN(A130)-1)*1,Master!$D$30:$G$226,4,FALSE)</f>
        <v>Primarni suficit/deficit</v>
      </c>
      <c r="C130" s="624"/>
      <c r="D130" s="624"/>
      <c r="E130" s="624"/>
      <c r="F130" s="624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25" t="str">
        <f>+VLOOKUP(LEFT($A131,LEN(A131)-1)*1,Master!$D$30:$G$226,4,FALSE)</f>
        <v>Otplata dugova</v>
      </c>
      <c r="C131" s="626"/>
      <c r="D131" s="626"/>
      <c r="E131" s="626"/>
      <c r="F131" s="626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17" t="str">
        <f>+VLOOKUP(LEFT($A132,LEN(A132)-1)*1,Master!$D$30:$G$226,4,FALSE)</f>
        <v>Otplata hartija od vrijednosti i kredita rezidentima</v>
      </c>
      <c r="C132" s="618"/>
      <c r="D132" s="618"/>
      <c r="E132" s="618"/>
      <c r="F132" s="618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19" t="str">
        <f>+VLOOKUP(LEFT($A133,LEN(A133)-1)*1,Master!$D$30:$G$226,4,FALSE)</f>
        <v>Otplata hartija od vrijednosti i kredita nerezidentima</v>
      </c>
      <c r="C133" s="620"/>
      <c r="D133" s="620"/>
      <c r="E133" s="620"/>
      <c r="F133" s="620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13" t="str">
        <f>+VLOOKUP(LEFT($A134,LEN(A134)-1)*1,Master!$D$30:$G$226,4,FALSE)</f>
        <v>Izdaci za kupovinu hartija od vrijednosti</v>
      </c>
      <c r="C134" s="614"/>
      <c r="D134" s="614"/>
      <c r="E134" s="614"/>
      <c r="F134" s="614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15" t="str">
        <f>+VLOOKUP(LEFT($A135,LEN(A135)-1)*1,Master!$D$30:$G$226,4,FALSE)</f>
        <v>Nedostajuća sredstva</v>
      </c>
      <c r="C135" s="616"/>
      <c r="D135" s="616"/>
      <c r="E135" s="616"/>
      <c r="F135" s="616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13" t="str">
        <f>+VLOOKUP(LEFT($A136,LEN(A136)-1)*1,Master!$D$30:$G$226,4,FALSE)</f>
        <v>Finansiranje</v>
      </c>
      <c r="C136" s="614"/>
      <c r="D136" s="614"/>
      <c r="E136" s="614"/>
      <c r="F136" s="614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17" t="str">
        <f>+VLOOKUP(LEFT($A137,LEN(A137)-1)*1,Master!$D$30:$G$226,4,FALSE)</f>
        <v>Pozajmice i krediti od domaćih izvora</v>
      </c>
      <c r="C137" s="618"/>
      <c r="D137" s="618"/>
      <c r="E137" s="618"/>
      <c r="F137" s="618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19" t="str">
        <f>+VLOOKUP(LEFT($A138,LEN(A138)-1)*1,Master!$D$30:$G$226,4,FALSE)</f>
        <v>Pozajmice i krediti od inostranih izvora</v>
      </c>
      <c r="C138" s="620"/>
      <c r="D138" s="620"/>
      <c r="E138" s="620"/>
      <c r="F138" s="620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19" t="str">
        <f>+VLOOKUP(LEFT($A139,LEN(A139)-1)*1,Master!$D$30:$G$226,4,FALSE)</f>
        <v>Primici od prodaje imovine</v>
      </c>
      <c r="C139" s="620"/>
      <c r="D139" s="620"/>
      <c r="E139" s="620"/>
      <c r="F139" s="620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2021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4955116000</v>
      </c>
    </row>
    <row r="8" spans="1:22" ht="16.5" customHeight="1">
      <c r="A8" s="129"/>
      <c r="B8" s="595"/>
      <c r="C8" s="596"/>
      <c r="D8" s="596"/>
      <c r="E8" s="596"/>
      <c r="F8" s="597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2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61" t="str">
        <f>+VLOOKUP($A10,Master!$D$30:$G$226,4,FALSE)</f>
        <v>Prihodi budžeta</v>
      </c>
      <c r="C10" s="562"/>
      <c r="D10" s="562"/>
      <c r="E10" s="562"/>
      <c r="F10" s="562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69" t="str">
        <f>+VLOOKUP($A19,Master!$D$30:$G$226,4,FALSE)</f>
        <v>Doprinosi</v>
      </c>
      <c r="C19" s="570"/>
      <c r="D19" s="570"/>
      <c r="E19" s="570"/>
      <c r="F19" s="570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60" t="str">
        <f>+VLOOKUP($A39,Master!$D$30:$G$226,4,FALSE)</f>
        <v>Ostali izdaci</v>
      </c>
      <c r="C39" s="661"/>
      <c r="D39" s="661"/>
      <c r="E39" s="661"/>
      <c r="F39" s="661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09" t="str">
        <f>+VLOOKUP($A59,Master!$D$30:$G$226,4,FALSE)</f>
        <v>Nedostajuća sredstva</v>
      </c>
      <c r="C59" s="610"/>
      <c r="D59" s="610"/>
      <c r="E59" s="610"/>
      <c r="F59" s="610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3" t="str">
        <f>+VLOOKUP($A60,Master!$D$30:$G$226,4,FALSE)</f>
        <v>Finansiranje</v>
      </c>
      <c r="C60" s="574"/>
      <c r="D60" s="574"/>
      <c r="E60" s="574"/>
      <c r="F60" s="574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07" t="str">
        <f>+VLOOKUP($A61,Master!$D$30:$G$226,4,FALSE)</f>
        <v>Pozajmice i krediti od domaćih izvora</v>
      </c>
      <c r="C61" s="608"/>
      <c r="D61" s="608"/>
      <c r="E61" s="608"/>
      <c r="F61" s="608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83" t="str">
        <f>+VLOOKUP($A62,Master!$D$30:$G$226,4,FALSE)</f>
        <v>Pozajmice i krediti od inostranih izvora</v>
      </c>
      <c r="C62" s="584"/>
      <c r="D62" s="584"/>
      <c r="E62" s="584"/>
      <c r="F62" s="584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83" t="str">
        <f>+VLOOKUP($A63,Master!$D$30:$G$226,4,FALSE)</f>
        <v>Primici od prodaje imovine</v>
      </c>
      <c r="C63" s="584"/>
      <c r="D63" s="584"/>
      <c r="E63" s="584"/>
      <c r="F63" s="584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9" t="str">
        <f>+Master!G253</f>
        <v>Plan ostvarenja budžeta</v>
      </c>
      <c r="C81" s="640"/>
      <c r="D81" s="640"/>
      <c r="E81" s="640"/>
      <c r="F81" s="640"/>
      <c r="G81" s="647">
        <v>2021</v>
      </c>
      <c r="H81" s="648"/>
      <c r="I81" s="648"/>
      <c r="J81" s="648"/>
      <c r="K81" s="648"/>
      <c r="L81" s="648"/>
      <c r="M81" s="648"/>
      <c r="N81" s="648"/>
      <c r="O81" s="648"/>
      <c r="P81" s="648"/>
      <c r="Q81" s="648"/>
      <c r="R81" s="649"/>
      <c r="S81" s="96" t="str">
        <f>+S7</f>
        <v>BDP</v>
      </c>
      <c r="T81" s="97">
        <v>4636600000</v>
      </c>
    </row>
    <row r="82" spans="1:21" ht="15.75" customHeight="1">
      <c r="B82" s="641"/>
      <c r="C82" s="642"/>
      <c r="D82" s="642"/>
      <c r="E82" s="642"/>
      <c r="F82" s="643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47" t="str">
        <f>+Master!G247</f>
        <v>Jan - Dec</v>
      </c>
      <c r="T82" s="649">
        <f>+T8</f>
        <v>0</v>
      </c>
    </row>
    <row r="83" spans="1:21" ht="13.5" thickBot="1">
      <c r="B83" s="644"/>
      <c r="C83" s="645"/>
      <c r="D83" s="645"/>
      <c r="E83" s="645"/>
      <c r="F83" s="646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2" t="str">
        <f>+VLOOKUP(LEFT($A84,LEN(A84)-1)*1,Master!$D$30:$G$226,4,FALSE)</f>
        <v>Prihodi budžeta</v>
      </c>
      <c r="C84" s="663"/>
      <c r="D84" s="663"/>
      <c r="E84" s="663"/>
      <c r="F84" s="663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7" t="str">
        <f>+VLOOKUP(LEFT($A85,LEN(A85)-1)*1,Master!$D$30:$G$226,4,FALSE)</f>
        <v>Porezi</v>
      </c>
      <c r="C85" s="638"/>
      <c r="D85" s="638"/>
      <c r="E85" s="638"/>
      <c r="F85" s="638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9" t="str">
        <f>+VLOOKUP(LEFT($A86,LEN(A86)-1)*1,Master!$D$30:$G$229,4,FALSE)</f>
        <v>Porez na dohodak fizičkih lica</v>
      </c>
      <c r="C86" s="630"/>
      <c r="D86" s="630"/>
      <c r="E86" s="630"/>
      <c r="F86" s="630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9" t="str">
        <f>+VLOOKUP(LEFT($A87,LEN(A87)-1)*1,Master!$D$30:$G$229,4,FALSE)</f>
        <v>Porez na dobit pravnih lica</v>
      </c>
      <c r="C87" s="630"/>
      <c r="D87" s="630"/>
      <c r="E87" s="630"/>
      <c r="F87" s="630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9" t="str">
        <f>+VLOOKUP(LEFT($A88,LEN(A88)-1)*1,Master!$D$30:$G$229,4,FALSE)</f>
        <v>Porez na promet nepokretnosti</v>
      </c>
      <c r="C88" s="630"/>
      <c r="D88" s="630"/>
      <c r="E88" s="630"/>
      <c r="F88" s="630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9" t="str">
        <f>+VLOOKUP(LEFT($A89,LEN(A89)-1)*1,Master!$D$30:$G$229,4,FALSE)</f>
        <v>Porez na dodatu vrijednost</v>
      </c>
      <c r="C89" s="630"/>
      <c r="D89" s="630"/>
      <c r="E89" s="630"/>
      <c r="F89" s="630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9" t="str">
        <f>+VLOOKUP(LEFT($A90,LEN(A90)-1)*1,Master!$D$30:$G$229,4,FALSE)</f>
        <v>Akcize</v>
      </c>
      <c r="C90" s="630"/>
      <c r="D90" s="630"/>
      <c r="E90" s="630"/>
      <c r="F90" s="630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9" t="str">
        <f>+VLOOKUP(LEFT($A91,LEN(A91)-1)*1,Master!$D$30:$G$229,4,FALSE)</f>
        <v>Porez na međunarodnu trgovinu i transakcije</v>
      </c>
      <c r="C91" s="630"/>
      <c r="D91" s="630"/>
      <c r="E91" s="630"/>
      <c r="F91" s="630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9" t="str">
        <f>+VLOOKUP(LEFT($A92,LEN(A92)-1)*1,Master!$D$30:$G$229,4,FALSE)</f>
        <v>Ostali državni porezi</v>
      </c>
      <c r="C92" s="630"/>
      <c r="D92" s="630"/>
      <c r="E92" s="630"/>
      <c r="F92" s="630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4" t="str">
        <f>+VLOOKUP(LEFT($A93,LEN(A93)-1)*1,Master!$D$30:$G$229,4,FALSE)</f>
        <v>Doprinosi</v>
      </c>
      <c r="C93" s="665"/>
      <c r="D93" s="665"/>
      <c r="E93" s="665"/>
      <c r="F93" s="665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9" t="str">
        <f>+VLOOKUP(LEFT($A94,LEN(A94)-1)*1,Master!$D$30:$G$229,4,FALSE)</f>
        <v>Doprinosi za penzijsko i invalidsko osiguranje</v>
      </c>
      <c r="C94" s="630"/>
      <c r="D94" s="630"/>
      <c r="E94" s="630"/>
      <c r="F94" s="630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9" t="str">
        <f>+VLOOKUP(LEFT($A95,LEN(A95)-1)*1,Master!$D$30:$G$229,4,FALSE)</f>
        <v>Doprinosi za zdravstveno osiguranje</v>
      </c>
      <c r="C95" s="630"/>
      <c r="D95" s="630"/>
      <c r="E95" s="630"/>
      <c r="F95" s="630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9" t="str">
        <f>+VLOOKUP(LEFT($A96,LEN(A96)-1)*1,Master!$D$30:$G$229,4,FALSE)</f>
        <v>Doprinosi za osiguranje od nezaposlenosti</v>
      </c>
      <c r="C96" s="630"/>
      <c r="D96" s="630"/>
      <c r="E96" s="630"/>
      <c r="F96" s="630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9" t="str">
        <f>+VLOOKUP(LEFT($A97,LEN(A97)-1)*1,Master!$D$30:$G$229,4,FALSE)</f>
        <v>Ostali doprinosi</v>
      </c>
      <c r="C97" s="630"/>
      <c r="D97" s="630"/>
      <c r="E97" s="630"/>
      <c r="F97" s="630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5" t="str">
        <f>+VLOOKUP(LEFT($A98,LEN(A98)-1)*1,Master!$D$30:$G$229,4,FALSE)</f>
        <v>Takse</v>
      </c>
      <c r="C98" s="636"/>
      <c r="D98" s="636"/>
      <c r="E98" s="636"/>
      <c r="F98" s="636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5" t="str">
        <f>+VLOOKUP(LEFT($A99,LEN(A99)-1)*1,Master!$D$30:$G$229,4,FALSE)</f>
        <v>Naknade</v>
      </c>
      <c r="C99" s="636"/>
      <c r="D99" s="636"/>
      <c r="E99" s="636"/>
      <c r="F99" s="636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5" t="str">
        <f>+VLOOKUP(LEFT($A100,LEN(A100)-1)*1,Master!$D$30:$G$229,4,FALSE)</f>
        <v>Ostali prihodi</v>
      </c>
      <c r="C100" s="636"/>
      <c r="D100" s="636"/>
      <c r="E100" s="636"/>
      <c r="F100" s="636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5" t="str">
        <f>+VLOOKUP(LEFT($A101,LEN(A101)-1)*1,Master!$D$30:$G$229,4,FALSE)</f>
        <v>Primici od otplate kredita i sredstva prenesena iz prethodne godine</v>
      </c>
      <c r="C101" s="636"/>
      <c r="D101" s="636"/>
      <c r="E101" s="636"/>
      <c r="F101" s="636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1" t="str">
        <f>+VLOOKUP(LEFT($A102,LEN(A102)-1)*1,Master!$D$30:$G$229,4,FALSE)</f>
        <v>Donacije i transferi</v>
      </c>
      <c r="C102" s="632"/>
      <c r="D102" s="632"/>
      <c r="E102" s="632"/>
      <c r="F102" s="632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13" t="str">
        <f>+VLOOKUP(LEFT($A103,LEN(A103)-1)*1,Master!$D$30:$G$229,4,FALSE)</f>
        <v>Izdaci budžeta</v>
      </c>
      <c r="C103" s="614"/>
      <c r="D103" s="614"/>
      <c r="E103" s="614"/>
      <c r="F103" s="614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33" t="str">
        <f>+VLOOKUP(LEFT($A104,LEN(A104)-1)*1,Master!$D$30:$G$229,4,FALSE)</f>
        <v>Tekući izdaci</v>
      </c>
      <c r="C104" s="634"/>
      <c r="D104" s="634"/>
      <c r="E104" s="634"/>
      <c r="F104" s="634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9" t="str">
        <f>+VLOOKUP(LEFT($A105,LEN(A105)-1)*1,Master!$D$30:$G$229,4,FALSE)</f>
        <v>Bruto zarade i doprinosi na teret poslodavca</v>
      </c>
      <c r="C105" s="630"/>
      <c r="D105" s="630"/>
      <c r="E105" s="630"/>
      <c r="F105" s="630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9" t="str">
        <f>+VLOOKUP(LEFT($A106,LEN(A106)-1)*1,Master!$D$30:$G$229,4,FALSE)</f>
        <v>Ostala lična primanja</v>
      </c>
      <c r="C106" s="630"/>
      <c r="D106" s="630"/>
      <c r="E106" s="630"/>
      <c r="F106" s="630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9" t="str">
        <f>+VLOOKUP(LEFT($A107,LEN(A107)-1)*1,Master!$D$30:$G$229,4,FALSE)</f>
        <v>Rashodi za materijal</v>
      </c>
      <c r="C107" s="630"/>
      <c r="D107" s="630"/>
      <c r="E107" s="630"/>
      <c r="F107" s="630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9" t="str">
        <f>+VLOOKUP(LEFT($A108,LEN(A108)-1)*1,Master!$D$30:$G$229,4,FALSE)</f>
        <v>Rashodi za usluge</v>
      </c>
      <c r="C108" s="630"/>
      <c r="D108" s="630"/>
      <c r="E108" s="630"/>
      <c r="F108" s="630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9" t="str">
        <f>+VLOOKUP(LEFT($A109,LEN(A109)-1)*1,Master!$D$30:$G$229,4,FALSE)</f>
        <v>Rashodi za tekuće održavanje</v>
      </c>
      <c r="C109" s="630"/>
      <c r="D109" s="630"/>
      <c r="E109" s="630"/>
      <c r="F109" s="630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9" t="str">
        <f>+VLOOKUP(LEFT($A110,LEN(A110)-1)*1,Master!$D$30:$G$229,4,FALSE)</f>
        <v>Kamate</v>
      </c>
      <c r="C110" s="630"/>
      <c r="D110" s="630"/>
      <c r="E110" s="630"/>
      <c r="F110" s="630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9" t="str">
        <f>+VLOOKUP(LEFT($A111,LEN(A111)-1)*1,Master!$D$30:$G$229,4,FALSE)</f>
        <v>Renta</v>
      </c>
      <c r="C111" s="630"/>
      <c r="D111" s="630"/>
      <c r="E111" s="630"/>
      <c r="F111" s="630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9" t="str">
        <f>+VLOOKUP(LEFT($A112,LEN(A112)-1)*1,Master!$D$30:$G$229,4,FALSE)</f>
        <v>Subvencije</v>
      </c>
      <c r="C112" s="630"/>
      <c r="D112" s="630"/>
      <c r="E112" s="630"/>
      <c r="F112" s="630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9" t="str">
        <f>+VLOOKUP(LEFT($A113,LEN(A113)-1)*1,Master!$D$30:$G$229,4,FALSE)</f>
        <v>Ostali izdaci</v>
      </c>
      <c r="C113" s="630"/>
      <c r="D113" s="630"/>
      <c r="E113" s="630"/>
      <c r="F113" s="630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25" t="str">
        <f>+VLOOKUP(LEFT($A114,LEN(A114)-1)*1,Master!$D$30:$G$229,4,FALSE)</f>
        <v>Transferi za socijalnu zaštitu</v>
      </c>
      <c r="C114" s="626"/>
      <c r="D114" s="626"/>
      <c r="E114" s="626"/>
      <c r="F114" s="626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9" t="str">
        <f>+VLOOKUP(LEFT($A115,LEN(A115)-1)*1,Master!$D$30:$G$229,4,FALSE)</f>
        <v>Prava iz oblasti socijalne zaštite</v>
      </c>
      <c r="C115" s="630"/>
      <c r="D115" s="630"/>
      <c r="E115" s="630"/>
      <c r="F115" s="630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9" t="str">
        <f>+VLOOKUP(LEFT($A116,LEN(A116)-1)*1,Master!$D$30:$G$229,4,FALSE)</f>
        <v>Sredstva za tehnološke viškove</v>
      </c>
      <c r="C116" s="630"/>
      <c r="D116" s="630"/>
      <c r="E116" s="630"/>
      <c r="F116" s="630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9" t="str">
        <f>+VLOOKUP(LEFT($A117,LEN(A117)-1)*1,Master!$D$30:$G$229,4,FALSE)</f>
        <v>Prava iz oblasti penzijskog i invalidskog osiguranja</v>
      </c>
      <c r="C117" s="630"/>
      <c r="D117" s="630"/>
      <c r="E117" s="630"/>
      <c r="F117" s="630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9" t="str">
        <f>+VLOOKUP(LEFT($A118,LEN(A118)-1)*1,Master!$D$30:$G$229,4,FALSE)</f>
        <v>Ostala prava iz oblasti zdravstvene zaštite</v>
      </c>
      <c r="C118" s="630"/>
      <c r="D118" s="630"/>
      <c r="E118" s="630"/>
      <c r="F118" s="630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9" t="str">
        <f>+VLOOKUP(LEFT($A119,LEN(A119)-1)*1,Master!$D$30:$G$229,4,FALSE)</f>
        <v>Ostala prava iz zdravstvenog osiguranja</v>
      </c>
      <c r="C119" s="630"/>
      <c r="D119" s="630"/>
      <c r="E119" s="630"/>
      <c r="F119" s="630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27" t="str">
        <f>+VLOOKUP(LEFT($A120,LEN(A120)-1)*1,Master!$D$30:$G$229,4,FALSE)</f>
        <v xml:space="preserve">Transferi institucijama, pojedincima, nevladinom i javnom sektoru </v>
      </c>
      <c r="C120" s="628"/>
      <c r="D120" s="628"/>
      <c r="E120" s="628"/>
      <c r="F120" s="628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27" t="str">
        <f>+VLOOKUP(LEFT($A121,LEN(A121)-1)*1,Master!$D$30:$G$229,4,FALSE)</f>
        <v>Kapitalni izdaci</v>
      </c>
      <c r="C121" s="628"/>
      <c r="D121" s="628"/>
      <c r="E121" s="628"/>
      <c r="F121" s="628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19" t="str">
        <f>+VLOOKUP(LEFT($A122,LEN(A122)-1)*1,Master!$D$30:$G$229,4,FALSE)</f>
        <v>Pozajmice i krediti</v>
      </c>
      <c r="C122" s="620"/>
      <c r="D122" s="620"/>
      <c r="E122" s="620"/>
      <c r="F122" s="620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19" t="str">
        <f>+VLOOKUP(LEFT($A123,LEN(A123)-1)*1,Master!$D$30:$G$229,4,FALSE)</f>
        <v>Rezerve</v>
      </c>
      <c r="C123" s="620"/>
      <c r="D123" s="620"/>
      <c r="E123" s="620"/>
      <c r="F123" s="620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19" t="str">
        <f>+VLOOKUP(LEFT($A124,LEN(A124)-1)*1,Master!$D$30:$G$229,4,FALSE)</f>
        <v>Otplata garancija</v>
      </c>
      <c r="C124" s="620"/>
      <c r="D124" s="620"/>
      <c r="E124" s="620"/>
      <c r="F124" s="620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19" t="str">
        <f>+VLOOKUP(LEFT($A125,LEN(A125)-1)*1,Master!$D$30:$G$229,4,FALSE)</f>
        <v>Otplata obaveza iz prethodnog perioda</v>
      </c>
      <c r="C125" s="620"/>
      <c r="D125" s="620"/>
      <c r="E125" s="620"/>
      <c r="F125" s="620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19" t="str">
        <f>+VLOOKUP(LEFT($A126,LEN(A126)-1)*1,Master!$D$30:$G$229,4,FALSE)</f>
        <v>Neto povećanje obaveza</v>
      </c>
      <c r="C126" s="620"/>
      <c r="D126" s="620"/>
      <c r="E126" s="620"/>
      <c r="F126" s="62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21" t="str">
        <f>+VLOOKUP(LEFT($A127,LEN(A127)-1)*1,Master!$D$30:$G$226,4,FALSE)</f>
        <v>Suficit / deficit</v>
      </c>
      <c r="C127" s="622"/>
      <c r="D127" s="622"/>
      <c r="E127" s="622"/>
      <c r="F127" s="622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23" t="str">
        <f>+VLOOKUP(LEFT($A128,LEN(A128)-1)*1,Master!$D$30:$G$226,4,FALSE)</f>
        <v>Primarni suficit/deficit</v>
      </c>
      <c r="C128" s="624"/>
      <c r="D128" s="624"/>
      <c r="E128" s="624"/>
      <c r="F128" s="624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25" t="str">
        <f>+VLOOKUP(LEFT($A129,LEN(A129)-1)*1,Master!$D$30:$G$226,4,FALSE)</f>
        <v>Otplata dugova</v>
      </c>
      <c r="C129" s="626"/>
      <c r="D129" s="626"/>
      <c r="E129" s="626"/>
      <c r="F129" s="626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17" t="str">
        <f>+VLOOKUP(LEFT($A130,LEN(A130)-1)*1,Master!$D$30:$G$226,4,FALSE)</f>
        <v>Otplata hartija od vrijednosti i kredita rezidentima</v>
      </c>
      <c r="C130" s="618"/>
      <c r="D130" s="618"/>
      <c r="E130" s="618"/>
      <c r="F130" s="618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19" t="str">
        <f>+VLOOKUP(LEFT($A131,LEN(A131)-1)*1,Master!$D$30:$G$226,4,FALSE)</f>
        <v>Otplata hartija od vrijednosti i kredita nerezidentima</v>
      </c>
      <c r="C131" s="620"/>
      <c r="D131" s="620"/>
      <c r="E131" s="620"/>
      <c r="F131" s="620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13" t="str">
        <f>+VLOOKUP(LEFT($A132,LEN(A132)-1)*1,Master!$D$30:$G$226,4,FALSE)</f>
        <v>Izdaci za kupovinu hartija od vrijednosti</v>
      </c>
      <c r="C132" s="614"/>
      <c r="D132" s="614"/>
      <c r="E132" s="614"/>
      <c r="F132" s="614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15" t="str">
        <f>+VLOOKUP(LEFT($A133,LEN(A133)-1)*1,Master!$D$30:$G$226,4,FALSE)</f>
        <v>Nedostajuća sredstva</v>
      </c>
      <c r="C133" s="616"/>
      <c r="D133" s="616"/>
      <c r="E133" s="616"/>
      <c r="F133" s="616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13" t="str">
        <f>+VLOOKUP(LEFT($A134,LEN(A134)-1)*1,Master!$D$30:$G$226,4,FALSE)</f>
        <v>Finansiranje</v>
      </c>
      <c r="C134" s="614"/>
      <c r="D134" s="614"/>
      <c r="E134" s="614"/>
      <c r="F134" s="614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17" t="str">
        <f>+VLOOKUP(LEFT($A135,LEN(A135)-1)*1,Master!$D$30:$G$226,4,FALSE)</f>
        <v>Pozajmice i krediti od domaćih izvora</v>
      </c>
      <c r="C135" s="618"/>
      <c r="D135" s="618"/>
      <c r="E135" s="618"/>
      <c r="F135" s="618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19" t="str">
        <f>+VLOOKUP(LEFT($A136,LEN(A136)-1)*1,Master!$D$30:$G$226,4,FALSE)</f>
        <v>Pozajmice i krediti od inostranih izvora</v>
      </c>
      <c r="C136" s="620"/>
      <c r="D136" s="620"/>
      <c r="E136" s="620"/>
      <c r="F136" s="620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19" t="str">
        <f>+VLOOKUP(LEFT($A137,LEN(A137)-1)*1,Master!$D$30:$G$226,4,FALSE)</f>
        <v>Primici od prodaje imovine</v>
      </c>
      <c r="C137" s="620"/>
      <c r="D137" s="620"/>
      <c r="E137" s="620"/>
      <c r="F137" s="620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93" t="str">
        <f>+Master!G252</f>
        <v>Ostvarenje budžeta</v>
      </c>
      <c r="C7" s="594"/>
      <c r="D7" s="594"/>
      <c r="E7" s="594"/>
      <c r="F7" s="594"/>
      <c r="G7" s="602">
        <v>2020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tr">
        <f>+Master!G249</f>
        <v>BDP</v>
      </c>
      <c r="T7" s="221">
        <v>4185600000</v>
      </c>
    </row>
    <row r="8" spans="1:20" ht="16.5" customHeight="1">
      <c r="A8" s="129"/>
      <c r="B8" s="595"/>
      <c r="C8" s="596"/>
      <c r="D8" s="596"/>
      <c r="E8" s="596"/>
      <c r="F8" s="597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2" t="str">
        <f>+Master!G247</f>
        <v>Jan - Dec</v>
      </c>
      <c r="T8" s="606"/>
    </row>
    <row r="9" spans="1:20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61" t="str">
        <f>+VLOOKUP($A10,Master!$D$30:$G$226,4,FALSE)</f>
        <v>Prihodi budžeta</v>
      </c>
      <c r="C10" s="562"/>
      <c r="D10" s="562"/>
      <c r="E10" s="562"/>
      <c r="F10" s="562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63" t="str">
        <f>+VLOOKUP($A11,Master!$D$30:$G$226,4,FALSE)</f>
        <v>Porezi</v>
      </c>
      <c r="C11" s="564"/>
      <c r="D11" s="564"/>
      <c r="E11" s="564"/>
      <c r="F11" s="564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65" t="str">
        <f>+VLOOKUP($A12,Master!$D$30:$G$226,4,FALSE)</f>
        <v>Porez na dohodak fizičkih lica</v>
      </c>
      <c r="C12" s="566"/>
      <c r="D12" s="566"/>
      <c r="E12" s="566"/>
      <c r="F12" s="566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65" t="str">
        <f>+VLOOKUP($A13,Master!$D$30:$G$226,4,FALSE)</f>
        <v>Porez na dobit pravnih lica</v>
      </c>
      <c r="C13" s="566"/>
      <c r="D13" s="566"/>
      <c r="E13" s="566"/>
      <c r="F13" s="566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65" t="str">
        <f>+VLOOKUP($A14,Master!$D$30:$G$226,4,FALSE)</f>
        <v>Porez na promet nepokretnosti</v>
      </c>
      <c r="C14" s="566"/>
      <c r="D14" s="566"/>
      <c r="E14" s="566"/>
      <c r="F14" s="566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65" t="str">
        <f>+VLOOKUP($A15,Master!$D$30:$G$226,4,FALSE)</f>
        <v>Porez na dodatu vrijednost</v>
      </c>
      <c r="C15" s="566"/>
      <c r="D15" s="566"/>
      <c r="E15" s="566"/>
      <c r="F15" s="566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65" t="str">
        <f>+VLOOKUP($A16,Master!$D$30:$G$226,4,FALSE)</f>
        <v>Akcize</v>
      </c>
      <c r="C16" s="566"/>
      <c r="D16" s="566"/>
      <c r="E16" s="566"/>
      <c r="F16" s="566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65" t="str">
        <f>+VLOOKUP($A17,Master!$D$30:$G$226,4,FALSE)</f>
        <v>Porez na međunarodnu trgovinu i transakcije</v>
      </c>
      <c r="C17" s="566"/>
      <c r="D17" s="566"/>
      <c r="E17" s="566"/>
      <c r="F17" s="566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65" t="str">
        <f>+VLOOKUP($A18,Master!$D$30:$G$226,4,FALSE)</f>
        <v>Ostali državni porezi</v>
      </c>
      <c r="C18" s="566"/>
      <c r="D18" s="566"/>
      <c r="E18" s="566"/>
      <c r="F18" s="566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69" t="str">
        <f>+VLOOKUP($A19,Master!$D$30:$G$226,4,FALSE)</f>
        <v>Doprinosi</v>
      </c>
      <c r="C19" s="570"/>
      <c r="D19" s="570"/>
      <c r="E19" s="570"/>
      <c r="F19" s="570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65" t="str">
        <f>+VLOOKUP($A20,Master!$D$30:$G$226,4,FALSE)</f>
        <v>Doprinosi za penzijsko i invalidsko osiguranje</v>
      </c>
      <c r="C20" s="566"/>
      <c r="D20" s="566"/>
      <c r="E20" s="566"/>
      <c r="F20" s="566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65" t="str">
        <f>+VLOOKUP($A21,Master!$D$30:$G$226,4,FALSE)</f>
        <v>Doprinosi za zdravstveno osiguranje</v>
      </c>
      <c r="C21" s="566"/>
      <c r="D21" s="566"/>
      <c r="E21" s="566"/>
      <c r="F21" s="566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65" t="str">
        <f>+VLOOKUP($A22,Master!$D$30:$G$226,4,FALSE)</f>
        <v>Doprinosi za osiguranje od nezaposlenosti</v>
      </c>
      <c r="C22" s="566"/>
      <c r="D22" s="566"/>
      <c r="E22" s="566"/>
      <c r="F22" s="566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65" t="str">
        <f>+VLOOKUP($A23,Master!$D$30:$G$226,4,FALSE)</f>
        <v>Ostali doprinosi</v>
      </c>
      <c r="C23" s="566"/>
      <c r="D23" s="566"/>
      <c r="E23" s="566"/>
      <c r="F23" s="566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67" t="str">
        <f>+VLOOKUP($A24,Master!$D$30:$G$226,4,FALSE)</f>
        <v>Takse</v>
      </c>
      <c r="C24" s="568"/>
      <c r="D24" s="568"/>
      <c r="E24" s="568"/>
      <c r="F24" s="568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67" t="str">
        <f>+VLOOKUP($A25,Master!$D$30:$G$226,4,FALSE)</f>
        <v>Naknade</v>
      </c>
      <c r="C25" s="568"/>
      <c r="D25" s="568"/>
      <c r="E25" s="568"/>
      <c r="F25" s="568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67" t="str">
        <f>+VLOOKUP($A26,Master!$D$30:$G$226,4,FALSE)</f>
        <v>Ostali prihodi</v>
      </c>
      <c r="C26" s="568"/>
      <c r="D26" s="568"/>
      <c r="E26" s="568"/>
      <c r="F26" s="568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67" t="str">
        <f>+VLOOKUP($A27,Master!$D$30:$G$226,4,FALSE)</f>
        <v>Primici od otplate kredita i sredstva prenesena iz prethodne godine</v>
      </c>
      <c r="C27" s="568"/>
      <c r="D27" s="568"/>
      <c r="E27" s="568"/>
      <c r="F27" s="568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71" t="str">
        <f>+VLOOKUP($A28,Master!$D$30:$G$226,4,FALSE)</f>
        <v>Donacije i transferi</v>
      </c>
      <c r="C28" s="572"/>
      <c r="D28" s="572"/>
      <c r="E28" s="572"/>
      <c r="F28" s="572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3" t="str">
        <f>+VLOOKUP($A29,Master!$D$30:$G$226,4,FALSE)</f>
        <v>Izdaci budžeta</v>
      </c>
      <c r="C29" s="574"/>
      <c r="D29" s="574"/>
      <c r="E29" s="574"/>
      <c r="F29" s="574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77" t="str">
        <f>+VLOOKUP($A30,Master!$D$30:$G$226,4,FALSE)</f>
        <v>Tekući izdaci</v>
      </c>
      <c r="C30" s="578"/>
      <c r="D30" s="578"/>
      <c r="E30" s="578"/>
      <c r="F30" s="578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65" t="str">
        <f>+VLOOKUP($A31,Master!$D$30:$G$226,4,FALSE)</f>
        <v>Bruto zarade i doprinosi na teret poslodavca</v>
      </c>
      <c r="C31" s="566"/>
      <c r="D31" s="566"/>
      <c r="E31" s="566"/>
      <c r="F31" s="566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65" t="str">
        <f>+VLOOKUP($A32,Master!$D$30:$G$226,4,FALSE)</f>
        <v>Ostala lična primanja</v>
      </c>
      <c r="C32" s="566"/>
      <c r="D32" s="566"/>
      <c r="E32" s="566"/>
      <c r="F32" s="566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65" t="str">
        <f>+VLOOKUP($A33,Master!$D$30:$G$226,4,FALSE)</f>
        <v>Rashodi za materijal</v>
      </c>
      <c r="C33" s="566"/>
      <c r="D33" s="566"/>
      <c r="E33" s="566"/>
      <c r="F33" s="566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60" t="str">
        <f>+VLOOKUP($A34,Master!$D$30:$G$226,4,FALSE)</f>
        <v>Rashodi za usluge</v>
      </c>
      <c r="C34" s="661"/>
      <c r="D34" s="661"/>
      <c r="E34" s="661"/>
      <c r="F34" s="661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65" t="str">
        <f>+VLOOKUP($A35,Master!$D$30:$G$226,4,FALSE)</f>
        <v>Rashodi za tekuće održavanje</v>
      </c>
      <c r="C35" s="566"/>
      <c r="D35" s="566"/>
      <c r="E35" s="566"/>
      <c r="F35" s="566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65" t="str">
        <f>+VLOOKUP($A36,Master!$D$30:$G$226,4,FALSE)</f>
        <v>Kamate</v>
      </c>
      <c r="C36" s="566"/>
      <c r="D36" s="566"/>
      <c r="E36" s="566"/>
      <c r="F36" s="566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65" t="str">
        <f>+VLOOKUP($A37,Master!$D$30:$G$226,4,FALSE)</f>
        <v>Renta</v>
      </c>
      <c r="C37" s="566"/>
      <c r="D37" s="566"/>
      <c r="E37" s="566"/>
      <c r="F37" s="566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65" t="str">
        <f>+VLOOKUP($A38,Master!$D$30:$G$226,4,FALSE)</f>
        <v>Subvencije</v>
      </c>
      <c r="C38" s="566"/>
      <c r="D38" s="566"/>
      <c r="E38" s="566"/>
      <c r="F38" s="566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60" t="str">
        <f>+VLOOKUP($A39,Master!$D$30:$G$226,4,FALSE)</f>
        <v>Ostali izdaci</v>
      </c>
      <c r="C39" s="661"/>
      <c r="D39" s="661"/>
      <c r="E39" s="661"/>
      <c r="F39" s="661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1" t="str">
        <f>+VLOOKUP($A40,Master!$D$30:$G$226,4,FALSE)</f>
        <v>Transferi za socijalnu zaštitu</v>
      </c>
      <c r="C40" s="582"/>
      <c r="D40" s="582"/>
      <c r="E40" s="582"/>
      <c r="F40" s="582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65" t="str">
        <f>+VLOOKUP($A41,Master!$D$30:$G$226,4,FALSE)</f>
        <v>Prava iz oblasti socijalne zaštite</v>
      </c>
      <c r="C41" s="566"/>
      <c r="D41" s="566"/>
      <c r="E41" s="566"/>
      <c r="F41" s="566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65" t="str">
        <f>+VLOOKUP($A42,Master!$D$30:$G$226,4,FALSE)</f>
        <v>Sredstva za tehnološke viškove</v>
      </c>
      <c r="C42" s="566"/>
      <c r="D42" s="566"/>
      <c r="E42" s="566"/>
      <c r="F42" s="566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65" t="str">
        <f>+VLOOKUP($A43,Master!$D$30:$G$226,4,FALSE)</f>
        <v>Prava iz oblasti penzijskog i invalidskog osiguranja</v>
      </c>
      <c r="C43" s="566"/>
      <c r="D43" s="566"/>
      <c r="E43" s="566"/>
      <c r="F43" s="566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65" t="str">
        <f>+VLOOKUP($A44,Master!$D$30:$G$226,4,FALSE)</f>
        <v>Ostala prava iz oblasti zdravstvene zaštite</v>
      </c>
      <c r="C44" s="566"/>
      <c r="D44" s="566"/>
      <c r="E44" s="566"/>
      <c r="F44" s="566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56" t="str">
        <f>+VLOOKUP($A45,Master!$D$30:$G$226,4,FALSE)</f>
        <v>Ostala prava iz zdravstvenog osiguranja</v>
      </c>
      <c r="C45" s="657"/>
      <c r="D45" s="657"/>
      <c r="E45" s="657"/>
      <c r="F45" s="657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79" t="str">
        <f>+VLOOKUP($A46,Master!$D$30:$G$226,4,FALSE)</f>
        <v xml:space="preserve">Transferi institucijama, pojedincima, nevladinom i javnom sektoru </v>
      </c>
      <c r="C46" s="580"/>
      <c r="D46" s="580"/>
      <c r="E46" s="580"/>
      <c r="F46" s="580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79" t="str">
        <f>+VLOOKUP($A47,Master!$D$30:$G$226,4,FALSE)</f>
        <v>Kapitalni izdaci</v>
      </c>
      <c r="C47" s="580"/>
      <c r="D47" s="580"/>
      <c r="E47" s="580"/>
      <c r="F47" s="580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58" t="str">
        <f>+VLOOKUP($A48,Master!$D$30:$G$226,4,FALSE)</f>
        <v>Pozajmice i krediti</v>
      </c>
      <c r="C48" s="659"/>
      <c r="D48" s="659"/>
      <c r="E48" s="659"/>
      <c r="F48" s="659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50" t="str">
        <f>+VLOOKUP($A49,Master!$D$30:$G$226,4,FALSE)</f>
        <v>Rezerve</v>
      </c>
      <c r="C49" s="651"/>
      <c r="D49" s="651"/>
      <c r="E49" s="651"/>
      <c r="F49" s="651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5" t="str">
        <f>+VLOOKUP($A50,Master!$D$30:$G$226,4,FALSE)</f>
        <v>Otplata garancija</v>
      </c>
      <c r="C50" s="586"/>
      <c r="D50" s="586"/>
      <c r="E50" s="586"/>
      <c r="F50" s="586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52" t="str">
        <f>+VLOOKUP($A51,Master!$D$30:$G$226,4,TRUE)</f>
        <v>Otplata obaveza iz prethodnog perioda</v>
      </c>
      <c r="C51" s="653"/>
      <c r="D51" s="653"/>
      <c r="E51" s="653"/>
      <c r="F51" s="653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54" t="str">
        <f>+VLOOKUP($A52,Master!$D$30:$G$228,4,FALSE)</f>
        <v>Neto povećanje obaveza</v>
      </c>
      <c r="C52" s="655"/>
      <c r="D52" s="655"/>
      <c r="E52" s="655"/>
      <c r="F52" s="655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7" t="str">
        <f>+VLOOKUP($A53,Master!$D$30:$G$226,4,FALSE)</f>
        <v>Suficit / deficit</v>
      </c>
      <c r="C53" s="588"/>
      <c r="D53" s="588"/>
      <c r="E53" s="588"/>
      <c r="F53" s="588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9" t="str">
        <f>+VLOOKUP($A54,Master!$D$30:$G$226,4,FALSE)</f>
        <v>Primarni suficit/deficit</v>
      </c>
      <c r="C54" s="590"/>
      <c r="D54" s="590"/>
      <c r="E54" s="590"/>
      <c r="F54" s="590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1" t="str">
        <f>+VLOOKUP($A55,Master!$D$30:$G$226,4,FALSE)</f>
        <v>Otplata dugova</v>
      </c>
      <c r="C55" s="612"/>
      <c r="D55" s="612"/>
      <c r="E55" s="612"/>
      <c r="F55" s="612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07" t="str">
        <f>+VLOOKUP($A56,Master!$D$30:$G$226,4,FALSE)</f>
        <v>Otplata hartija od vrijednosti i kredita rezidentima</v>
      </c>
      <c r="C56" s="608"/>
      <c r="D56" s="608"/>
      <c r="E56" s="608"/>
      <c r="F56" s="608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83" t="str">
        <f>+VLOOKUP($A57,Master!$D$30:$G$226,4,FALSE)</f>
        <v>Otplata hartija od vrijednosti i kredita nerezidentima</v>
      </c>
      <c r="C57" s="584"/>
      <c r="D57" s="584"/>
      <c r="E57" s="584"/>
      <c r="F57" s="584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09" t="str">
        <f>+VLOOKUP($A59,Master!$D$30:$G$226,4,FALSE)</f>
        <v>Nedostajuća sredstva</v>
      </c>
      <c r="C59" s="610"/>
      <c r="D59" s="610"/>
      <c r="E59" s="610"/>
      <c r="F59" s="610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3" t="str">
        <f>+VLOOKUP($A60,Master!$D$30:$G$226,4,FALSE)</f>
        <v>Finansiranje</v>
      </c>
      <c r="C60" s="574"/>
      <c r="D60" s="574"/>
      <c r="E60" s="574"/>
      <c r="F60" s="574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07" t="str">
        <f>+VLOOKUP($A61,Master!$D$30:$G$226,4,FALSE)</f>
        <v>Pozajmice i krediti od domaćih izvora</v>
      </c>
      <c r="C61" s="608"/>
      <c r="D61" s="608"/>
      <c r="E61" s="608"/>
      <c r="F61" s="608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83" t="str">
        <f>+VLOOKUP($A62,Master!$D$30:$G$226,4,FALSE)</f>
        <v>Pozajmice i krediti od inostranih izvora</v>
      </c>
      <c r="C62" s="584"/>
      <c r="D62" s="584"/>
      <c r="E62" s="584"/>
      <c r="F62" s="584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83" t="str">
        <f>+VLOOKUP($A63,Master!$D$30:$G$226,4,FALSE)</f>
        <v>Primici od prodaje imovine</v>
      </c>
      <c r="C63" s="584"/>
      <c r="D63" s="584"/>
      <c r="E63" s="584"/>
      <c r="F63" s="584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9" t="str">
        <f>+Master!G253</f>
        <v>Plan ostvarenja budžeta</v>
      </c>
      <c r="C100" s="640"/>
      <c r="D100" s="640"/>
      <c r="E100" s="640"/>
      <c r="F100" s="640"/>
      <c r="G100" s="647">
        <v>2020</v>
      </c>
      <c r="H100" s="648"/>
      <c r="I100" s="648"/>
      <c r="J100" s="648"/>
      <c r="K100" s="648"/>
      <c r="L100" s="648"/>
      <c r="M100" s="648"/>
      <c r="N100" s="648"/>
      <c r="O100" s="648"/>
      <c r="P100" s="648"/>
      <c r="Q100" s="648"/>
      <c r="R100" s="649"/>
      <c r="S100" s="96" t="str">
        <f>+S7</f>
        <v>BDP</v>
      </c>
      <c r="T100" s="97">
        <v>4607300000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47" t="str">
        <f>+Master!G247</f>
        <v>Jan - Dec</v>
      </c>
      <c r="T101" s="649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2" t="str">
        <f>+VLOOKUP(LEFT($A103,LEN(A103)-1)*1,Master!$D$30:$G$226,4,FALSE)</f>
        <v>Prihodi budžeta</v>
      </c>
      <c r="C103" s="663"/>
      <c r="D103" s="663"/>
      <c r="E103" s="663"/>
      <c r="F103" s="663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7" t="str">
        <f>+VLOOKUP(LEFT($A104,LEN(A104)-1)*1,Master!$D$30:$G$226,4,FALSE)</f>
        <v>Porezi</v>
      </c>
      <c r="C104" s="638"/>
      <c r="D104" s="638"/>
      <c r="E104" s="638"/>
      <c r="F104" s="638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9" t="str">
        <f>+VLOOKUP(LEFT($A105,LEN(A105)-1)*1,Master!$D$30:$G$229,4,FALSE)</f>
        <v>Porez na dohodak fizičkih lica</v>
      </c>
      <c r="C105" s="630"/>
      <c r="D105" s="630"/>
      <c r="E105" s="630"/>
      <c r="F105" s="630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9" t="str">
        <f>+VLOOKUP(LEFT($A106,LEN(A106)-1)*1,Master!$D$30:$G$229,4,FALSE)</f>
        <v>Porez na dobit pravnih lica</v>
      </c>
      <c r="C106" s="630"/>
      <c r="D106" s="630"/>
      <c r="E106" s="630"/>
      <c r="F106" s="630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9" t="str">
        <f>+VLOOKUP(LEFT($A107,LEN(A107)-1)*1,Master!$D$30:$G$229,4,FALSE)</f>
        <v>Porez na promet nepokretnosti</v>
      </c>
      <c r="C107" s="630"/>
      <c r="D107" s="630"/>
      <c r="E107" s="630"/>
      <c r="F107" s="630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9" t="str">
        <f>+VLOOKUP(LEFT($A108,LEN(A108)-1)*1,Master!$D$30:$G$229,4,FALSE)</f>
        <v>Porez na dodatu vrijednost</v>
      </c>
      <c r="C108" s="630"/>
      <c r="D108" s="630"/>
      <c r="E108" s="630"/>
      <c r="F108" s="630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9" t="str">
        <f>+VLOOKUP(LEFT($A109,LEN(A109)-1)*1,Master!$D$30:$G$229,4,FALSE)</f>
        <v>Akcize</v>
      </c>
      <c r="C109" s="630"/>
      <c r="D109" s="630"/>
      <c r="E109" s="630"/>
      <c r="F109" s="630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9" t="str">
        <f>+VLOOKUP(LEFT($A110,LEN(A110)-1)*1,Master!$D$30:$G$229,4,FALSE)</f>
        <v>Porez na međunarodnu trgovinu i transakcije</v>
      </c>
      <c r="C110" s="630"/>
      <c r="D110" s="630"/>
      <c r="E110" s="630"/>
      <c r="F110" s="630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9" t="str">
        <f>+VLOOKUP(LEFT($A111,LEN(A111)-1)*1,Master!$D$30:$G$229,4,FALSE)</f>
        <v>Ostali državni porezi</v>
      </c>
      <c r="C111" s="630"/>
      <c r="D111" s="630"/>
      <c r="E111" s="630"/>
      <c r="F111" s="630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4" t="str">
        <f>+VLOOKUP(LEFT($A112,LEN(A112)-1)*1,Master!$D$30:$G$229,4,FALSE)</f>
        <v>Doprinosi</v>
      </c>
      <c r="C112" s="665"/>
      <c r="D112" s="665"/>
      <c r="E112" s="665"/>
      <c r="F112" s="665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9" t="str">
        <f>+VLOOKUP(LEFT($A113,LEN(A113)-1)*1,Master!$D$30:$G$229,4,FALSE)</f>
        <v>Doprinosi za penzijsko i invalidsko osiguranje</v>
      </c>
      <c r="C113" s="630"/>
      <c r="D113" s="630"/>
      <c r="E113" s="630"/>
      <c r="F113" s="630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9" t="str">
        <f>+VLOOKUP(LEFT($A114,LEN(A114)-1)*1,Master!$D$30:$G$229,4,FALSE)</f>
        <v>Doprinosi za zdravstveno osiguranje</v>
      </c>
      <c r="C114" s="630"/>
      <c r="D114" s="630"/>
      <c r="E114" s="630"/>
      <c r="F114" s="630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9" t="str">
        <f>+VLOOKUP(LEFT($A115,LEN(A115)-1)*1,Master!$D$30:$G$229,4,FALSE)</f>
        <v>Doprinosi za osiguranje od nezaposlenosti</v>
      </c>
      <c r="C115" s="630"/>
      <c r="D115" s="630"/>
      <c r="E115" s="630"/>
      <c r="F115" s="630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9" t="str">
        <f>+VLOOKUP(LEFT($A116,LEN(A116)-1)*1,Master!$D$30:$G$229,4,FALSE)</f>
        <v>Ostali doprinosi</v>
      </c>
      <c r="C116" s="630"/>
      <c r="D116" s="630"/>
      <c r="E116" s="630"/>
      <c r="F116" s="630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5" t="str">
        <f>+VLOOKUP(LEFT($A117,LEN(A117)-1)*1,Master!$D$30:$G$229,4,FALSE)</f>
        <v>Takse</v>
      </c>
      <c r="C117" s="636"/>
      <c r="D117" s="636"/>
      <c r="E117" s="636"/>
      <c r="F117" s="636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5" t="str">
        <f>+VLOOKUP(LEFT($A118,LEN(A118)-1)*1,Master!$D$30:$G$229,4,FALSE)</f>
        <v>Naknade</v>
      </c>
      <c r="C118" s="636"/>
      <c r="D118" s="636"/>
      <c r="E118" s="636"/>
      <c r="F118" s="636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5" t="str">
        <f>+VLOOKUP(LEFT($A119,LEN(A119)-1)*1,Master!$D$30:$G$229,4,FALSE)</f>
        <v>Ostali prihodi</v>
      </c>
      <c r="C119" s="636"/>
      <c r="D119" s="636"/>
      <c r="E119" s="636"/>
      <c r="F119" s="636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5" t="str">
        <f>+VLOOKUP(LEFT($A120,LEN(A120)-1)*1,Master!$D$30:$G$229,4,FALSE)</f>
        <v>Primici od otplate kredita i sredstva prenesena iz prethodne godine</v>
      </c>
      <c r="C120" s="636"/>
      <c r="D120" s="636"/>
      <c r="E120" s="636"/>
      <c r="F120" s="636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1" t="str">
        <f>+VLOOKUP(LEFT($A121,LEN(A121)-1)*1,Master!$D$30:$G$229,4,FALSE)</f>
        <v>Donacije i transferi</v>
      </c>
      <c r="C121" s="632"/>
      <c r="D121" s="632"/>
      <c r="E121" s="632"/>
      <c r="F121" s="632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13" t="str">
        <f>+VLOOKUP(LEFT($A122,LEN(A122)-1)*1,Master!$D$30:$G$229,4,FALSE)</f>
        <v>Izdaci budžeta</v>
      </c>
      <c r="C122" s="614"/>
      <c r="D122" s="614"/>
      <c r="E122" s="614"/>
      <c r="F122" s="614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33" t="str">
        <f>+VLOOKUP(LEFT($A123,LEN(A123)-1)*1,Master!$D$30:$G$229,4,FALSE)</f>
        <v>Tekući izdaci</v>
      </c>
      <c r="C123" s="634"/>
      <c r="D123" s="634"/>
      <c r="E123" s="634"/>
      <c r="F123" s="634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9" t="str">
        <f>+VLOOKUP(LEFT($A124,LEN(A124)-1)*1,Master!$D$30:$G$229,4,FALSE)</f>
        <v>Bruto zarade i doprinosi na teret poslodavca</v>
      </c>
      <c r="C124" s="630"/>
      <c r="D124" s="630"/>
      <c r="E124" s="630"/>
      <c r="F124" s="630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9" t="str">
        <f>+VLOOKUP(LEFT($A125,LEN(A125)-1)*1,Master!$D$30:$G$229,4,FALSE)</f>
        <v>Ostala lična primanja</v>
      </c>
      <c r="C125" s="630"/>
      <c r="D125" s="630"/>
      <c r="E125" s="630"/>
      <c r="F125" s="630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9" t="str">
        <f>+VLOOKUP(LEFT($A126,LEN(A126)-1)*1,Master!$D$30:$G$229,4,FALSE)</f>
        <v>Rashodi za materijal</v>
      </c>
      <c r="C126" s="630"/>
      <c r="D126" s="630"/>
      <c r="E126" s="630"/>
      <c r="F126" s="630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9" t="str">
        <f>+VLOOKUP(LEFT($A127,LEN(A127)-1)*1,Master!$D$30:$G$229,4,FALSE)</f>
        <v>Rashodi za usluge</v>
      </c>
      <c r="C127" s="630"/>
      <c r="D127" s="630"/>
      <c r="E127" s="630"/>
      <c r="F127" s="630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9" t="str">
        <f>+VLOOKUP(LEFT($A128,LEN(A128)-1)*1,Master!$D$30:$G$229,4,FALSE)</f>
        <v>Rashodi za tekuće održavanje</v>
      </c>
      <c r="C128" s="630"/>
      <c r="D128" s="630"/>
      <c r="E128" s="630"/>
      <c r="F128" s="630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9" t="str">
        <f>+VLOOKUP(LEFT($A129,LEN(A129)-1)*1,Master!$D$30:$G$229,4,FALSE)</f>
        <v>Kamate</v>
      </c>
      <c r="C129" s="630"/>
      <c r="D129" s="630"/>
      <c r="E129" s="630"/>
      <c r="F129" s="630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9" t="str">
        <f>+VLOOKUP(LEFT($A130,LEN(A130)-1)*1,Master!$D$30:$G$229,4,FALSE)</f>
        <v>Renta</v>
      </c>
      <c r="C130" s="630"/>
      <c r="D130" s="630"/>
      <c r="E130" s="630"/>
      <c r="F130" s="630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9" t="str">
        <f>+VLOOKUP(LEFT($A131,LEN(A131)-1)*1,Master!$D$30:$G$229,4,FALSE)</f>
        <v>Subvencije</v>
      </c>
      <c r="C131" s="630"/>
      <c r="D131" s="630"/>
      <c r="E131" s="630"/>
      <c r="F131" s="630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9" t="str">
        <f>+VLOOKUP(LEFT($A132,LEN(A132)-1)*1,Master!$D$30:$G$229,4,FALSE)</f>
        <v>Ostali izdaci</v>
      </c>
      <c r="C132" s="630"/>
      <c r="D132" s="630"/>
      <c r="E132" s="630"/>
      <c r="F132" s="630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25" t="str">
        <f>+VLOOKUP(LEFT($A133,LEN(A133)-1)*1,Master!$D$30:$G$229,4,FALSE)</f>
        <v>Transferi za socijalnu zaštitu</v>
      </c>
      <c r="C133" s="626"/>
      <c r="D133" s="626"/>
      <c r="E133" s="626"/>
      <c r="F133" s="626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9" t="str">
        <f>+VLOOKUP(LEFT($A134,LEN(A134)-1)*1,Master!$D$30:$G$229,4,FALSE)</f>
        <v>Prava iz oblasti socijalne zaštite</v>
      </c>
      <c r="C134" s="630"/>
      <c r="D134" s="630"/>
      <c r="E134" s="630"/>
      <c r="F134" s="630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9" t="str">
        <f>+VLOOKUP(LEFT($A135,LEN(A135)-1)*1,Master!$D$30:$G$229,4,FALSE)</f>
        <v>Sredstva za tehnološke viškove</v>
      </c>
      <c r="C135" s="630"/>
      <c r="D135" s="630"/>
      <c r="E135" s="630"/>
      <c r="F135" s="630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9" t="str">
        <f>+VLOOKUP(LEFT($A136,LEN(A136)-1)*1,Master!$D$30:$G$229,4,FALSE)</f>
        <v>Prava iz oblasti penzijskog i invalidskog osiguranja</v>
      </c>
      <c r="C136" s="630"/>
      <c r="D136" s="630"/>
      <c r="E136" s="630"/>
      <c r="F136" s="630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9" t="str">
        <f>+VLOOKUP(LEFT($A137,LEN(A137)-1)*1,Master!$D$30:$G$229,4,FALSE)</f>
        <v>Ostala prava iz oblasti zdravstvene zaštite</v>
      </c>
      <c r="C137" s="630"/>
      <c r="D137" s="630"/>
      <c r="E137" s="630"/>
      <c r="F137" s="630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9" t="str">
        <f>+VLOOKUP(LEFT($A138,LEN(A138)-1)*1,Master!$D$30:$G$229,4,FALSE)</f>
        <v>Ostala prava iz zdravstvenog osiguranja</v>
      </c>
      <c r="C138" s="630"/>
      <c r="D138" s="630"/>
      <c r="E138" s="630"/>
      <c r="F138" s="630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27" t="str">
        <f>+VLOOKUP(LEFT($A139,LEN(A139)-1)*1,Master!$D$30:$G$229,4,FALSE)</f>
        <v xml:space="preserve">Transferi institucijama, pojedincima, nevladinom i javnom sektoru </v>
      </c>
      <c r="C139" s="628"/>
      <c r="D139" s="628"/>
      <c r="E139" s="628"/>
      <c r="F139" s="628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27" t="str">
        <f>+VLOOKUP(LEFT($A140,LEN(A140)-1)*1,Master!$D$30:$G$229,4,FALSE)</f>
        <v>Kapitalni izdaci</v>
      </c>
      <c r="C140" s="628"/>
      <c r="D140" s="628"/>
      <c r="E140" s="628"/>
      <c r="F140" s="628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19" t="str">
        <f>+VLOOKUP(LEFT($A141,LEN(A141)-1)*1,Master!$D$30:$G$229,4,FALSE)</f>
        <v>Pozajmice i krediti</v>
      </c>
      <c r="C141" s="620"/>
      <c r="D141" s="620"/>
      <c r="E141" s="620"/>
      <c r="F141" s="620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19" t="str">
        <f>+VLOOKUP(LEFT($A142,LEN(A142)-1)*1,Master!$D$30:$G$229,4,FALSE)</f>
        <v>Rezerve</v>
      </c>
      <c r="C142" s="620"/>
      <c r="D142" s="620"/>
      <c r="E142" s="620"/>
      <c r="F142" s="620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19" t="str">
        <f>+VLOOKUP(LEFT($A143,LEN(A143)-1)*1,Master!$D$30:$G$229,4,FALSE)</f>
        <v>Otplata garancija</v>
      </c>
      <c r="C143" s="620"/>
      <c r="D143" s="620"/>
      <c r="E143" s="620"/>
      <c r="F143" s="620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19" t="str">
        <f>+VLOOKUP(LEFT($A144,LEN(A144)-1)*1,Master!$D$30:$G$229,4,FALSE)</f>
        <v>Otplata obaveza iz prethodnog perioda</v>
      </c>
      <c r="C144" s="620"/>
      <c r="D144" s="620"/>
      <c r="E144" s="620"/>
      <c r="F144" s="620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19" t="str">
        <f>+VLOOKUP(LEFT($A145,LEN(A145)-1)*1,Master!$D$30:$G$229,4,FALSE)</f>
        <v>Neto povećanje obaveza</v>
      </c>
      <c r="C145" s="620"/>
      <c r="D145" s="620"/>
      <c r="E145" s="620"/>
      <c r="F145" s="620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21" t="str">
        <f>+VLOOKUP(LEFT($A146,LEN(A146)-1)*1,Master!$D$30:$G$226,4,FALSE)</f>
        <v>Suficit / deficit</v>
      </c>
      <c r="C146" s="622"/>
      <c r="D146" s="622"/>
      <c r="E146" s="622"/>
      <c r="F146" s="622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23" t="str">
        <f>+VLOOKUP(LEFT($A147,LEN(A147)-1)*1,Master!$D$30:$G$226,4,FALSE)</f>
        <v>Primarni suficit/deficit</v>
      </c>
      <c r="C147" s="624"/>
      <c r="D147" s="624"/>
      <c r="E147" s="624"/>
      <c r="F147" s="624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25" t="str">
        <f>+VLOOKUP(LEFT($A148,LEN(A148)-1)*1,Master!$D$30:$G$226,4,FALSE)</f>
        <v>Otplata dugova</v>
      </c>
      <c r="C148" s="626"/>
      <c r="D148" s="626"/>
      <c r="E148" s="626"/>
      <c r="F148" s="626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17" t="str">
        <f>+VLOOKUP(LEFT($A149,LEN(A149)-1)*1,Master!$D$30:$G$226,4,FALSE)</f>
        <v>Otplata hartija od vrijednosti i kredita rezidentima</v>
      </c>
      <c r="C149" s="618"/>
      <c r="D149" s="618"/>
      <c r="E149" s="618"/>
      <c r="F149" s="618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19" t="str">
        <f>+VLOOKUP(LEFT($A150,LEN(A150)-1)*1,Master!$D$30:$G$226,4,FALSE)</f>
        <v>Otplata hartija od vrijednosti i kredita nerezidentima</v>
      </c>
      <c r="C150" s="620"/>
      <c r="D150" s="620"/>
      <c r="E150" s="620"/>
      <c r="F150" s="620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13" t="str">
        <f>+VLOOKUP(LEFT($A151,LEN(A151)-1)*1,Master!$D$30:$G$226,4,FALSE)</f>
        <v>Izdaci za kupovinu hartija od vrijednosti</v>
      </c>
      <c r="C151" s="614"/>
      <c r="D151" s="614"/>
      <c r="E151" s="614"/>
      <c r="F151" s="614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15" t="str">
        <f>+VLOOKUP(LEFT($A152,LEN(A152)-1)*1,Master!$D$30:$G$226,4,FALSE)</f>
        <v>Nedostajuća sredstva</v>
      </c>
      <c r="C152" s="616"/>
      <c r="D152" s="616"/>
      <c r="E152" s="616"/>
      <c r="F152" s="616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13" t="str">
        <f>+VLOOKUP(LEFT($A153,LEN(A153)-1)*1,Master!$D$30:$G$226,4,FALSE)</f>
        <v>Finansiranje</v>
      </c>
      <c r="C153" s="614"/>
      <c r="D153" s="614"/>
      <c r="E153" s="614"/>
      <c r="F153" s="614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17" t="str">
        <f>+VLOOKUP(LEFT($A154,LEN(A154)-1)*1,Master!$D$30:$G$226,4,FALSE)</f>
        <v>Pozajmice i krediti od domaćih izvora</v>
      </c>
      <c r="C154" s="618"/>
      <c r="D154" s="618"/>
      <c r="E154" s="618"/>
      <c r="F154" s="618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19" t="str">
        <f>+VLOOKUP(LEFT($A155,LEN(A155)-1)*1,Master!$D$30:$G$226,4,FALSE)</f>
        <v>Pozajmice i krediti od inostranih izvora</v>
      </c>
      <c r="C155" s="620"/>
      <c r="D155" s="620"/>
      <c r="E155" s="620"/>
      <c r="F155" s="620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19" t="str">
        <f>+VLOOKUP(LEFT($A156,LEN(A156)-1)*1,Master!$D$30:$G$226,4,FALSE)</f>
        <v>Primici od prodaje imovine</v>
      </c>
      <c r="C156" s="620"/>
      <c r="D156" s="620"/>
      <c r="E156" s="620"/>
      <c r="F156" s="620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93" t="s">
        <v>553</v>
      </c>
      <c r="C7" s="594"/>
      <c r="D7" s="594"/>
      <c r="E7" s="594"/>
      <c r="F7" s="594"/>
      <c r="G7" s="602">
        <v>2019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6"/>
      <c r="S7" s="220" t="s">
        <v>419</v>
      </c>
      <c r="T7" s="221">
        <v>4951000000</v>
      </c>
    </row>
    <row r="8" spans="1:20" ht="16.5" customHeight="1">
      <c r="A8" s="129"/>
      <c r="B8" s="595"/>
      <c r="C8" s="596"/>
      <c r="D8" s="596"/>
      <c r="E8" s="596"/>
      <c r="F8" s="597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2" t="s">
        <v>806</v>
      </c>
      <c r="T8" s="606"/>
    </row>
    <row r="9" spans="1:20" ht="13.5" thickBot="1">
      <c r="A9" s="129"/>
      <c r="B9" s="598"/>
      <c r="C9" s="599"/>
      <c r="D9" s="599"/>
      <c r="E9" s="599"/>
      <c r="F9" s="600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3" t="s">
        <v>680</v>
      </c>
      <c r="C10" s="574"/>
      <c r="D10" s="574"/>
      <c r="E10" s="574"/>
      <c r="F10" s="574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63" t="s">
        <v>21</v>
      </c>
      <c r="C11" s="564"/>
      <c r="D11" s="564"/>
      <c r="E11" s="564"/>
      <c r="F11" s="564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65" t="s">
        <v>23</v>
      </c>
      <c r="C12" s="566"/>
      <c r="D12" s="566"/>
      <c r="E12" s="566"/>
      <c r="F12" s="566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65" t="s">
        <v>25</v>
      </c>
      <c r="C13" s="566"/>
      <c r="D13" s="566"/>
      <c r="E13" s="566"/>
      <c r="F13" s="566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65" t="s">
        <v>27</v>
      </c>
      <c r="C14" s="566"/>
      <c r="D14" s="566"/>
      <c r="E14" s="566"/>
      <c r="F14" s="566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65" t="s">
        <v>29</v>
      </c>
      <c r="C15" s="566"/>
      <c r="D15" s="566"/>
      <c r="E15" s="566"/>
      <c r="F15" s="566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65" t="s">
        <v>31</v>
      </c>
      <c r="C16" s="566"/>
      <c r="D16" s="566"/>
      <c r="E16" s="566"/>
      <c r="F16" s="566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65" t="s">
        <v>33</v>
      </c>
      <c r="C17" s="566"/>
      <c r="D17" s="566"/>
      <c r="E17" s="566"/>
      <c r="F17" s="566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65" t="s">
        <v>721</v>
      </c>
      <c r="C18" s="566"/>
      <c r="D18" s="566"/>
      <c r="E18" s="566"/>
      <c r="F18" s="566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69" t="s">
        <v>37</v>
      </c>
      <c r="C19" s="570"/>
      <c r="D19" s="570"/>
      <c r="E19" s="570"/>
      <c r="F19" s="570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65" t="s">
        <v>39</v>
      </c>
      <c r="C20" s="566"/>
      <c r="D20" s="566"/>
      <c r="E20" s="566"/>
      <c r="F20" s="566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65" t="s">
        <v>41</v>
      </c>
      <c r="C21" s="566"/>
      <c r="D21" s="566"/>
      <c r="E21" s="566"/>
      <c r="F21" s="566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65" t="s">
        <v>43</v>
      </c>
      <c r="C22" s="566"/>
      <c r="D22" s="566"/>
      <c r="E22" s="566"/>
      <c r="F22" s="566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65" t="s">
        <v>45</v>
      </c>
      <c r="C23" s="566"/>
      <c r="D23" s="566"/>
      <c r="E23" s="566"/>
      <c r="F23" s="566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67" t="s">
        <v>47</v>
      </c>
      <c r="C24" s="568"/>
      <c r="D24" s="568"/>
      <c r="E24" s="568"/>
      <c r="F24" s="568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67" t="s">
        <v>61</v>
      </c>
      <c r="C25" s="568"/>
      <c r="D25" s="568"/>
      <c r="E25" s="568"/>
      <c r="F25" s="568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67" t="s">
        <v>81</v>
      </c>
      <c r="C26" s="568"/>
      <c r="D26" s="568"/>
      <c r="E26" s="568"/>
      <c r="F26" s="568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67" t="s">
        <v>99</v>
      </c>
      <c r="C27" s="568"/>
      <c r="D27" s="568"/>
      <c r="E27" s="568"/>
      <c r="F27" s="568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71" t="s">
        <v>105</v>
      </c>
      <c r="C28" s="572"/>
      <c r="D28" s="572"/>
      <c r="E28" s="572"/>
      <c r="F28" s="572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3" t="s">
        <v>801</v>
      </c>
      <c r="C29" s="574"/>
      <c r="D29" s="574"/>
      <c r="E29" s="574"/>
      <c r="F29" s="574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75" t="s">
        <v>120</v>
      </c>
      <c r="C30" s="576"/>
      <c r="D30" s="576"/>
      <c r="E30" s="576"/>
      <c r="F30" s="576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65" t="s">
        <v>122</v>
      </c>
      <c r="C31" s="566"/>
      <c r="D31" s="566"/>
      <c r="E31" s="566"/>
      <c r="F31" s="566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65" t="s">
        <v>133</v>
      </c>
      <c r="C32" s="566"/>
      <c r="D32" s="566"/>
      <c r="E32" s="566"/>
      <c r="F32" s="566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65" t="s">
        <v>148</v>
      </c>
      <c r="C33" s="566"/>
      <c r="D33" s="566"/>
      <c r="E33" s="566"/>
      <c r="F33" s="566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65" t="s">
        <v>162</v>
      </c>
      <c r="C34" s="566"/>
      <c r="D34" s="566"/>
      <c r="E34" s="566"/>
      <c r="F34" s="566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60" t="s">
        <v>182</v>
      </c>
      <c r="C35" s="661"/>
      <c r="D35" s="661"/>
      <c r="E35" s="661"/>
      <c r="F35" s="661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65" t="s">
        <v>190</v>
      </c>
      <c r="C36" s="566"/>
      <c r="D36" s="566"/>
      <c r="E36" s="566"/>
      <c r="F36" s="566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65" t="s">
        <v>196</v>
      </c>
      <c r="C37" s="566"/>
      <c r="D37" s="566"/>
      <c r="E37" s="566"/>
      <c r="F37" s="566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65" t="s">
        <v>204</v>
      </c>
      <c r="C38" s="566"/>
      <c r="D38" s="566"/>
      <c r="E38" s="566"/>
      <c r="F38" s="566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65" t="s">
        <v>212</v>
      </c>
      <c r="C39" s="566"/>
      <c r="D39" s="566"/>
      <c r="E39" s="566"/>
      <c r="F39" s="566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1" t="s">
        <v>230</v>
      </c>
      <c r="C40" s="582"/>
      <c r="D40" s="582"/>
      <c r="E40" s="582"/>
      <c r="F40" s="582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65" t="s">
        <v>232</v>
      </c>
      <c r="C41" s="566"/>
      <c r="D41" s="566"/>
      <c r="E41" s="566"/>
      <c r="F41" s="566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65" t="s">
        <v>248</v>
      </c>
      <c r="C42" s="566"/>
      <c r="D42" s="566"/>
      <c r="E42" s="566"/>
      <c r="F42" s="566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65" t="s">
        <v>259</v>
      </c>
      <c r="C43" s="566"/>
      <c r="D43" s="566"/>
      <c r="E43" s="566"/>
      <c r="F43" s="566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65" t="s">
        <v>274</v>
      </c>
      <c r="C44" s="566"/>
      <c r="D44" s="566"/>
      <c r="E44" s="566"/>
      <c r="F44" s="566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65" t="s">
        <v>278</v>
      </c>
      <c r="C45" s="566"/>
      <c r="D45" s="566"/>
      <c r="E45" s="566"/>
      <c r="F45" s="566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79" t="s">
        <v>286</v>
      </c>
      <c r="C46" s="580"/>
      <c r="D46" s="580"/>
      <c r="E46" s="580"/>
      <c r="F46" s="580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79" t="s">
        <v>320</v>
      </c>
      <c r="C47" s="580"/>
      <c r="D47" s="580"/>
      <c r="E47" s="580"/>
      <c r="F47" s="580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58" t="s">
        <v>113</v>
      </c>
      <c r="C48" s="659"/>
      <c r="D48" s="659"/>
      <c r="E48" s="659"/>
      <c r="F48" s="659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50" t="s">
        <v>366</v>
      </c>
      <c r="C49" s="651"/>
      <c r="D49" s="651"/>
      <c r="E49" s="651"/>
      <c r="F49" s="651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5" t="s">
        <v>359</v>
      </c>
      <c r="C50" s="586"/>
      <c r="D50" s="586"/>
      <c r="E50" s="586"/>
      <c r="F50" s="586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52" t="s">
        <v>794</v>
      </c>
      <c r="C51" s="653"/>
      <c r="D51" s="653"/>
      <c r="E51" s="653"/>
      <c r="F51" s="653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54" t="s">
        <v>684</v>
      </c>
      <c r="C52" s="655"/>
      <c r="D52" s="655"/>
      <c r="E52" s="655"/>
      <c r="F52" s="655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7" t="s">
        <v>545</v>
      </c>
      <c r="C53" s="588"/>
      <c r="D53" s="588"/>
      <c r="E53" s="588"/>
      <c r="F53" s="588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9" t="s">
        <v>792</v>
      </c>
      <c r="C54" s="590"/>
      <c r="D54" s="590"/>
      <c r="E54" s="590"/>
      <c r="F54" s="590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1" t="s">
        <v>352</v>
      </c>
      <c r="C55" s="612"/>
      <c r="D55" s="612"/>
      <c r="E55" s="612"/>
      <c r="F55" s="612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07" t="s">
        <v>355</v>
      </c>
      <c r="C56" s="608"/>
      <c r="D56" s="608"/>
      <c r="E56" s="608"/>
      <c r="F56" s="608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83" t="s">
        <v>357</v>
      </c>
      <c r="C57" s="584"/>
      <c r="D57" s="584"/>
      <c r="E57" s="584"/>
      <c r="F57" s="584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6" t="s">
        <v>336</v>
      </c>
      <c r="C58" s="667"/>
      <c r="D58" s="667"/>
      <c r="E58" s="667"/>
      <c r="F58" s="667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09" t="s">
        <v>543</v>
      </c>
      <c r="C59" s="610"/>
      <c r="D59" s="610"/>
      <c r="E59" s="610"/>
      <c r="F59" s="610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3" t="s">
        <v>544</v>
      </c>
      <c r="C60" s="574"/>
      <c r="D60" s="574"/>
      <c r="E60" s="574"/>
      <c r="F60" s="574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07" t="s">
        <v>114</v>
      </c>
      <c r="C61" s="608"/>
      <c r="D61" s="608"/>
      <c r="E61" s="608"/>
      <c r="F61" s="608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83" t="s">
        <v>116</v>
      </c>
      <c r="C62" s="584"/>
      <c r="D62" s="584"/>
      <c r="E62" s="584"/>
      <c r="F62" s="584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83" t="s">
        <v>93</v>
      </c>
      <c r="C63" s="584"/>
      <c r="D63" s="584"/>
      <c r="E63" s="584"/>
      <c r="F63" s="584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9" t="s">
        <v>551</v>
      </c>
      <c r="C100" s="640"/>
      <c r="D100" s="640"/>
      <c r="E100" s="640"/>
      <c r="F100" s="640"/>
      <c r="G100" s="647">
        <v>2019</v>
      </c>
      <c r="H100" s="648"/>
      <c r="I100" s="648"/>
      <c r="J100" s="648"/>
      <c r="K100" s="648"/>
      <c r="L100" s="648"/>
      <c r="M100" s="648"/>
      <c r="N100" s="648"/>
      <c r="O100" s="648"/>
      <c r="P100" s="648"/>
      <c r="Q100" s="648"/>
      <c r="R100" s="649"/>
      <c r="S100" s="96" t="str">
        <f>+S7</f>
        <v>BDP</v>
      </c>
      <c r="T100" s="97">
        <f>+T7</f>
        <v>4951000000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47" t="s">
        <v>806</v>
      </c>
      <c r="T101" s="649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2" t="s">
        <v>680</v>
      </c>
      <c r="C103" s="663"/>
      <c r="D103" s="663"/>
      <c r="E103" s="663"/>
      <c r="F103" s="663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7" t="s">
        <v>21</v>
      </c>
      <c r="C104" s="638"/>
      <c r="D104" s="638"/>
      <c r="E104" s="638"/>
      <c r="F104" s="638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9" t="s">
        <v>23</v>
      </c>
      <c r="C105" s="630"/>
      <c r="D105" s="630"/>
      <c r="E105" s="630"/>
      <c r="F105" s="630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9" t="s">
        <v>25</v>
      </c>
      <c r="C106" s="630"/>
      <c r="D106" s="630"/>
      <c r="E106" s="630"/>
      <c r="F106" s="630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9" t="s">
        <v>27</v>
      </c>
      <c r="C107" s="630"/>
      <c r="D107" s="630"/>
      <c r="E107" s="630"/>
      <c r="F107" s="630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9" t="s">
        <v>29</v>
      </c>
      <c r="C108" s="630"/>
      <c r="D108" s="630"/>
      <c r="E108" s="630"/>
      <c r="F108" s="630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9" t="s">
        <v>31</v>
      </c>
      <c r="C109" s="630"/>
      <c r="D109" s="630"/>
      <c r="E109" s="630"/>
      <c r="F109" s="630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9" t="s">
        <v>33</v>
      </c>
      <c r="C110" s="630"/>
      <c r="D110" s="630"/>
      <c r="E110" s="630"/>
      <c r="F110" s="630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9" t="s">
        <v>721</v>
      </c>
      <c r="C111" s="630"/>
      <c r="D111" s="630"/>
      <c r="E111" s="630"/>
      <c r="F111" s="630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4" t="s">
        <v>37</v>
      </c>
      <c r="C112" s="665"/>
      <c r="D112" s="665"/>
      <c r="E112" s="665"/>
      <c r="F112" s="665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9" t="s">
        <v>39</v>
      </c>
      <c r="C113" s="630"/>
      <c r="D113" s="630"/>
      <c r="E113" s="630"/>
      <c r="F113" s="630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9" t="s">
        <v>41</v>
      </c>
      <c r="C114" s="630"/>
      <c r="D114" s="630"/>
      <c r="E114" s="630"/>
      <c r="F114" s="630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9" t="s">
        <v>43</v>
      </c>
      <c r="C115" s="630"/>
      <c r="D115" s="630"/>
      <c r="E115" s="630"/>
      <c r="F115" s="630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9" t="s">
        <v>45</v>
      </c>
      <c r="C116" s="630"/>
      <c r="D116" s="630"/>
      <c r="E116" s="630"/>
      <c r="F116" s="630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5" t="s">
        <v>47</v>
      </c>
      <c r="C117" s="636"/>
      <c r="D117" s="636"/>
      <c r="E117" s="636"/>
      <c r="F117" s="636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5" t="s">
        <v>61</v>
      </c>
      <c r="C118" s="636"/>
      <c r="D118" s="636"/>
      <c r="E118" s="636"/>
      <c r="F118" s="636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5" t="s">
        <v>81</v>
      </c>
      <c r="C119" s="636"/>
      <c r="D119" s="636"/>
      <c r="E119" s="636"/>
      <c r="F119" s="636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5" t="s">
        <v>99</v>
      </c>
      <c r="C120" s="636"/>
      <c r="D120" s="636"/>
      <c r="E120" s="636"/>
      <c r="F120" s="636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1" t="s">
        <v>105</v>
      </c>
      <c r="C121" s="632"/>
      <c r="D121" s="632"/>
      <c r="E121" s="632"/>
      <c r="F121" s="632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13" t="s">
        <v>808</v>
      </c>
      <c r="C122" s="614"/>
      <c r="D122" s="614"/>
      <c r="E122" s="614"/>
      <c r="F122" s="614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8" t="s">
        <v>773</v>
      </c>
      <c r="C123" s="669"/>
      <c r="D123" s="669"/>
      <c r="E123" s="669"/>
      <c r="F123" s="669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33" t="e">
        <v>#REF!</v>
      </c>
      <c r="C124" s="634"/>
      <c r="D124" s="634"/>
      <c r="E124" s="634"/>
      <c r="F124" s="634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9" t="s">
        <v>122</v>
      </c>
      <c r="C125" s="630"/>
      <c r="D125" s="630"/>
      <c r="E125" s="630"/>
      <c r="F125" s="630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9" t="s">
        <v>133</v>
      </c>
      <c r="C126" s="630"/>
      <c r="D126" s="630"/>
      <c r="E126" s="630"/>
      <c r="F126" s="630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9" t="s">
        <v>148</v>
      </c>
      <c r="C127" s="630"/>
      <c r="D127" s="630"/>
      <c r="E127" s="630"/>
      <c r="F127" s="630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9" t="s">
        <v>162</v>
      </c>
      <c r="C128" s="630"/>
      <c r="D128" s="630"/>
      <c r="E128" s="630"/>
      <c r="F128" s="630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9" t="s">
        <v>182</v>
      </c>
      <c r="C129" s="630"/>
      <c r="D129" s="630"/>
      <c r="E129" s="630"/>
      <c r="F129" s="630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9" t="s">
        <v>190</v>
      </c>
      <c r="C130" s="630"/>
      <c r="D130" s="630"/>
      <c r="E130" s="630"/>
      <c r="F130" s="630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9" t="s">
        <v>196</v>
      </c>
      <c r="C131" s="630"/>
      <c r="D131" s="630"/>
      <c r="E131" s="630"/>
      <c r="F131" s="630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9" t="s">
        <v>204</v>
      </c>
      <c r="C132" s="630"/>
      <c r="D132" s="630"/>
      <c r="E132" s="630"/>
      <c r="F132" s="630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9" t="s">
        <v>212</v>
      </c>
      <c r="C133" s="630"/>
      <c r="D133" s="630"/>
      <c r="E133" s="630"/>
      <c r="F133" s="630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9" t="e">
        <v>#REF!</v>
      </c>
      <c r="C134" s="630"/>
      <c r="D134" s="630"/>
      <c r="E134" s="630"/>
      <c r="F134" s="630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25" t="s">
        <v>230</v>
      </c>
      <c r="C135" s="626"/>
      <c r="D135" s="626"/>
      <c r="E135" s="626"/>
      <c r="F135" s="626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9" t="s">
        <v>232</v>
      </c>
      <c r="C136" s="630"/>
      <c r="D136" s="630"/>
      <c r="E136" s="630"/>
      <c r="F136" s="630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9" t="s">
        <v>248</v>
      </c>
      <c r="C137" s="630"/>
      <c r="D137" s="630"/>
      <c r="E137" s="630"/>
      <c r="F137" s="630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9" t="s">
        <v>259</v>
      </c>
      <c r="C138" s="630"/>
      <c r="D138" s="630"/>
      <c r="E138" s="630"/>
      <c r="F138" s="630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9" t="s">
        <v>274</v>
      </c>
      <c r="C139" s="630"/>
      <c r="D139" s="630"/>
      <c r="E139" s="630"/>
      <c r="F139" s="630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9" t="s">
        <v>278</v>
      </c>
      <c r="C140" s="630"/>
      <c r="D140" s="630"/>
      <c r="E140" s="630"/>
      <c r="F140" s="630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27" t="s">
        <v>286</v>
      </c>
      <c r="C141" s="628"/>
      <c r="D141" s="628"/>
      <c r="E141" s="628"/>
      <c r="F141" s="628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27" t="s">
        <v>809</v>
      </c>
      <c r="C142" s="628"/>
      <c r="D142" s="628"/>
      <c r="E142" s="628"/>
      <c r="F142" s="628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19" t="s">
        <v>113</v>
      </c>
      <c r="C143" s="620"/>
      <c r="D143" s="620"/>
      <c r="E143" s="620"/>
      <c r="F143" s="620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19" t="s">
        <v>366</v>
      </c>
      <c r="C144" s="620"/>
      <c r="D144" s="620"/>
      <c r="E144" s="620"/>
      <c r="F144" s="620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19" t="s">
        <v>359</v>
      </c>
      <c r="C145" s="620"/>
      <c r="D145" s="620"/>
      <c r="E145" s="620"/>
      <c r="F145" s="620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19" t="s">
        <v>365</v>
      </c>
      <c r="C146" s="620"/>
      <c r="D146" s="620"/>
      <c r="E146" s="620"/>
      <c r="F146" s="620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0" t="s">
        <v>685</v>
      </c>
      <c r="C147" s="671"/>
      <c r="D147" s="671"/>
      <c r="E147" s="671"/>
      <c r="F147" s="671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21" t="s">
        <v>545</v>
      </c>
      <c r="C148" s="622"/>
      <c r="D148" s="622"/>
      <c r="E148" s="622"/>
      <c r="F148" s="622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23" t="s">
        <v>810</v>
      </c>
      <c r="C149" s="624"/>
      <c r="D149" s="624"/>
      <c r="E149" s="624"/>
      <c r="F149" s="624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25" t="s">
        <v>352</v>
      </c>
      <c r="C150" s="626"/>
      <c r="D150" s="626"/>
      <c r="E150" s="626"/>
      <c r="F150" s="626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17" t="s">
        <v>355</v>
      </c>
      <c r="C151" s="618"/>
      <c r="D151" s="618"/>
      <c r="E151" s="618"/>
      <c r="F151" s="618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19" t="s">
        <v>357</v>
      </c>
      <c r="C152" s="620"/>
      <c r="D152" s="620"/>
      <c r="E152" s="620"/>
      <c r="F152" s="620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6" t="s">
        <v>336</v>
      </c>
      <c r="C153" s="667"/>
      <c r="D153" s="667"/>
      <c r="E153" s="667"/>
      <c r="F153" s="667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15" t="s">
        <v>543</v>
      </c>
      <c r="C154" s="616"/>
      <c r="D154" s="616"/>
      <c r="E154" s="616"/>
      <c r="F154" s="616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13" t="s">
        <v>544</v>
      </c>
      <c r="C155" s="614"/>
      <c r="D155" s="614"/>
      <c r="E155" s="614"/>
      <c r="F155" s="614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17" t="s">
        <v>114</v>
      </c>
      <c r="C156" s="618"/>
      <c r="D156" s="618"/>
      <c r="E156" s="618"/>
      <c r="F156" s="618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19" t="s">
        <v>116</v>
      </c>
      <c r="C157" s="620"/>
      <c r="D157" s="620"/>
      <c r="E157" s="620"/>
      <c r="F157" s="620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19" t="s">
        <v>93</v>
      </c>
      <c r="C158" s="620"/>
      <c r="D158" s="620"/>
      <c r="E158" s="620"/>
      <c r="F158" s="620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Azra Barjaktarevic</cp:lastModifiedBy>
  <cp:lastPrinted>2024-02-28T06:44:55Z</cp:lastPrinted>
  <dcterms:created xsi:type="dcterms:W3CDTF">2014-09-15T13:41:17Z</dcterms:created>
  <dcterms:modified xsi:type="dcterms:W3CDTF">2024-03-07T18:01:46Z</dcterms:modified>
</cp:coreProperties>
</file>